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S:\3_SW_LIB_SVCS\Library Data Coordinator\PLS Library Statistics\Annual Report Data Files\FY2018_2019 Annual Survey\"/>
    </mc:Choice>
  </mc:AlternateContent>
  <xr:revisionPtr revIDLastSave="0" documentId="14_{1947C412-F524-4FF8-98A1-872325743B6E}" xr6:coauthVersionLast="45" xr6:coauthVersionMax="45" xr10:uidLastSave="{00000000-0000-0000-0000-000000000000}"/>
  <bookViews>
    <workbookView xWindow="-120" yWindow="-120" windowWidth="29040" windowHeight="15840" xr2:uid="{00000000-000D-0000-FFFF-FFFF00000000}"/>
  </bookViews>
  <sheets>
    <sheet name="Table of Contents" sheetId="16" r:id="rId1"/>
    <sheet name="Summary &amp; Definitions" sheetId="15" r:id="rId2"/>
    <sheet name="Outlets, Hours and SqFt" sheetId="1" r:id="rId3"/>
    <sheet name="Collections" sheetId="2" r:id="rId4"/>
    <sheet name="Services" sheetId="3" r:id="rId5"/>
    <sheet name="Programs" sheetId="4" r:id="rId6"/>
    <sheet name="Technology" sheetId="6" r:id="rId7"/>
    <sheet name="Millages" sheetId="7" r:id="rId8"/>
    <sheet name="Operating Income" sheetId="8" r:id="rId9"/>
    <sheet name="Operating Expenditure" sheetId="9" r:id="rId10"/>
    <sheet name="Capital Income &amp; Expenditure" sheetId="10" r:id="rId11"/>
    <sheet name="Nonresident Fees" sheetId="11" r:id="rId12"/>
    <sheet name="Staffing" sheetId="12" r:id="rId13"/>
    <sheet name="Director's Salary" sheetId="13" r:id="rId14"/>
    <sheet name="Other Employee Salary" sheetId="14" r:id="rId1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97" i="14" l="1"/>
  <c r="C397" i="13"/>
  <c r="F397" i="13"/>
  <c r="G397" i="13"/>
  <c r="E397" i="13"/>
  <c r="E399" i="12"/>
  <c r="F399" i="12"/>
  <c r="G399" i="12"/>
  <c r="H399" i="12"/>
  <c r="I399" i="12"/>
  <c r="J399" i="12"/>
  <c r="K399" i="12"/>
  <c r="L399" i="12"/>
  <c r="M399" i="12"/>
  <c r="N399" i="12"/>
  <c r="O399" i="12"/>
  <c r="P399" i="12"/>
  <c r="Q399" i="12"/>
  <c r="R399" i="12"/>
  <c r="S399" i="12"/>
  <c r="D399" i="12"/>
  <c r="E398" i="12"/>
  <c r="F398" i="12"/>
  <c r="G398" i="12"/>
  <c r="H398" i="12"/>
  <c r="I398" i="12"/>
  <c r="J398" i="12"/>
  <c r="K398" i="12"/>
  <c r="L398" i="12"/>
  <c r="M398" i="12"/>
  <c r="N398" i="12"/>
  <c r="O398" i="12"/>
  <c r="P398" i="12"/>
  <c r="Q398" i="12"/>
  <c r="R398" i="12"/>
  <c r="S398" i="12"/>
  <c r="D398" i="12"/>
  <c r="C397" i="12"/>
  <c r="C397" i="11"/>
  <c r="E397" i="10"/>
  <c r="F397" i="10"/>
  <c r="G397" i="10"/>
  <c r="H397" i="10"/>
  <c r="I397" i="10"/>
  <c r="J397" i="10"/>
  <c r="K397" i="10"/>
  <c r="L397" i="10"/>
  <c r="M397" i="10"/>
  <c r="N397" i="10"/>
  <c r="D397" i="10"/>
  <c r="C397" i="10"/>
  <c r="E399" i="9"/>
  <c r="F399" i="9"/>
  <c r="G399" i="9"/>
  <c r="H399" i="9"/>
  <c r="I399" i="9"/>
  <c r="J399" i="9"/>
  <c r="K399" i="9"/>
  <c r="L399" i="9"/>
  <c r="N399" i="9"/>
  <c r="D399" i="9"/>
  <c r="E398" i="9"/>
  <c r="F398" i="9"/>
  <c r="G398" i="9"/>
  <c r="H398" i="9"/>
  <c r="I398" i="9"/>
  <c r="J398" i="9"/>
  <c r="K398" i="9"/>
  <c r="L398" i="9"/>
  <c r="N398" i="9"/>
  <c r="D398" i="9"/>
  <c r="C397" i="9"/>
  <c r="C397" i="6"/>
  <c r="M74" i="9"/>
  <c r="M230" i="9"/>
  <c r="M152" i="9"/>
  <c r="M153" i="9"/>
  <c r="M154" i="9"/>
  <c r="M155" i="9"/>
  <c r="M4" i="9"/>
  <c r="M231" i="9"/>
  <c r="M309" i="9"/>
  <c r="M310" i="9"/>
  <c r="M156" i="9"/>
  <c r="M75" i="9"/>
  <c r="M311" i="9"/>
  <c r="M157" i="9"/>
  <c r="M352" i="9"/>
  <c r="M76" i="9"/>
  <c r="M5" i="9"/>
  <c r="M77" i="9"/>
  <c r="M232" i="9"/>
  <c r="M158" i="9"/>
  <c r="M233" i="9"/>
  <c r="M78" i="9"/>
  <c r="M312" i="9"/>
  <c r="M79" i="9"/>
  <c r="M159" i="9"/>
  <c r="M353" i="9"/>
  <c r="M6" i="9"/>
  <c r="M7" i="9"/>
  <c r="M313" i="9"/>
  <c r="M8" i="9"/>
  <c r="M234" i="9"/>
  <c r="M9" i="9"/>
  <c r="M10" i="9"/>
  <c r="M235" i="9"/>
  <c r="M160" i="9"/>
  <c r="M80" i="9"/>
  <c r="M11" i="9"/>
  <c r="M236" i="9"/>
  <c r="M161" i="9"/>
  <c r="M314" i="9"/>
  <c r="M162" i="9"/>
  <c r="M315" i="9"/>
  <c r="M237" i="9"/>
  <c r="M238" i="9"/>
  <c r="M81" i="9"/>
  <c r="M239" i="9"/>
  <c r="M316" i="9"/>
  <c r="M82" i="9"/>
  <c r="M163" i="9"/>
  <c r="M164" i="9"/>
  <c r="M12" i="9"/>
  <c r="M317" i="9"/>
  <c r="M165" i="9"/>
  <c r="M83" i="9"/>
  <c r="M354" i="9"/>
  <c r="M355" i="9"/>
  <c r="M166" i="9"/>
  <c r="M13" i="9"/>
  <c r="M167" i="9"/>
  <c r="M318" i="9"/>
  <c r="M168" i="9"/>
  <c r="M169" i="9"/>
  <c r="M14" i="9"/>
  <c r="M240" i="9"/>
  <c r="M170" i="9"/>
  <c r="M241" i="9"/>
  <c r="M15" i="9"/>
  <c r="M242" i="9"/>
  <c r="M243" i="9"/>
  <c r="M319" i="9"/>
  <c r="M356" i="9"/>
  <c r="M320" i="9"/>
  <c r="M16" i="9"/>
  <c r="M357" i="9"/>
  <c r="M84" i="9"/>
  <c r="M244" i="9"/>
  <c r="M17" i="9"/>
  <c r="M18" i="9"/>
  <c r="M321" i="9"/>
  <c r="M322" i="9"/>
  <c r="M245" i="9"/>
  <c r="M85" i="9"/>
  <c r="M171" i="9"/>
  <c r="M246" i="9"/>
  <c r="M323" i="9"/>
  <c r="M19" i="9"/>
  <c r="M20" i="9"/>
  <c r="M21" i="9"/>
  <c r="M22" i="9"/>
  <c r="M23" i="9"/>
  <c r="M358" i="9"/>
  <c r="M359" i="9"/>
  <c r="M86" i="9"/>
  <c r="M324" i="9"/>
  <c r="M172" i="9"/>
  <c r="M24" i="9"/>
  <c r="M360" i="9"/>
  <c r="M247" i="9"/>
  <c r="M248" i="9"/>
  <c r="M325" i="9"/>
  <c r="M87" i="9"/>
  <c r="M173" i="9"/>
  <c r="M249" i="9"/>
  <c r="M88" i="9"/>
  <c r="M89" i="9"/>
  <c r="M326" i="9"/>
  <c r="M327" i="9"/>
  <c r="M250" i="9"/>
  <c r="M174" i="9"/>
  <c r="M175" i="9"/>
  <c r="M90" i="9"/>
  <c r="M25" i="9"/>
  <c r="M26" i="9"/>
  <c r="M251" i="9"/>
  <c r="M176" i="9"/>
  <c r="M27" i="9"/>
  <c r="M361" i="9"/>
  <c r="M252" i="9"/>
  <c r="M253" i="9"/>
  <c r="M28" i="9"/>
  <c r="M254" i="9"/>
  <c r="M255" i="9"/>
  <c r="M362" i="9"/>
  <c r="M91" i="9"/>
  <c r="M256" i="9"/>
  <c r="M177" i="9"/>
  <c r="M29" i="9"/>
  <c r="M257" i="9"/>
  <c r="M92" i="9"/>
  <c r="M258" i="9"/>
  <c r="M259" i="9"/>
  <c r="M178" i="9"/>
  <c r="M30" i="9"/>
  <c r="M328" i="9"/>
  <c r="M179" i="9"/>
  <c r="M363" i="9"/>
  <c r="M31" i="9"/>
  <c r="M329" i="9"/>
  <c r="M180" i="9"/>
  <c r="M260" i="9"/>
  <c r="M32" i="9"/>
  <c r="M33" i="9"/>
  <c r="M364" i="9"/>
  <c r="M261" i="9"/>
  <c r="M365" i="9"/>
  <c r="M181" i="9"/>
  <c r="M366" i="9"/>
  <c r="M330" i="9"/>
  <c r="M262" i="9"/>
  <c r="M263" i="9"/>
  <c r="M93" i="9"/>
  <c r="M94" i="9"/>
  <c r="M264" i="9"/>
  <c r="M265" i="9"/>
  <c r="M266" i="9"/>
  <c r="M182" i="9"/>
  <c r="M95" i="9"/>
  <c r="M267" i="9"/>
  <c r="M268" i="9"/>
  <c r="M183" i="9"/>
  <c r="M367" i="9"/>
  <c r="M96" i="9"/>
  <c r="M269" i="9"/>
  <c r="M184" i="9"/>
  <c r="M270" i="9"/>
  <c r="M97" i="9"/>
  <c r="M34" i="9"/>
  <c r="M98" i="9"/>
  <c r="M271" i="9"/>
  <c r="M272" i="9"/>
  <c r="M99" i="9"/>
  <c r="M368" i="9"/>
  <c r="M100" i="9"/>
  <c r="M185" i="9"/>
  <c r="M35" i="9"/>
  <c r="M101" i="9"/>
  <c r="M273" i="9"/>
  <c r="M331" i="9"/>
  <c r="M102" i="9"/>
  <c r="M274" i="9"/>
  <c r="M103" i="9"/>
  <c r="M369" i="9"/>
  <c r="M104" i="9"/>
  <c r="M105" i="9"/>
  <c r="M106" i="9"/>
  <c r="M370" i="9"/>
  <c r="M275" i="9"/>
  <c r="M371" i="9"/>
  <c r="M187" i="9"/>
  <c r="M186" i="9"/>
  <c r="M36" i="9"/>
  <c r="M107" i="9"/>
  <c r="M372" i="9"/>
  <c r="M37" i="9"/>
  <c r="M38" i="9"/>
  <c r="M276" i="9"/>
  <c r="M39" i="9"/>
  <c r="M108" i="9"/>
  <c r="M109" i="9"/>
  <c r="M332" i="9"/>
  <c r="M188" i="9"/>
  <c r="M40" i="9"/>
  <c r="M333" i="9"/>
  <c r="M277" i="9"/>
  <c r="M41" i="9"/>
  <c r="M373" i="9"/>
  <c r="M189" i="9"/>
  <c r="M334" i="9"/>
  <c r="M110" i="9"/>
  <c r="M278" i="9"/>
  <c r="M42" i="9"/>
  <c r="M111" i="9"/>
  <c r="M279" i="9"/>
  <c r="M43" i="9"/>
  <c r="M112" i="9"/>
  <c r="M335" i="9"/>
  <c r="M113" i="9"/>
  <c r="M190" i="9"/>
  <c r="M280" i="9"/>
  <c r="M191" i="9"/>
  <c r="M44" i="9"/>
  <c r="M114" i="9"/>
  <c r="M115" i="9"/>
  <c r="M281" i="9"/>
  <c r="M336" i="9"/>
  <c r="M282" i="9"/>
  <c r="M116" i="9"/>
  <c r="M117" i="9"/>
  <c r="M45" i="9"/>
  <c r="M192" i="9"/>
  <c r="M118" i="9"/>
  <c r="M283" i="9"/>
  <c r="M46" i="9"/>
  <c r="M284" i="9"/>
  <c r="M285" i="9"/>
  <c r="M193" i="9"/>
  <c r="M286" i="9"/>
  <c r="M374" i="9"/>
  <c r="M194" i="9"/>
  <c r="M119" i="9"/>
  <c r="M120" i="9"/>
  <c r="M287" i="9"/>
  <c r="M47" i="9"/>
  <c r="M195" i="9"/>
  <c r="M375" i="9"/>
  <c r="M196" i="9"/>
  <c r="M121" i="9"/>
  <c r="M122" i="9"/>
  <c r="M288" i="9"/>
  <c r="M123" i="9"/>
  <c r="M48" i="9"/>
  <c r="M197" i="9"/>
  <c r="M337" i="9"/>
  <c r="M124" i="9"/>
  <c r="M376" i="9"/>
  <c r="M338" i="9"/>
  <c r="M289" i="9"/>
  <c r="M49" i="9"/>
  <c r="M339" i="9"/>
  <c r="M50" i="9"/>
  <c r="M198" i="9"/>
  <c r="M290" i="9"/>
  <c r="M291" i="9"/>
  <c r="M125" i="9"/>
  <c r="M292" i="9"/>
  <c r="M199" i="9"/>
  <c r="M126" i="9"/>
  <c r="M200" i="9"/>
  <c r="M293" i="9"/>
  <c r="M127" i="9"/>
  <c r="M51" i="9"/>
  <c r="M201" i="9"/>
  <c r="M340" i="9"/>
  <c r="M294" i="9"/>
  <c r="M128" i="9"/>
  <c r="M202" i="9"/>
  <c r="M129" i="9"/>
  <c r="M341" i="9"/>
  <c r="M377" i="9"/>
  <c r="M52" i="9"/>
  <c r="M378" i="9"/>
  <c r="M295" i="9"/>
  <c r="M296" i="9"/>
  <c r="M130" i="9"/>
  <c r="M297" i="9"/>
  <c r="M379" i="9"/>
  <c r="M131" i="9"/>
  <c r="M132" i="9"/>
  <c r="M203" i="9"/>
  <c r="M53" i="9"/>
  <c r="M133" i="9"/>
  <c r="M342" i="9"/>
  <c r="M204" i="9"/>
  <c r="M134" i="9"/>
  <c r="M54" i="9"/>
  <c r="M55" i="9"/>
  <c r="M205" i="9"/>
  <c r="M56" i="9"/>
  <c r="M57" i="9"/>
  <c r="M135" i="9"/>
  <c r="M206" i="9"/>
  <c r="M298" i="9"/>
  <c r="M380" i="9"/>
  <c r="M343" i="9"/>
  <c r="M344" i="9"/>
  <c r="M136" i="9"/>
  <c r="M345" i="9"/>
  <c r="M381" i="9"/>
  <c r="M58" i="9"/>
  <c r="M207" i="9"/>
  <c r="M208" i="9"/>
  <c r="M382" i="9"/>
  <c r="M383" i="9"/>
  <c r="M137" i="9"/>
  <c r="M209" i="9"/>
  <c r="M299" i="9"/>
  <c r="M346" i="9"/>
  <c r="M210" i="9"/>
  <c r="M138" i="9"/>
  <c r="M211" i="9"/>
  <c r="M139" i="9"/>
  <c r="M59" i="9"/>
  <c r="M212" i="9"/>
  <c r="M140" i="9"/>
  <c r="M60" i="9"/>
  <c r="M213" i="9"/>
  <c r="M384" i="9"/>
  <c r="M141" i="9"/>
  <c r="M347" i="9"/>
  <c r="M61" i="9"/>
  <c r="M62" i="9"/>
  <c r="M214" i="9"/>
  <c r="M385" i="9"/>
  <c r="M348" i="9"/>
  <c r="M215" i="9"/>
  <c r="M216" i="9"/>
  <c r="M300" i="9"/>
  <c r="M301" i="9"/>
  <c r="M142" i="9"/>
  <c r="M386" i="9"/>
  <c r="M302" i="9"/>
  <c r="M63" i="9"/>
  <c r="M349" i="9"/>
  <c r="M217" i="9"/>
  <c r="M143" i="9"/>
  <c r="M218" i="9"/>
  <c r="M219" i="9"/>
  <c r="M387" i="9"/>
  <c r="M144" i="9"/>
  <c r="M303" i="9"/>
  <c r="M64" i="9"/>
  <c r="M220" i="9"/>
  <c r="M145" i="9"/>
  <c r="M221" i="9"/>
  <c r="M222" i="9"/>
  <c r="M304" i="9"/>
  <c r="M146" i="9"/>
  <c r="M305" i="9"/>
  <c r="M223" i="9"/>
  <c r="M65" i="9"/>
  <c r="M388" i="9"/>
  <c r="M389" i="9"/>
  <c r="M390" i="9"/>
  <c r="M147" i="9"/>
  <c r="M350" i="9"/>
  <c r="M66" i="9"/>
  <c r="M148" i="9"/>
  <c r="M306" i="9"/>
  <c r="M67" i="9"/>
  <c r="M68" i="9"/>
  <c r="M69" i="9"/>
  <c r="M149" i="9"/>
  <c r="M224" i="9"/>
  <c r="M391" i="9"/>
  <c r="M392" i="9"/>
  <c r="M70" i="9"/>
  <c r="M150" i="9"/>
  <c r="M307" i="9"/>
  <c r="M393" i="9"/>
  <c r="M225" i="9"/>
  <c r="M226" i="9"/>
  <c r="M71" i="9"/>
  <c r="M227" i="9"/>
  <c r="M228" i="9"/>
  <c r="M351" i="9"/>
  <c r="M151" i="9"/>
  <c r="M229" i="9"/>
  <c r="M72" i="9"/>
  <c r="M394" i="9"/>
  <c r="M395" i="9"/>
  <c r="M308" i="9"/>
  <c r="M73" i="9"/>
  <c r="M396" i="9"/>
  <c r="H398" i="8"/>
  <c r="I398" i="8"/>
  <c r="J398" i="8"/>
  <c r="K398" i="8"/>
  <c r="L398" i="8"/>
  <c r="M398" i="8"/>
  <c r="N398" i="8"/>
  <c r="O398" i="8"/>
  <c r="P398" i="8"/>
  <c r="Q398" i="8"/>
  <c r="R398" i="8"/>
  <c r="S398" i="8"/>
  <c r="T398" i="8"/>
  <c r="U398" i="8"/>
  <c r="V398" i="8"/>
  <c r="W398" i="8"/>
  <c r="X398" i="8"/>
  <c r="Y398" i="8"/>
  <c r="Z398" i="8"/>
  <c r="AA398" i="8"/>
  <c r="G398" i="8"/>
  <c r="H397" i="8"/>
  <c r="I397" i="8"/>
  <c r="J397" i="8"/>
  <c r="K397" i="8"/>
  <c r="L397" i="8"/>
  <c r="M397" i="8"/>
  <c r="N397" i="8"/>
  <c r="O397" i="8"/>
  <c r="P397" i="8"/>
  <c r="Q397" i="8"/>
  <c r="R397" i="8"/>
  <c r="S397" i="8"/>
  <c r="T397" i="8"/>
  <c r="U397" i="8"/>
  <c r="V397" i="8"/>
  <c r="W397" i="8"/>
  <c r="X397" i="8"/>
  <c r="Y397" i="8"/>
  <c r="Z397" i="8"/>
  <c r="AA397" i="8"/>
  <c r="G397" i="8"/>
  <c r="C397" i="8"/>
  <c r="AB4" i="8"/>
  <c r="AB5" i="8"/>
  <c r="AB6" i="8"/>
  <c r="AB7" i="8"/>
  <c r="AB8" i="8"/>
  <c r="AB9" i="8"/>
  <c r="AB10" i="8"/>
  <c r="AB11" i="8"/>
  <c r="AB12" i="8"/>
  <c r="AB13" i="8"/>
  <c r="AB14" i="8"/>
  <c r="AB15" i="8"/>
  <c r="AB16" i="8"/>
  <c r="AB17" i="8"/>
  <c r="AB18" i="8"/>
  <c r="AB19" i="8"/>
  <c r="AB20" i="8"/>
  <c r="AB21" i="8"/>
  <c r="AB22" i="8"/>
  <c r="AB23" i="8"/>
  <c r="AB24" i="8"/>
  <c r="AB25" i="8"/>
  <c r="AB26" i="8"/>
  <c r="AB27" i="8"/>
  <c r="AB28" i="8"/>
  <c r="AB29" i="8"/>
  <c r="AB30" i="8"/>
  <c r="AB31" i="8"/>
  <c r="AB32" i="8"/>
  <c r="AB33" i="8"/>
  <c r="AB34" i="8"/>
  <c r="AB35" i="8"/>
  <c r="AB36" i="8"/>
  <c r="AB37" i="8"/>
  <c r="AB38" i="8"/>
  <c r="AB39" i="8"/>
  <c r="AB40" i="8"/>
  <c r="AB41" i="8"/>
  <c r="AB42" i="8"/>
  <c r="AB43" i="8"/>
  <c r="AB44" i="8"/>
  <c r="AB45" i="8"/>
  <c r="AB46" i="8"/>
  <c r="AB47" i="8"/>
  <c r="AB48" i="8"/>
  <c r="AB49" i="8"/>
  <c r="AB50" i="8"/>
  <c r="AB51" i="8"/>
  <c r="AB52" i="8"/>
  <c r="AB53" i="8"/>
  <c r="AB54" i="8"/>
  <c r="AB55" i="8"/>
  <c r="AB56" i="8"/>
  <c r="AB57" i="8"/>
  <c r="AB58" i="8"/>
  <c r="AB59" i="8"/>
  <c r="AB60" i="8"/>
  <c r="AB61" i="8"/>
  <c r="AB62" i="8"/>
  <c r="AB63" i="8"/>
  <c r="AB64" i="8"/>
  <c r="AB65" i="8"/>
  <c r="AB66" i="8"/>
  <c r="AB67" i="8"/>
  <c r="AB68" i="8"/>
  <c r="AB69" i="8"/>
  <c r="AB70" i="8"/>
  <c r="AB71" i="8"/>
  <c r="AB72" i="8"/>
  <c r="AB73" i="8"/>
  <c r="AB74" i="8"/>
  <c r="AB75" i="8"/>
  <c r="AB76" i="8"/>
  <c r="AB77" i="8"/>
  <c r="AB78" i="8"/>
  <c r="AB79" i="8"/>
  <c r="AB80" i="8"/>
  <c r="AB81" i="8"/>
  <c r="AB82" i="8"/>
  <c r="AB83" i="8"/>
  <c r="AB84" i="8"/>
  <c r="AB85" i="8"/>
  <c r="AB86" i="8"/>
  <c r="AB87" i="8"/>
  <c r="AB88" i="8"/>
  <c r="AB89" i="8"/>
  <c r="AB90" i="8"/>
  <c r="AB91" i="8"/>
  <c r="AB92" i="8"/>
  <c r="AB93" i="8"/>
  <c r="AB94" i="8"/>
  <c r="AB95" i="8"/>
  <c r="AB96" i="8"/>
  <c r="AB97" i="8"/>
  <c r="AB98" i="8"/>
  <c r="AB99" i="8"/>
  <c r="AB100" i="8"/>
  <c r="AB101" i="8"/>
  <c r="AB102" i="8"/>
  <c r="AB103" i="8"/>
  <c r="AB104" i="8"/>
  <c r="AB105" i="8"/>
  <c r="AB106" i="8"/>
  <c r="AB107" i="8"/>
  <c r="AB108" i="8"/>
  <c r="AB109" i="8"/>
  <c r="AB110" i="8"/>
  <c r="AB111" i="8"/>
  <c r="AB112" i="8"/>
  <c r="AB113" i="8"/>
  <c r="AB114" i="8"/>
  <c r="AB115" i="8"/>
  <c r="AB116" i="8"/>
  <c r="AB117" i="8"/>
  <c r="AB118" i="8"/>
  <c r="AB119" i="8"/>
  <c r="AB120" i="8"/>
  <c r="AB121" i="8"/>
  <c r="AB122" i="8"/>
  <c r="AB123" i="8"/>
  <c r="AB124" i="8"/>
  <c r="AB125" i="8"/>
  <c r="AB126" i="8"/>
  <c r="AB127" i="8"/>
  <c r="AB128" i="8"/>
  <c r="AB129" i="8"/>
  <c r="AB130" i="8"/>
  <c r="AB131" i="8"/>
  <c r="AB132" i="8"/>
  <c r="AB133" i="8"/>
  <c r="AB134" i="8"/>
  <c r="AB135" i="8"/>
  <c r="AB136" i="8"/>
  <c r="AB137" i="8"/>
  <c r="AB138" i="8"/>
  <c r="AB139" i="8"/>
  <c r="AB140" i="8"/>
  <c r="AB141" i="8"/>
  <c r="AB142" i="8"/>
  <c r="AB143" i="8"/>
  <c r="AB144" i="8"/>
  <c r="AB145" i="8"/>
  <c r="AB146" i="8"/>
  <c r="AB147" i="8"/>
  <c r="AB148" i="8"/>
  <c r="AB149" i="8"/>
  <c r="AB150" i="8"/>
  <c r="AB151" i="8"/>
  <c r="AB152" i="8"/>
  <c r="AB153" i="8"/>
  <c r="AB154" i="8"/>
  <c r="AB155" i="8"/>
  <c r="AB156" i="8"/>
  <c r="AB157" i="8"/>
  <c r="AB158" i="8"/>
  <c r="AB159" i="8"/>
  <c r="AB160" i="8"/>
  <c r="AB161" i="8"/>
  <c r="AB162" i="8"/>
  <c r="AB163" i="8"/>
  <c r="AB164" i="8"/>
  <c r="AB165" i="8"/>
  <c r="AB166" i="8"/>
  <c r="AB167" i="8"/>
  <c r="AB168" i="8"/>
  <c r="AB169" i="8"/>
  <c r="AB170" i="8"/>
  <c r="AB171" i="8"/>
  <c r="AB172" i="8"/>
  <c r="AB173" i="8"/>
  <c r="AB174" i="8"/>
  <c r="AB175" i="8"/>
  <c r="AB176" i="8"/>
  <c r="AB177" i="8"/>
  <c r="AB178" i="8"/>
  <c r="AB179" i="8"/>
  <c r="AB180" i="8"/>
  <c r="AB181" i="8"/>
  <c r="AB182" i="8"/>
  <c r="AB183" i="8"/>
  <c r="AB184" i="8"/>
  <c r="AB185" i="8"/>
  <c r="AB186" i="8"/>
  <c r="AB187" i="8"/>
  <c r="AB188" i="8"/>
  <c r="AB189" i="8"/>
  <c r="AB190" i="8"/>
  <c r="AB191" i="8"/>
  <c r="AB192" i="8"/>
  <c r="AB193" i="8"/>
  <c r="AB194" i="8"/>
  <c r="AB195" i="8"/>
  <c r="AB196" i="8"/>
  <c r="AB197" i="8"/>
  <c r="AB198" i="8"/>
  <c r="AB199" i="8"/>
  <c r="AB200" i="8"/>
  <c r="AB201" i="8"/>
  <c r="AB202" i="8"/>
  <c r="AB203" i="8"/>
  <c r="AB204" i="8"/>
  <c r="AB205" i="8"/>
  <c r="AB206" i="8"/>
  <c r="AB207" i="8"/>
  <c r="AB208" i="8"/>
  <c r="AB209" i="8"/>
  <c r="AB210" i="8"/>
  <c r="AB211" i="8"/>
  <c r="AB212" i="8"/>
  <c r="AB213" i="8"/>
  <c r="AB214" i="8"/>
  <c r="AB215" i="8"/>
  <c r="AB216" i="8"/>
  <c r="AB217" i="8"/>
  <c r="AB218" i="8"/>
  <c r="AB219" i="8"/>
  <c r="AB220" i="8"/>
  <c r="AB221" i="8"/>
  <c r="AB222" i="8"/>
  <c r="AB223" i="8"/>
  <c r="AB224" i="8"/>
  <c r="AB225" i="8"/>
  <c r="AB226" i="8"/>
  <c r="AB227" i="8"/>
  <c r="AB228" i="8"/>
  <c r="AB229" i="8"/>
  <c r="AB230" i="8"/>
  <c r="AB231" i="8"/>
  <c r="AB232" i="8"/>
  <c r="AB233" i="8"/>
  <c r="AB234" i="8"/>
  <c r="AB235" i="8"/>
  <c r="AB236" i="8"/>
  <c r="AB237" i="8"/>
  <c r="AB238" i="8"/>
  <c r="AB239" i="8"/>
  <c r="AB240" i="8"/>
  <c r="AB241" i="8"/>
  <c r="AB242" i="8"/>
  <c r="AB243" i="8"/>
  <c r="AB244" i="8"/>
  <c r="AB245" i="8"/>
  <c r="AB246" i="8"/>
  <c r="AB247" i="8"/>
  <c r="AB248" i="8"/>
  <c r="AB249" i="8"/>
  <c r="AB250" i="8"/>
  <c r="AB251" i="8"/>
  <c r="AB252" i="8"/>
  <c r="AB253" i="8"/>
  <c r="AB254" i="8"/>
  <c r="AB255" i="8"/>
  <c r="AB256" i="8"/>
  <c r="AB257" i="8"/>
  <c r="AB258" i="8"/>
  <c r="AB259" i="8"/>
  <c r="AB260" i="8"/>
  <c r="AB261" i="8"/>
  <c r="AB262" i="8"/>
  <c r="AB263" i="8"/>
  <c r="AB264" i="8"/>
  <c r="AB265" i="8"/>
  <c r="AB266" i="8"/>
  <c r="AB267" i="8"/>
  <c r="AB268" i="8"/>
  <c r="AB269" i="8"/>
  <c r="AB270" i="8"/>
  <c r="AB271" i="8"/>
  <c r="AB272" i="8"/>
  <c r="AB273" i="8"/>
  <c r="AB274" i="8"/>
  <c r="AB275" i="8"/>
  <c r="AB276" i="8"/>
  <c r="AB277" i="8"/>
  <c r="AB278" i="8"/>
  <c r="AB279" i="8"/>
  <c r="AB280" i="8"/>
  <c r="AB281" i="8"/>
  <c r="AB282" i="8"/>
  <c r="AB283" i="8"/>
  <c r="AB284" i="8"/>
  <c r="AB285" i="8"/>
  <c r="AB286" i="8"/>
  <c r="AB287" i="8"/>
  <c r="AB288" i="8"/>
  <c r="AB289" i="8"/>
  <c r="AB290" i="8"/>
  <c r="AB291" i="8"/>
  <c r="AB292" i="8"/>
  <c r="AB293" i="8"/>
  <c r="AB294" i="8"/>
  <c r="AB295" i="8"/>
  <c r="AB296" i="8"/>
  <c r="AB297" i="8"/>
  <c r="AB298" i="8"/>
  <c r="AB299" i="8"/>
  <c r="AB300" i="8"/>
  <c r="AB301" i="8"/>
  <c r="AB302" i="8"/>
  <c r="AB303" i="8"/>
  <c r="AB304" i="8"/>
  <c r="AB305" i="8"/>
  <c r="AB306" i="8"/>
  <c r="AB307" i="8"/>
  <c r="AB308" i="8"/>
  <c r="AB309" i="8"/>
  <c r="AB310" i="8"/>
  <c r="AB311" i="8"/>
  <c r="AB312" i="8"/>
  <c r="AB313" i="8"/>
  <c r="AB314" i="8"/>
  <c r="AB315" i="8"/>
  <c r="AB316" i="8"/>
  <c r="AB317" i="8"/>
  <c r="AB318" i="8"/>
  <c r="AB319" i="8"/>
  <c r="AB320" i="8"/>
  <c r="AB321" i="8"/>
  <c r="AB322" i="8"/>
  <c r="AB323" i="8"/>
  <c r="AB324" i="8"/>
  <c r="AB325" i="8"/>
  <c r="AB326" i="8"/>
  <c r="AB327" i="8"/>
  <c r="AB328" i="8"/>
  <c r="AB329" i="8"/>
  <c r="AB330" i="8"/>
  <c r="AB331" i="8"/>
  <c r="AB332" i="8"/>
  <c r="AB333" i="8"/>
  <c r="AB334" i="8"/>
  <c r="AB335" i="8"/>
  <c r="AB336" i="8"/>
  <c r="AB337" i="8"/>
  <c r="AB338" i="8"/>
  <c r="AB339" i="8"/>
  <c r="AB340" i="8"/>
  <c r="AB341" i="8"/>
  <c r="AB342" i="8"/>
  <c r="AB343" i="8"/>
  <c r="AB344" i="8"/>
  <c r="AB345" i="8"/>
  <c r="AB346" i="8"/>
  <c r="AB347" i="8"/>
  <c r="AB348" i="8"/>
  <c r="AB349" i="8"/>
  <c r="AB350" i="8"/>
  <c r="AB351" i="8"/>
  <c r="AB352" i="8"/>
  <c r="AB353" i="8"/>
  <c r="AB354" i="8"/>
  <c r="AB355" i="8"/>
  <c r="AB356" i="8"/>
  <c r="AB357" i="8"/>
  <c r="AB358" i="8"/>
  <c r="AB359" i="8"/>
  <c r="AB360" i="8"/>
  <c r="AB361" i="8"/>
  <c r="AB362" i="8"/>
  <c r="AB363" i="8"/>
  <c r="AB364" i="8"/>
  <c r="AB365" i="8"/>
  <c r="AB366" i="8"/>
  <c r="AB367" i="8"/>
  <c r="AB368" i="8"/>
  <c r="AB369" i="8"/>
  <c r="AB370" i="8"/>
  <c r="AB371" i="8"/>
  <c r="AB372" i="8"/>
  <c r="AB373" i="8"/>
  <c r="AB374" i="8"/>
  <c r="AB375" i="8"/>
  <c r="AB376" i="8"/>
  <c r="AB377" i="8"/>
  <c r="AB378" i="8"/>
  <c r="AB379" i="8"/>
  <c r="AB380" i="8"/>
  <c r="AB381" i="8"/>
  <c r="AB382" i="8"/>
  <c r="AB383" i="8"/>
  <c r="AB384" i="8"/>
  <c r="AB385" i="8"/>
  <c r="AB386" i="8"/>
  <c r="AB387" i="8"/>
  <c r="AB388" i="8"/>
  <c r="AB389" i="8"/>
  <c r="AB390" i="8"/>
  <c r="AB391" i="8"/>
  <c r="AB392" i="8"/>
  <c r="AB393" i="8"/>
  <c r="AB394" i="8"/>
  <c r="AB395" i="8"/>
  <c r="AB396" i="8"/>
  <c r="M399" i="9" l="1"/>
  <c r="M398" i="9"/>
  <c r="AB398" i="8"/>
  <c r="H397" i="1" l="1"/>
  <c r="I402" i="6" l="1"/>
  <c r="I403" i="6"/>
  <c r="I404" i="6"/>
  <c r="I405" i="6"/>
  <c r="I406" i="6"/>
  <c r="I407" i="6"/>
  <c r="D402" i="6"/>
  <c r="E402" i="6"/>
  <c r="F402" i="6"/>
  <c r="G402" i="6"/>
  <c r="H402" i="6"/>
  <c r="D403" i="6"/>
  <c r="E403" i="6"/>
  <c r="F403" i="6"/>
  <c r="G403" i="6"/>
  <c r="H403" i="6"/>
  <c r="D404" i="6"/>
  <c r="E404" i="6"/>
  <c r="F404" i="6"/>
  <c r="G404" i="6"/>
  <c r="H404" i="6"/>
  <c r="D405" i="6"/>
  <c r="E405" i="6"/>
  <c r="F405" i="6"/>
  <c r="G405" i="6"/>
  <c r="H405" i="6"/>
  <c r="D406" i="6"/>
  <c r="E406" i="6"/>
  <c r="F406" i="6"/>
  <c r="G406" i="6"/>
  <c r="H406" i="6"/>
  <c r="D407" i="6"/>
  <c r="E407" i="6"/>
  <c r="F407" i="6"/>
  <c r="G407" i="6"/>
  <c r="H407" i="6"/>
  <c r="C407" i="6"/>
  <c r="C406" i="6"/>
  <c r="C405" i="6"/>
  <c r="C404" i="6"/>
  <c r="C403" i="6"/>
  <c r="C402" i="6"/>
  <c r="AC4" i="4"/>
  <c r="AC5" i="4"/>
  <c r="AC6" i="4"/>
  <c r="AC7"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C68" i="4"/>
  <c r="AC69" i="4"/>
  <c r="AC70" i="4"/>
  <c r="AC71" i="4"/>
  <c r="AC72" i="4"/>
  <c r="AC73" i="4"/>
  <c r="AC74" i="4"/>
  <c r="AC75" i="4"/>
  <c r="AC76" i="4"/>
  <c r="AC77" i="4"/>
  <c r="AC78" i="4"/>
  <c r="AC79" i="4"/>
  <c r="AC80" i="4"/>
  <c r="AC81" i="4"/>
  <c r="AC82" i="4"/>
  <c r="AC83" i="4"/>
  <c r="AC84" i="4"/>
  <c r="AC85" i="4"/>
  <c r="AC86" i="4"/>
  <c r="AC87" i="4"/>
  <c r="AC88" i="4"/>
  <c r="AC89" i="4"/>
  <c r="AC90" i="4"/>
  <c r="AC91" i="4"/>
  <c r="AC92" i="4"/>
  <c r="AC93" i="4"/>
  <c r="AC94"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19" i="4"/>
  <c r="AC120" i="4"/>
  <c r="AC121" i="4"/>
  <c r="AC122" i="4"/>
  <c r="AC123" i="4"/>
  <c r="AC124"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49" i="4"/>
  <c r="AC150" i="4"/>
  <c r="AC151" i="4"/>
  <c r="AC152" i="4"/>
  <c r="AC153" i="4"/>
  <c r="AC154"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79" i="4"/>
  <c r="AC180" i="4"/>
  <c r="AC181" i="4"/>
  <c r="AC182" i="4"/>
  <c r="AC183" i="4"/>
  <c r="AC184"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09" i="4"/>
  <c r="AC210" i="4"/>
  <c r="AC211" i="4"/>
  <c r="AC212" i="4"/>
  <c r="AC213" i="4"/>
  <c r="AC214"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39" i="4"/>
  <c r="AC240" i="4"/>
  <c r="AC241" i="4"/>
  <c r="AC242" i="4"/>
  <c r="AC243" i="4"/>
  <c r="AC244"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69" i="4"/>
  <c r="AC270" i="4"/>
  <c r="AC271" i="4"/>
  <c r="AC272" i="4"/>
  <c r="AC273" i="4"/>
  <c r="AC274"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299" i="4"/>
  <c r="AC300" i="4"/>
  <c r="AC301" i="4"/>
  <c r="AC302" i="4"/>
  <c r="AC303" i="4"/>
  <c r="AC304"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29" i="4"/>
  <c r="AC330" i="4"/>
  <c r="AC331" i="4"/>
  <c r="AC332" i="4"/>
  <c r="AC333" i="4"/>
  <c r="AC334"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59" i="4"/>
  <c r="AC360" i="4"/>
  <c r="AC361" i="4"/>
  <c r="AC362" i="4"/>
  <c r="AC363" i="4"/>
  <c r="AC364"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89" i="4"/>
  <c r="AC390" i="4"/>
  <c r="AC391" i="4"/>
  <c r="AC392" i="4"/>
  <c r="AC393" i="4"/>
  <c r="AC394" i="4"/>
  <c r="AC395" i="4"/>
  <c r="AC396" i="4"/>
  <c r="AD399" i="4"/>
  <c r="AD398" i="4"/>
  <c r="AB4" i="4"/>
  <c r="AB5" i="4"/>
  <c r="AB6" i="4"/>
  <c r="AB7"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6" i="4"/>
  <c r="AB47" i="4"/>
  <c r="AB48" i="4"/>
  <c r="AB49" i="4"/>
  <c r="AB50" i="4"/>
  <c r="AB51" i="4"/>
  <c r="AB52" i="4"/>
  <c r="AB53"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AB110" i="4"/>
  <c r="AB111" i="4"/>
  <c r="AB112" i="4"/>
  <c r="AB113" i="4"/>
  <c r="AB114" i="4"/>
  <c r="AB115" i="4"/>
  <c r="AB116" i="4"/>
  <c r="AB117" i="4"/>
  <c r="AB118" i="4"/>
  <c r="AB119" i="4"/>
  <c r="AB120" i="4"/>
  <c r="AB121" i="4"/>
  <c r="AB122" i="4"/>
  <c r="AB123" i="4"/>
  <c r="AB124" i="4"/>
  <c r="AB125" i="4"/>
  <c r="AB126" i="4"/>
  <c r="AB127" i="4"/>
  <c r="AB128" i="4"/>
  <c r="AB129" i="4"/>
  <c r="AB130" i="4"/>
  <c r="AB131" i="4"/>
  <c r="AB132" i="4"/>
  <c r="AB133" i="4"/>
  <c r="AB134" i="4"/>
  <c r="AB135" i="4"/>
  <c r="AB136" i="4"/>
  <c r="AB137" i="4"/>
  <c r="AB138" i="4"/>
  <c r="AB139" i="4"/>
  <c r="AB140" i="4"/>
  <c r="AB141" i="4"/>
  <c r="AB142" i="4"/>
  <c r="AB143" i="4"/>
  <c r="AB144" i="4"/>
  <c r="AB145" i="4"/>
  <c r="AB146" i="4"/>
  <c r="AB147" i="4"/>
  <c r="AB148" i="4"/>
  <c r="AB149" i="4"/>
  <c r="AB150" i="4"/>
  <c r="AB151" i="4"/>
  <c r="AB152" i="4"/>
  <c r="AB153" i="4"/>
  <c r="AB154" i="4"/>
  <c r="AB155" i="4"/>
  <c r="AB156" i="4"/>
  <c r="AB157" i="4"/>
  <c r="AB158" i="4"/>
  <c r="AB159" i="4"/>
  <c r="AB160" i="4"/>
  <c r="AB161" i="4"/>
  <c r="AB162" i="4"/>
  <c r="AB163" i="4"/>
  <c r="AB164" i="4"/>
  <c r="AB165" i="4"/>
  <c r="AB166" i="4"/>
  <c r="AB167" i="4"/>
  <c r="AB168" i="4"/>
  <c r="AB169" i="4"/>
  <c r="AB170" i="4"/>
  <c r="AB171" i="4"/>
  <c r="AB172" i="4"/>
  <c r="AB173" i="4"/>
  <c r="AB174" i="4"/>
  <c r="AB175" i="4"/>
  <c r="AB176" i="4"/>
  <c r="AB177" i="4"/>
  <c r="AB178" i="4"/>
  <c r="AB179" i="4"/>
  <c r="AB180" i="4"/>
  <c r="AB181" i="4"/>
  <c r="AB182" i="4"/>
  <c r="AB183" i="4"/>
  <c r="AB184" i="4"/>
  <c r="AB185" i="4"/>
  <c r="AB186" i="4"/>
  <c r="AB187" i="4"/>
  <c r="AB188" i="4"/>
  <c r="AB189" i="4"/>
  <c r="AB190" i="4"/>
  <c r="AB191" i="4"/>
  <c r="AB192" i="4"/>
  <c r="AB193" i="4"/>
  <c r="AB194" i="4"/>
  <c r="AB195" i="4"/>
  <c r="AB196" i="4"/>
  <c r="AB197" i="4"/>
  <c r="AB198" i="4"/>
  <c r="AB199" i="4"/>
  <c r="AB200" i="4"/>
  <c r="AB201" i="4"/>
  <c r="AB202" i="4"/>
  <c r="AB203" i="4"/>
  <c r="AB204" i="4"/>
  <c r="AB205" i="4"/>
  <c r="AB206" i="4"/>
  <c r="AB207" i="4"/>
  <c r="AB208" i="4"/>
  <c r="AB209" i="4"/>
  <c r="AB210" i="4"/>
  <c r="AB211" i="4"/>
  <c r="AB212" i="4"/>
  <c r="AB213" i="4"/>
  <c r="AB214" i="4"/>
  <c r="AB215" i="4"/>
  <c r="AB216" i="4"/>
  <c r="AB217" i="4"/>
  <c r="AB218" i="4"/>
  <c r="AB219" i="4"/>
  <c r="AB220" i="4"/>
  <c r="AB221" i="4"/>
  <c r="AB222" i="4"/>
  <c r="AB223" i="4"/>
  <c r="AB224" i="4"/>
  <c r="AB225" i="4"/>
  <c r="AB226" i="4"/>
  <c r="AB227" i="4"/>
  <c r="AB228" i="4"/>
  <c r="AB229" i="4"/>
  <c r="AB230" i="4"/>
  <c r="AB231" i="4"/>
  <c r="AB232" i="4"/>
  <c r="AB233" i="4"/>
  <c r="AB234" i="4"/>
  <c r="AB235" i="4"/>
  <c r="AB236" i="4"/>
  <c r="AB237" i="4"/>
  <c r="AB238" i="4"/>
  <c r="AB239" i="4"/>
  <c r="AB240" i="4"/>
  <c r="AB241" i="4"/>
  <c r="AB242" i="4"/>
  <c r="AB243" i="4"/>
  <c r="AB244" i="4"/>
  <c r="AB245" i="4"/>
  <c r="AB246" i="4"/>
  <c r="AB247" i="4"/>
  <c r="AB248" i="4"/>
  <c r="AB249" i="4"/>
  <c r="AB250" i="4"/>
  <c r="AB251" i="4"/>
  <c r="AB252" i="4"/>
  <c r="AB253" i="4"/>
  <c r="AB254" i="4"/>
  <c r="AB255" i="4"/>
  <c r="AB256" i="4"/>
  <c r="AB257" i="4"/>
  <c r="AB258" i="4"/>
  <c r="AB259" i="4"/>
  <c r="AB260" i="4"/>
  <c r="AB261" i="4"/>
  <c r="AB262" i="4"/>
  <c r="AB263" i="4"/>
  <c r="AB264" i="4"/>
  <c r="AB265" i="4"/>
  <c r="AB266" i="4"/>
  <c r="AB267" i="4"/>
  <c r="AB268" i="4"/>
  <c r="AB269" i="4"/>
  <c r="AB270" i="4"/>
  <c r="AB271" i="4"/>
  <c r="AB272" i="4"/>
  <c r="AB273" i="4"/>
  <c r="AB274" i="4"/>
  <c r="AB275" i="4"/>
  <c r="AB276" i="4"/>
  <c r="AB277" i="4"/>
  <c r="AB278" i="4"/>
  <c r="AB279" i="4"/>
  <c r="AB280" i="4"/>
  <c r="AB281" i="4"/>
  <c r="AB282" i="4"/>
  <c r="AB283" i="4"/>
  <c r="AB284" i="4"/>
  <c r="AB285" i="4"/>
  <c r="AB286" i="4"/>
  <c r="AB287" i="4"/>
  <c r="AB288" i="4"/>
  <c r="AB289" i="4"/>
  <c r="AB290" i="4"/>
  <c r="AB291" i="4"/>
  <c r="AB292" i="4"/>
  <c r="AB293" i="4"/>
  <c r="AB294" i="4"/>
  <c r="AB295" i="4"/>
  <c r="AB296" i="4"/>
  <c r="AB297" i="4"/>
  <c r="AB298" i="4"/>
  <c r="AB299" i="4"/>
  <c r="AB300" i="4"/>
  <c r="AB301" i="4"/>
  <c r="AB302" i="4"/>
  <c r="AB303" i="4"/>
  <c r="AB304" i="4"/>
  <c r="AB305" i="4"/>
  <c r="AB306" i="4"/>
  <c r="AB307" i="4"/>
  <c r="AB308" i="4"/>
  <c r="AB309" i="4"/>
  <c r="AB310" i="4"/>
  <c r="AB311" i="4"/>
  <c r="AB312" i="4"/>
  <c r="AB313" i="4"/>
  <c r="AB314" i="4"/>
  <c r="AB315" i="4"/>
  <c r="AB316" i="4"/>
  <c r="AB317" i="4"/>
  <c r="AB318" i="4"/>
  <c r="AB319" i="4"/>
  <c r="AB320" i="4"/>
  <c r="AB321" i="4"/>
  <c r="AB322" i="4"/>
  <c r="AB323" i="4"/>
  <c r="AB324" i="4"/>
  <c r="AB325" i="4"/>
  <c r="AB326" i="4"/>
  <c r="AB327" i="4"/>
  <c r="AB328" i="4"/>
  <c r="AB329" i="4"/>
  <c r="AB330" i="4"/>
  <c r="AB331" i="4"/>
  <c r="AB332" i="4"/>
  <c r="AB333" i="4"/>
  <c r="AB334" i="4"/>
  <c r="AB335" i="4"/>
  <c r="AB336" i="4"/>
  <c r="AB337" i="4"/>
  <c r="AB338" i="4"/>
  <c r="AB339" i="4"/>
  <c r="AB340" i="4"/>
  <c r="AB341" i="4"/>
  <c r="AB342" i="4"/>
  <c r="AB343" i="4"/>
  <c r="AB344" i="4"/>
  <c r="AB345" i="4"/>
  <c r="AB346" i="4"/>
  <c r="AB347" i="4"/>
  <c r="AB348" i="4"/>
  <c r="AB349" i="4"/>
  <c r="AB350" i="4"/>
  <c r="AB351" i="4"/>
  <c r="AB352" i="4"/>
  <c r="AB353" i="4"/>
  <c r="AB354" i="4"/>
  <c r="AB355" i="4"/>
  <c r="AB356" i="4"/>
  <c r="AB357" i="4"/>
  <c r="AB358" i="4"/>
  <c r="AB359" i="4"/>
  <c r="AB360" i="4"/>
  <c r="AB361" i="4"/>
  <c r="AB362" i="4"/>
  <c r="AB363" i="4"/>
  <c r="AB364" i="4"/>
  <c r="AB365" i="4"/>
  <c r="AB366" i="4"/>
  <c r="AB367" i="4"/>
  <c r="AB368" i="4"/>
  <c r="AB369" i="4"/>
  <c r="AB370" i="4"/>
  <c r="AB371" i="4"/>
  <c r="AB372" i="4"/>
  <c r="AB373" i="4"/>
  <c r="AB374" i="4"/>
  <c r="AB375" i="4"/>
  <c r="AB376" i="4"/>
  <c r="AB377" i="4"/>
  <c r="AB378" i="4"/>
  <c r="AB379" i="4"/>
  <c r="AB380" i="4"/>
  <c r="AB381" i="4"/>
  <c r="AB382" i="4"/>
  <c r="AB383" i="4"/>
  <c r="AB384" i="4"/>
  <c r="AB385" i="4"/>
  <c r="AB386" i="4"/>
  <c r="AB387" i="4"/>
  <c r="AB388" i="4"/>
  <c r="AB389" i="4"/>
  <c r="AB390" i="4"/>
  <c r="AB391" i="4"/>
  <c r="AB392" i="4"/>
  <c r="AB393" i="4"/>
  <c r="AB394" i="4"/>
  <c r="AB395" i="4"/>
  <c r="AB396" i="4"/>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E399" i="6"/>
  <c r="D399" i="6"/>
  <c r="E398" i="6"/>
  <c r="D398" i="6"/>
  <c r="H398" i="4"/>
  <c r="AA399" i="4"/>
  <c r="Z399" i="4"/>
  <c r="Y399" i="4"/>
  <c r="X399" i="4"/>
  <c r="W399" i="4"/>
  <c r="V399" i="4"/>
  <c r="U399" i="4"/>
  <c r="T399" i="4"/>
  <c r="S399" i="4"/>
  <c r="R399" i="4"/>
  <c r="P399" i="4"/>
  <c r="O399" i="4"/>
  <c r="N399" i="4"/>
  <c r="M399" i="4"/>
  <c r="L399" i="4"/>
  <c r="K399" i="4"/>
  <c r="J399" i="4"/>
  <c r="I399" i="4"/>
  <c r="H399" i="4"/>
  <c r="G399" i="4"/>
  <c r="F399" i="4"/>
  <c r="E399" i="4"/>
  <c r="D399" i="4"/>
  <c r="E398" i="4"/>
  <c r="F398" i="4"/>
  <c r="G398" i="4"/>
  <c r="I398" i="4"/>
  <c r="J398" i="4"/>
  <c r="K398" i="4"/>
  <c r="L398" i="4"/>
  <c r="M398" i="4"/>
  <c r="N398" i="4"/>
  <c r="O398" i="4"/>
  <c r="P398" i="4"/>
  <c r="R398" i="4"/>
  <c r="S398" i="4"/>
  <c r="T398" i="4"/>
  <c r="U398" i="4"/>
  <c r="V398" i="4"/>
  <c r="W398" i="4"/>
  <c r="X398" i="4"/>
  <c r="Y398" i="4"/>
  <c r="Z398" i="4"/>
  <c r="AA398" i="4"/>
  <c r="D398" i="4"/>
  <c r="C397" i="4"/>
  <c r="AD399" i="3"/>
  <c r="AE399" i="3"/>
  <c r="AF399" i="3"/>
  <c r="AC399" i="3"/>
  <c r="AA399" i="3"/>
  <c r="V399" i="3"/>
  <c r="W399" i="3"/>
  <c r="X399" i="3"/>
  <c r="U399" i="3"/>
  <c r="M399" i="3"/>
  <c r="N399" i="3"/>
  <c r="O399" i="3"/>
  <c r="P399" i="3"/>
  <c r="Q399" i="3"/>
  <c r="S399" i="3"/>
  <c r="L399" i="3"/>
  <c r="G399" i="3"/>
  <c r="F399" i="3"/>
  <c r="E399" i="3"/>
  <c r="E398" i="3"/>
  <c r="F398" i="3"/>
  <c r="G398" i="3"/>
  <c r="L398" i="3"/>
  <c r="M398" i="3"/>
  <c r="N398" i="3"/>
  <c r="O398" i="3"/>
  <c r="P398" i="3"/>
  <c r="Q398" i="3"/>
  <c r="S398" i="3"/>
  <c r="U398" i="3"/>
  <c r="V398" i="3"/>
  <c r="W398" i="3"/>
  <c r="X398" i="3"/>
  <c r="AA398" i="3"/>
  <c r="AC398" i="3"/>
  <c r="AD398" i="3"/>
  <c r="AE398" i="3"/>
  <c r="AF398" i="3"/>
  <c r="D398" i="3"/>
  <c r="C397" i="3"/>
  <c r="T86" i="3"/>
  <c r="Y306" i="3"/>
  <c r="Z306" i="3"/>
  <c r="Y19" i="3"/>
  <c r="Z19" i="3"/>
  <c r="Y24" i="3"/>
  <c r="Z24" i="3"/>
  <c r="Y178" i="3"/>
  <c r="Z178" i="3"/>
  <c r="Y205" i="3"/>
  <c r="Z205" i="3"/>
  <c r="Y77" i="3"/>
  <c r="Z77" i="3"/>
  <c r="Y165" i="3"/>
  <c r="Z165" i="3"/>
  <c r="Y162" i="3"/>
  <c r="Z162" i="3"/>
  <c r="Y118" i="3"/>
  <c r="Z118" i="3"/>
  <c r="Y45" i="3"/>
  <c r="Z45" i="3"/>
  <c r="Y276" i="3"/>
  <c r="Z276" i="3"/>
  <c r="Y376" i="3"/>
  <c r="Z376" i="3"/>
  <c r="Y352" i="3"/>
  <c r="Z352" i="3"/>
  <c r="Y371" i="3"/>
  <c r="Z371" i="3"/>
  <c r="Y315" i="3"/>
  <c r="Z315" i="3"/>
  <c r="Y361" i="3"/>
  <c r="Z361" i="3"/>
  <c r="Y312" i="3"/>
  <c r="Z312" i="3"/>
  <c r="Y355" i="3"/>
  <c r="Z355" i="3"/>
  <c r="Y365" i="3"/>
  <c r="Z365" i="3"/>
  <c r="Y380" i="3"/>
  <c r="Z380" i="3"/>
  <c r="Y388" i="3"/>
  <c r="Z388" i="3"/>
  <c r="Y341" i="3"/>
  <c r="Z341" i="3"/>
  <c r="Y393" i="3"/>
  <c r="Z393" i="3"/>
  <c r="Y386" i="3"/>
  <c r="Z386" i="3"/>
  <c r="Y394" i="3"/>
  <c r="Z394" i="3"/>
  <c r="Y354" i="3"/>
  <c r="Z354" i="3"/>
  <c r="Y342" i="3"/>
  <c r="Z342" i="3"/>
  <c r="Y334" i="3"/>
  <c r="Z334" i="3"/>
  <c r="Y391" i="3"/>
  <c r="Z391" i="3"/>
  <c r="Y210" i="3"/>
  <c r="Z210" i="3"/>
  <c r="Y378" i="3"/>
  <c r="Z378" i="3"/>
  <c r="Y395" i="3"/>
  <c r="Z395" i="3"/>
  <c r="Y390" i="3"/>
  <c r="Z390" i="3"/>
  <c r="Y360" i="3"/>
  <c r="Z360" i="3"/>
  <c r="Y331" i="3"/>
  <c r="Z331" i="3"/>
  <c r="Y243" i="3"/>
  <c r="Z243" i="3"/>
  <c r="Y367" i="3"/>
  <c r="Z367" i="3"/>
  <c r="Y314" i="3"/>
  <c r="Z314" i="3"/>
  <c r="Y156" i="3"/>
  <c r="Z156" i="3"/>
  <c r="Y366" i="3"/>
  <c r="Z366" i="3"/>
  <c r="Y326" i="3"/>
  <c r="Z326" i="3"/>
  <c r="Y336" i="3"/>
  <c r="Z336" i="3"/>
  <c r="Y373" i="3"/>
  <c r="Z373" i="3"/>
  <c r="Y363" i="3"/>
  <c r="Z363" i="3"/>
  <c r="Y356" i="3"/>
  <c r="Z356" i="3"/>
  <c r="Y324" i="3"/>
  <c r="Z324" i="3"/>
  <c r="Y346" i="3"/>
  <c r="Z346" i="3"/>
  <c r="Y357" i="3"/>
  <c r="Z357" i="3"/>
  <c r="Y383" i="3"/>
  <c r="Z383" i="3"/>
  <c r="Y374" i="3"/>
  <c r="Z374" i="3"/>
  <c r="Y197" i="3"/>
  <c r="Z197" i="3"/>
  <c r="Y369" i="3"/>
  <c r="Z369" i="3"/>
  <c r="Y372" i="3"/>
  <c r="Z372" i="3"/>
  <c r="Y299" i="3"/>
  <c r="Z299" i="3"/>
  <c r="Y384" i="3"/>
  <c r="Z384" i="3"/>
  <c r="Y345" i="3"/>
  <c r="Z345" i="3"/>
  <c r="Y343" i="3"/>
  <c r="Z343" i="3"/>
  <c r="Y260" i="3"/>
  <c r="Z260" i="3"/>
  <c r="Y379" i="3"/>
  <c r="Z379" i="3"/>
  <c r="Y368" i="3"/>
  <c r="Z368" i="3"/>
  <c r="Y317" i="3"/>
  <c r="Z317" i="3"/>
  <c r="Y328" i="3"/>
  <c r="Z328" i="3"/>
  <c r="Y177" i="3"/>
  <c r="Z177" i="3"/>
  <c r="Y320" i="3"/>
  <c r="Z320" i="3"/>
  <c r="Y287" i="3"/>
  <c r="Z287" i="3"/>
  <c r="Y382" i="3"/>
  <c r="Z382" i="3"/>
  <c r="Y152" i="3"/>
  <c r="Z152" i="3"/>
  <c r="Y290" i="3"/>
  <c r="Z290" i="3"/>
  <c r="Y272" i="3"/>
  <c r="Z272" i="3"/>
  <c r="Y262" i="3"/>
  <c r="Z262" i="3"/>
  <c r="Y267" i="3"/>
  <c r="Z267" i="3"/>
  <c r="Y318" i="3"/>
  <c r="Z318" i="3"/>
  <c r="Y375" i="3"/>
  <c r="Z375" i="3"/>
  <c r="Y396" i="3"/>
  <c r="Z396" i="3"/>
  <c r="Y370" i="3"/>
  <c r="Z370" i="3"/>
  <c r="Y277" i="3"/>
  <c r="Z277" i="3"/>
  <c r="Y323" i="3"/>
  <c r="Z323" i="3"/>
  <c r="Y330" i="3"/>
  <c r="Z330" i="3"/>
  <c r="Y358" i="3"/>
  <c r="Z358" i="3"/>
  <c r="Y257" i="3"/>
  <c r="Z257" i="3"/>
  <c r="Y271" i="3"/>
  <c r="Z271" i="3"/>
  <c r="Y381" i="3"/>
  <c r="Z381" i="3"/>
  <c r="Y280" i="3"/>
  <c r="Z280" i="3"/>
  <c r="Y235" i="3"/>
  <c r="Z235" i="3"/>
  <c r="Y349" i="3"/>
  <c r="Z349" i="3"/>
  <c r="Y96" i="3"/>
  <c r="Z96" i="3"/>
  <c r="Y319" i="3"/>
  <c r="Z319" i="3"/>
  <c r="Y161" i="3"/>
  <c r="Z161" i="3"/>
  <c r="Y253" i="3"/>
  <c r="Z253" i="3"/>
  <c r="Y230" i="3"/>
  <c r="Z230" i="3"/>
  <c r="Y78" i="3"/>
  <c r="Z78" i="3"/>
  <c r="Y155" i="3"/>
  <c r="Z155" i="3"/>
  <c r="Y321" i="3"/>
  <c r="Z321" i="3"/>
  <c r="Y168" i="3"/>
  <c r="Z168" i="3"/>
  <c r="Y223" i="3"/>
  <c r="Z223" i="3"/>
  <c r="Y138" i="3"/>
  <c r="Z138" i="3"/>
  <c r="Y261" i="3"/>
  <c r="Z261" i="3"/>
  <c r="Y350" i="3"/>
  <c r="Z350" i="3"/>
  <c r="Y279" i="3"/>
  <c r="Z279" i="3"/>
  <c r="Y359" i="3"/>
  <c r="Z359" i="3"/>
  <c r="Y94" i="3"/>
  <c r="Z94" i="3"/>
  <c r="Y139" i="3"/>
  <c r="Z139" i="3"/>
  <c r="Y313" i="3"/>
  <c r="Z313" i="3"/>
  <c r="Y190" i="3"/>
  <c r="Z190" i="3"/>
  <c r="Y234" i="3"/>
  <c r="Z234" i="3"/>
  <c r="Y337" i="3"/>
  <c r="Z337" i="3"/>
  <c r="Y294" i="3"/>
  <c r="Z294" i="3"/>
  <c r="Y264" i="3"/>
  <c r="Z264" i="3"/>
  <c r="Y246" i="3"/>
  <c r="Z246" i="3"/>
  <c r="Y339" i="3"/>
  <c r="Z339" i="3"/>
  <c r="Y392" i="3"/>
  <c r="Z392" i="3"/>
  <c r="Y281" i="3"/>
  <c r="Z281" i="3"/>
  <c r="Y282" i="3"/>
  <c r="Z282" i="3"/>
  <c r="Y248" i="3"/>
  <c r="Z248" i="3"/>
  <c r="Y325" i="3"/>
  <c r="Z325" i="3"/>
  <c r="Y211" i="3"/>
  <c r="Z211" i="3"/>
  <c r="Y327" i="3"/>
  <c r="Z327" i="3"/>
  <c r="Y387" i="3"/>
  <c r="Z387" i="3"/>
  <c r="Y170" i="3"/>
  <c r="Z170" i="3"/>
  <c r="Y301" i="3"/>
  <c r="Z301" i="3"/>
  <c r="Y254" i="3"/>
  <c r="Z254" i="3"/>
  <c r="Y219" i="3"/>
  <c r="Z219" i="3"/>
  <c r="Y163" i="3"/>
  <c r="Z163" i="3"/>
  <c r="Y231" i="3"/>
  <c r="Z231" i="3"/>
  <c r="Y295" i="3"/>
  <c r="Z295" i="3"/>
  <c r="Y332" i="3"/>
  <c r="Z332" i="3"/>
  <c r="Y172" i="3"/>
  <c r="Z172" i="3"/>
  <c r="Y90" i="3"/>
  <c r="Z90" i="3"/>
  <c r="Y310" i="3"/>
  <c r="Z310" i="3"/>
  <c r="Y183" i="3"/>
  <c r="Z183" i="3"/>
  <c r="Y184" i="3"/>
  <c r="Z184" i="3"/>
  <c r="Y316" i="3"/>
  <c r="Z316" i="3"/>
  <c r="Y291" i="3"/>
  <c r="Z291" i="3"/>
  <c r="Y81" i="3"/>
  <c r="Z81" i="3"/>
  <c r="Y228" i="3"/>
  <c r="Z228" i="3"/>
  <c r="Y194" i="3"/>
  <c r="Z194" i="3"/>
  <c r="Y179" i="3"/>
  <c r="Z179" i="3"/>
  <c r="Y362" i="3"/>
  <c r="Z362" i="3"/>
  <c r="Y252" i="3"/>
  <c r="Z252" i="3"/>
  <c r="Y241" i="3"/>
  <c r="Z241" i="3"/>
  <c r="Y146" i="3"/>
  <c r="Z146" i="3"/>
  <c r="Y166" i="3"/>
  <c r="Z166" i="3"/>
  <c r="Y201" i="3"/>
  <c r="Z201" i="3"/>
  <c r="Y126" i="3"/>
  <c r="Z126" i="3"/>
  <c r="Y244" i="3"/>
  <c r="Z244" i="3"/>
  <c r="Y284" i="3"/>
  <c r="Z284" i="3"/>
  <c r="Y258" i="3"/>
  <c r="Z258" i="3"/>
  <c r="Y240" i="3"/>
  <c r="Z240" i="3"/>
  <c r="Y308" i="3"/>
  <c r="Z308" i="3"/>
  <c r="Y338" i="3"/>
  <c r="Z338" i="3"/>
  <c r="Y265" i="3"/>
  <c r="Z265" i="3"/>
  <c r="Y340" i="3"/>
  <c r="Z340" i="3"/>
  <c r="Y251" i="3"/>
  <c r="Z251" i="3"/>
  <c r="Y232" i="3"/>
  <c r="Z232" i="3"/>
  <c r="Y256" i="3"/>
  <c r="Z256" i="3"/>
  <c r="Y171" i="3"/>
  <c r="Z171" i="3"/>
  <c r="Y101" i="3"/>
  <c r="Z101" i="3"/>
  <c r="Y285" i="3"/>
  <c r="Z285" i="3"/>
  <c r="Y51" i="3"/>
  <c r="Z51" i="3"/>
  <c r="Y226" i="3"/>
  <c r="Z226" i="3"/>
  <c r="Y220" i="3"/>
  <c r="Z220" i="3"/>
  <c r="Y305" i="3"/>
  <c r="Z305" i="3"/>
  <c r="Y122" i="3"/>
  <c r="Z122" i="3"/>
  <c r="Y121" i="3"/>
  <c r="Z121" i="3"/>
  <c r="Y34" i="3"/>
  <c r="Z34" i="3"/>
  <c r="Y389" i="3"/>
  <c r="Z389" i="3"/>
  <c r="Y215" i="3"/>
  <c r="Z215" i="3"/>
  <c r="Y115" i="3"/>
  <c r="Z115" i="3"/>
  <c r="Y10" i="3"/>
  <c r="Z10" i="3"/>
  <c r="Y157" i="3"/>
  <c r="Z157" i="3"/>
  <c r="Y9" i="3"/>
  <c r="Z9" i="3"/>
  <c r="Y227" i="3"/>
  <c r="Z227" i="3"/>
  <c r="Y297" i="3"/>
  <c r="Z297" i="3"/>
  <c r="Y300" i="3"/>
  <c r="Z300" i="3"/>
  <c r="Y269" i="3"/>
  <c r="Z269" i="3"/>
  <c r="Y107" i="3"/>
  <c r="Z107" i="3"/>
  <c r="Y263" i="3"/>
  <c r="Z263" i="3"/>
  <c r="Y14" i="3"/>
  <c r="Z14" i="3"/>
  <c r="Y204" i="3"/>
  <c r="Z204" i="3"/>
  <c r="Y292" i="3"/>
  <c r="Z292" i="3"/>
  <c r="Y28" i="3"/>
  <c r="Z28" i="3"/>
  <c r="Y48" i="3"/>
  <c r="Z48" i="3"/>
  <c r="Y233" i="3"/>
  <c r="Z233" i="3"/>
  <c r="Y283" i="3"/>
  <c r="Z283" i="3"/>
  <c r="Y273" i="3"/>
  <c r="Z273" i="3"/>
  <c r="Y76" i="3"/>
  <c r="Z76" i="3"/>
  <c r="Y237" i="3"/>
  <c r="Z237" i="3"/>
  <c r="Y39" i="3"/>
  <c r="Z39" i="3"/>
  <c r="Y181" i="3"/>
  <c r="Z181" i="3"/>
  <c r="Y247" i="3"/>
  <c r="Z247" i="3"/>
  <c r="Y167" i="3"/>
  <c r="Z167" i="3"/>
  <c r="Y275" i="3"/>
  <c r="Z275" i="3"/>
  <c r="Y286" i="3"/>
  <c r="Z286" i="3"/>
  <c r="Y116" i="3"/>
  <c r="Z116" i="3"/>
  <c r="Y239" i="3"/>
  <c r="Z239" i="3"/>
  <c r="Y91" i="3"/>
  <c r="Z91" i="3"/>
  <c r="Y200" i="3"/>
  <c r="Z200" i="3"/>
  <c r="Y137" i="3"/>
  <c r="Z137" i="3"/>
  <c r="Y150" i="3"/>
  <c r="Z150" i="3"/>
  <c r="Y236" i="3"/>
  <c r="Z236" i="3"/>
  <c r="Y214" i="3"/>
  <c r="Z214" i="3"/>
  <c r="Y218" i="3"/>
  <c r="Z218" i="3"/>
  <c r="Y250" i="3"/>
  <c r="Z250" i="3"/>
  <c r="Y238" i="3"/>
  <c r="Z238" i="3"/>
  <c r="Y66" i="3"/>
  <c r="Z66" i="3"/>
  <c r="Y169" i="3"/>
  <c r="Z169" i="3"/>
  <c r="Y199" i="3"/>
  <c r="Z199" i="3"/>
  <c r="Y335" i="3"/>
  <c r="Z335" i="3"/>
  <c r="Y119" i="3"/>
  <c r="Z119" i="3"/>
  <c r="Y75" i="3"/>
  <c r="Z75" i="3"/>
  <c r="Y92" i="3"/>
  <c r="Z92" i="3"/>
  <c r="Y147" i="3"/>
  <c r="Z147" i="3"/>
  <c r="Y114" i="3"/>
  <c r="Z114" i="3"/>
  <c r="Y174" i="3"/>
  <c r="Z174" i="3"/>
  <c r="Y311" i="3"/>
  <c r="Z311" i="3"/>
  <c r="Y109" i="3"/>
  <c r="Z109" i="3"/>
  <c r="Y182" i="3"/>
  <c r="Z182" i="3"/>
  <c r="Y296" i="3"/>
  <c r="Z296" i="3"/>
  <c r="Y180" i="3"/>
  <c r="Z180" i="3"/>
  <c r="Y309" i="3"/>
  <c r="Z309" i="3"/>
  <c r="Y216" i="3"/>
  <c r="Z216" i="3"/>
  <c r="Y348" i="3"/>
  <c r="Z348" i="3"/>
  <c r="Y307" i="3"/>
  <c r="Z307" i="3"/>
  <c r="Y274" i="3"/>
  <c r="Z274" i="3"/>
  <c r="Y127" i="3"/>
  <c r="Z127" i="3"/>
  <c r="Y351" i="3"/>
  <c r="Z351" i="3"/>
  <c r="Y79" i="3"/>
  <c r="Z79" i="3"/>
  <c r="Y21" i="3"/>
  <c r="Z21" i="3"/>
  <c r="Y154" i="3"/>
  <c r="Z154" i="3"/>
  <c r="Y42" i="3"/>
  <c r="Z42" i="3"/>
  <c r="Y143" i="3"/>
  <c r="Z143" i="3"/>
  <c r="Y268" i="3"/>
  <c r="Z268" i="3"/>
  <c r="Y102" i="3"/>
  <c r="Z102" i="3"/>
  <c r="Y193" i="3"/>
  <c r="Z193" i="3"/>
  <c r="Y207" i="3"/>
  <c r="Z207" i="3"/>
  <c r="Y196" i="3"/>
  <c r="Z196" i="3"/>
  <c r="Y289" i="3"/>
  <c r="Z289" i="3"/>
  <c r="Y7" i="3"/>
  <c r="Z7" i="3"/>
  <c r="Y322" i="3"/>
  <c r="Z322" i="3"/>
  <c r="Y209" i="3"/>
  <c r="Z209" i="3"/>
  <c r="Y4" i="3"/>
  <c r="Z4" i="3"/>
  <c r="Y249" i="3"/>
  <c r="Z249" i="3"/>
  <c r="Y195" i="3"/>
  <c r="Z195" i="3"/>
  <c r="Y164" i="3"/>
  <c r="Z164" i="3"/>
  <c r="Y203" i="3"/>
  <c r="Z203" i="3"/>
  <c r="Y43" i="3"/>
  <c r="Z43" i="3"/>
  <c r="Y173" i="3"/>
  <c r="Z173" i="3"/>
  <c r="Y111" i="3"/>
  <c r="Z111" i="3"/>
  <c r="Y60" i="3"/>
  <c r="Z60" i="3"/>
  <c r="Y160" i="3"/>
  <c r="Z160" i="3"/>
  <c r="Y189" i="3"/>
  <c r="Z189" i="3"/>
  <c r="Y17" i="3"/>
  <c r="Z17" i="3"/>
  <c r="Y141" i="3"/>
  <c r="Z141" i="3"/>
  <c r="Y151" i="3"/>
  <c r="Z151" i="3"/>
  <c r="Y298" i="3"/>
  <c r="Z298" i="3"/>
  <c r="Y41" i="3"/>
  <c r="Z41" i="3"/>
  <c r="Y344" i="3"/>
  <c r="Z344" i="3"/>
  <c r="Y112" i="3"/>
  <c r="Z112" i="3"/>
  <c r="Y245" i="3"/>
  <c r="Z245" i="3"/>
  <c r="Y136" i="3"/>
  <c r="Z136" i="3"/>
  <c r="Y22" i="3"/>
  <c r="Z22" i="3"/>
  <c r="Y108" i="3"/>
  <c r="Z108" i="3"/>
  <c r="Y302" i="3"/>
  <c r="Z302" i="3"/>
  <c r="Y142" i="3"/>
  <c r="Z142" i="3"/>
  <c r="Y208" i="3"/>
  <c r="Z208" i="3"/>
  <c r="Y333" i="3"/>
  <c r="Z333" i="3"/>
  <c r="Y191" i="3"/>
  <c r="Z191" i="3"/>
  <c r="Y103" i="3"/>
  <c r="Z103" i="3"/>
  <c r="Y67" i="3"/>
  <c r="Z67" i="3"/>
  <c r="Y347" i="3"/>
  <c r="Z347" i="3"/>
  <c r="Y37" i="3"/>
  <c r="Z37" i="3"/>
  <c r="Y35" i="3"/>
  <c r="Z35" i="3"/>
  <c r="Y124" i="3"/>
  <c r="Z124" i="3"/>
  <c r="Y110" i="3"/>
  <c r="Z110" i="3"/>
  <c r="Y149" i="3"/>
  <c r="Z149" i="3"/>
  <c r="Y38" i="3"/>
  <c r="Z38" i="3"/>
  <c r="Y26" i="3"/>
  <c r="Z26" i="3"/>
  <c r="Y133" i="3"/>
  <c r="Z133" i="3"/>
  <c r="Y135" i="3"/>
  <c r="Z135" i="3"/>
  <c r="Y140" i="3"/>
  <c r="Z140" i="3"/>
  <c r="Y53" i="3"/>
  <c r="Z53" i="3"/>
  <c r="Y125" i="3"/>
  <c r="Z125" i="3"/>
  <c r="Y31" i="3"/>
  <c r="Z31" i="3"/>
  <c r="Y23" i="3"/>
  <c r="Z23" i="3"/>
  <c r="Y159" i="3"/>
  <c r="Z159" i="3"/>
  <c r="Y49" i="3"/>
  <c r="Z49" i="3"/>
  <c r="Y64" i="3"/>
  <c r="Z64" i="3"/>
  <c r="Y86" i="3"/>
  <c r="Z86" i="3"/>
  <c r="Y80" i="3"/>
  <c r="Z80" i="3"/>
  <c r="Y132" i="3"/>
  <c r="Z132" i="3"/>
  <c r="Y74" i="3"/>
  <c r="Z74" i="3"/>
  <c r="Y98" i="3"/>
  <c r="Z98" i="3"/>
  <c r="Y65" i="3"/>
  <c r="Z65" i="3"/>
  <c r="Y52" i="3"/>
  <c r="Z52" i="3"/>
  <c r="Y158" i="3"/>
  <c r="Z158" i="3"/>
  <c r="Y68" i="3"/>
  <c r="Z68" i="3"/>
  <c r="Y59" i="3"/>
  <c r="Z59" i="3"/>
  <c r="Y222" i="3"/>
  <c r="Z222" i="3"/>
  <c r="Y87" i="3"/>
  <c r="Z87" i="3"/>
  <c r="Y46" i="3"/>
  <c r="Z46" i="3"/>
  <c r="Y120" i="3"/>
  <c r="Z120" i="3"/>
  <c r="Y89" i="3"/>
  <c r="Z89" i="3"/>
  <c r="Y329" i="3"/>
  <c r="Z329" i="3"/>
  <c r="Y145" i="3"/>
  <c r="Z145" i="3"/>
  <c r="Y11" i="3"/>
  <c r="Z11" i="3"/>
  <c r="Y224" i="3"/>
  <c r="Z224" i="3"/>
  <c r="Y131" i="3"/>
  <c r="Z131" i="3"/>
  <c r="Y29" i="3"/>
  <c r="Z29" i="3"/>
  <c r="Y5" i="3"/>
  <c r="Z5" i="3"/>
  <c r="Y61" i="3"/>
  <c r="Z61" i="3"/>
  <c r="Y100" i="3"/>
  <c r="Z100" i="3"/>
  <c r="Y56" i="3"/>
  <c r="Z56" i="3"/>
  <c r="Y55" i="3"/>
  <c r="Z55" i="3"/>
  <c r="Y186" i="3"/>
  <c r="Z186" i="3"/>
  <c r="Y148" i="3"/>
  <c r="Z148" i="3"/>
  <c r="Y278" i="3"/>
  <c r="Z278" i="3"/>
  <c r="Y113" i="3"/>
  <c r="Z113" i="3"/>
  <c r="Y105" i="3"/>
  <c r="Z105" i="3"/>
  <c r="Y62" i="3"/>
  <c r="Z62" i="3"/>
  <c r="Y30" i="3"/>
  <c r="Z30" i="3"/>
  <c r="Y206" i="3"/>
  <c r="Z206" i="3"/>
  <c r="Y153" i="3"/>
  <c r="Z153" i="3"/>
  <c r="Y185" i="3"/>
  <c r="Z185" i="3"/>
  <c r="Y270" i="3"/>
  <c r="Z270" i="3"/>
  <c r="Y32" i="3"/>
  <c r="Z32" i="3"/>
  <c r="Y85" i="3"/>
  <c r="Z85" i="3"/>
  <c r="Y176" i="3"/>
  <c r="Z176" i="3"/>
  <c r="Y192" i="3"/>
  <c r="Z192" i="3"/>
  <c r="Y123" i="3"/>
  <c r="Z123" i="3"/>
  <c r="Y99" i="3"/>
  <c r="Z99" i="3"/>
  <c r="Y16" i="3"/>
  <c r="Z16" i="3"/>
  <c r="Y95" i="3"/>
  <c r="Z95" i="3"/>
  <c r="Y221" i="3"/>
  <c r="Z221" i="3"/>
  <c r="Y83" i="3"/>
  <c r="Z83" i="3"/>
  <c r="Y58" i="3"/>
  <c r="Z58" i="3"/>
  <c r="Y134" i="3"/>
  <c r="Z134" i="3"/>
  <c r="Y82" i="3"/>
  <c r="Z82" i="3"/>
  <c r="Y175" i="3"/>
  <c r="Z175" i="3"/>
  <c r="Y40" i="3"/>
  <c r="Z40" i="3"/>
  <c r="Y47" i="3"/>
  <c r="Z47" i="3"/>
  <c r="Y225" i="3"/>
  <c r="Z225" i="3"/>
  <c r="Y88" i="3"/>
  <c r="Z88" i="3"/>
  <c r="Y97" i="3"/>
  <c r="Z97" i="3"/>
  <c r="Y12" i="3"/>
  <c r="Z12" i="3"/>
  <c r="Y71" i="3"/>
  <c r="Z71" i="3"/>
  <c r="Y104" i="3"/>
  <c r="Z104" i="3"/>
  <c r="Y128" i="3"/>
  <c r="Z128" i="3"/>
  <c r="Y304" i="3"/>
  <c r="Z304" i="3"/>
  <c r="Y229" i="3"/>
  <c r="Z229" i="3"/>
  <c r="Y117" i="3"/>
  <c r="Z117" i="3"/>
  <c r="Y20" i="3"/>
  <c r="Z20" i="3"/>
  <c r="Y15" i="3"/>
  <c r="Z15" i="3"/>
  <c r="Y84" i="3"/>
  <c r="Z84" i="3"/>
  <c r="Y130" i="3"/>
  <c r="Z130" i="3"/>
  <c r="Y25" i="3"/>
  <c r="Z25" i="3"/>
  <c r="Y44" i="3"/>
  <c r="Z44" i="3"/>
  <c r="Y72" i="3"/>
  <c r="Z72" i="3"/>
  <c r="Y129" i="3"/>
  <c r="Z129" i="3"/>
  <c r="Y144" i="3"/>
  <c r="Z144" i="3"/>
  <c r="Y54" i="3"/>
  <c r="Z54" i="3"/>
  <c r="Y187" i="3"/>
  <c r="Z187" i="3"/>
  <c r="Y57" i="3"/>
  <c r="Z57" i="3"/>
  <c r="Y63" i="3"/>
  <c r="Z63" i="3"/>
  <c r="Y212" i="3"/>
  <c r="Z212" i="3"/>
  <c r="Y8" i="3"/>
  <c r="Z8" i="3"/>
  <c r="Y18" i="3"/>
  <c r="Z18" i="3"/>
  <c r="Y36" i="3"/>
  <c r="Z36" i="3"/>
  <c r="Y33" i="3"/>
  <c r="Z33" i="3"/>
  <c r="Y93" i="3"/>
  <c r="Z93" i="3"/>
  <c r="Y13" i="3"/>
  <c r="Z13" i="3"/>
  <c r="Y293" i="3"/>
  <c r="Z293" i="3"/>
  <c r="Y385" i="3"/>
  <c r="Z385" i="3"/>
  <c r="Y213" i="3"/>
  <c r="Z213" i="3"/>
  <c r="Y27" i="3"/>
  <c r="Z27" i="3"/>
  <c r="Y70" i="3"/>
  <c r="Z70" i="3"/>
  <c r="Y73" i="3"/>
  <c r="Z73" i="3"/>
  <c r="Y188" i="3"/>
  <c r="Z188" i="3"/>
  <c r="Y69" i="3"/>
  <c r="Z69" i="3"/>
  <c r="Y50" i="3"/>
  <c r="Z50" i="3"/>
  <c r="Y198" i="3"/>
  <c r="Z198" i="3"/>
  <c r="Y217" i="3"/>
  <c r="Z217" i="3"/>
  <c r="Y288" i="3"/>
  <c r="Z288" i="3"/>
  <c r="Y266" i="3"/>
  <c r="Z266" i="3"/>
  <c r="Y106" i="3"/>
  <c r="Z106" i="3"/>
  <c r="Y377" i="3"/>
  <c r="Z377" i="3"/>
  <c r="Y303" i="3"/>
  <c r="Z303" i="3"/>
  <c r="Y202" i="3"/>
  <c r="Z202" i="3"/>
  <c r="Y255" i="3"/>
  <c r="Z255" i="3"/>
  <c r="Y353" i="3"/>
  <c r="Z353" i="3"/>
  <c r="Y364" i="3"/>
  <c r="Z364" i="3"/>
  <c r="Y242" i="3"/>
  <c r="Z242" i="3"/>
  <c r="Y259" i="3"/>
  <c r="Z259" i="3"/>
  <c r="Z6" i="3"/>
  <c r="Y6" i="3"/>
  <c r="T306" i="3"/>
  <c r="T19" i="3"/>
  <c r="T178" i="3"/>
  <c r="T205" i="3"/>
  <c r="T77" i="3"/>
  <c r="T165" i="3"/>
  <c r="T162" i="3"/>
  <c r="T118" i="3"/>
  <c r="T276" i="3"/>
  <c r="T376" i="3"/>
  <c r="T371" i="3"/>
  <c r="T315" i="3"/>
  <c r="T361" i="3"/>
  <c r="T312" i="3"/>
  <c r="T355" i="3"/>
  <c r="T365" i="3"/>
  <c r="T388" i="3"/>
  <c r="T341" i="3"/>
  <c r="T393" i="3"/>
  <c r="T386" i="3"/>
  <c r="T394" i="3"/>
  <c r="T354" i="3"/>
  <c r="T342" i="3"/>
  <c r="T334" i="3"/>
  <c r="T391" i="3"/>
  <c r="T210" i="3"/>
  <c r="T378" i="3"/>
  <c r="T395" i="3"/>
  <c r="T390" i="3"/>
  <c r="T360" i="3"/>
  <c r="T331" i="3"/>
  <c r="T243" i="3"/>
  <c r="T367" i="3"/>
  <c r="T314" i="3"/>
  <c r="T156" i="3"/>
  <c r="T366" i="3"/>
  <c r="T326" i="3"/>
  <c r="T336" i="3"/>
  <c r="T373" i="3"/>
  <c r="T363" i="3"/>
  <c r="T356" i="3"/>
  <c r="T324" i="3"/>
  <c r="T346" i="3"/>
  <c r="T383" i="3"/>
  <c r="T374" i="3"/>
  <c r="T197" i="3"/>
  <c r="T369" i="3"/>
  <c r="T372" i="3"/>
  <c r="T299" i="3"/>
  <c r="T384" i="3"/>
  <c r="T345" i="3"/>
  <c r="T343" i="3"/>
  <c r="T260" i="3"/>
  <c r="T379" i="3"/>
  <c r="T368" i="3"/>
  <c r="T317" i="3"/>
  <c r="T328" i="3"/>
  <c r="T177" i="3"/>
  <c r="T320" i="3"/>
  <c r="T287" i="3"/>
  <c r="T382" i="3"/>
  <c r="T152" i="3"/>
  <c r="T290" i="3"/>
  <c r="T272" i="3"/>
  <c r="T262" i="3"/>
  <c r="T267" i="3"/>
  <c r="T318" i="3"/>
  <c r="T375" i="3"/>
  <c r="T396" i="3"/>
  <c r="T370" i="3"/>
  <c r="T277" i="3"/>
  <c r="T323" i="3"/>
  <c r="T330" i="3"/>
  <c r="T358" i="3"/>
  <c r="T257" i="3"/>
  <c r="T271" i="3"/>
  <c r="T381" i="3"/>
  <c r="T280" i="3"/>
  <c r="T235" i="3"/>
  <c r="T349" i="3"/>
  <c r="T96" i="3"/>
  <c r="T319" i="3"/>
  <c r="T161" i="3"/>
  <c r="T253" i="3"/>
  <c r="T230" i="3"/>
  <c r="T78" i="3"/>
  <c r="T155" i="3"/>
  <c r="T321" i="3"/>
  <c r="T168" i="3"/>
  <c r="T223" i="3"/>
  <c r="T138" i="3"/>
  <c r="T261" i="3"/>
  <c r="T350" i="3"/>
  <c r="T279" i="3"/>
  <c r="T359" i="3"/>
  <c r="T94" i="3"/>
  <c r="T139" i="3"/>
  <c r="T313" i="3"/>
  <c r="T190" i="3"/>
  <c r="T234" i="3"/>
  <c r="T337" i="3"/>
  <c r="T294" i="3"/>
  <c r="T264" i="3"/>
  <c r="T246" i="3"/>
  <c r="T339" i="3"/>
  <c r="T392" i="3"/>
  <c r="T281" i="3"/>
  <c r="T282" i="3"/>
  <c r="T248" i="3"/>
  <c r="T325" i="3"/>
  <c r="T211" i="3"/>
  <c r="T327" i="3"/>
  <c r="T387" i="3"/>
  <c r="T170" i="3"/>
  <c r="T301" i="3"/>
  <c r="T254" i="3"/>
  <c r="T219" i="3"/>
  <c r="T163" i="3"/>
  <c r="T231" i="3"/>
  <c r="T295" i="3"/>
  <c r="T332" i="3"/>
  <c r="T172" i="3"/>
  <c r="T90" i="3"/>
  <c r="T310" i="3"/>
  <c r="T183" i="3"/>
  <c r="T184" i="3"/>
  <c r="T316" i="3"/>
  <c r="T291" i="3"/>
  <c r="T81" i="3"/>
  <c r="T228" i="3"/>
  <c r="T194" i="3"/>
  <c r="T179" i="3"/>
  <c r="T362" i="3"/>
  <c r="T252" i="3"/>
  <c r="T241" i="3"/>
  <c r="T146" i="3"/>
  <c r="T166" i="3"/>
  <c r="T201" i="3"/>
  <c r="T126" i="3"/>
  <c r="T244" i="3"/>
  <c r="T284" i="3"/>
  <c r="T258" i="3"/>
  <c r="T240" i="3"/>
  <c r="T308" i="3"/>
  <c r="T338" i="3"/>
  <c r="T265" i="3"/>
  <c r="T340" i="3"/>
  <c r="T251" i="3"/>
  <c r="T232" i="3"/>
  <c r="T256" i="3"/>
  <c r="T171" i="3"/>
  <c r="T101" i="3"/>
  <c r="T285" i="3"/>
  <c r="T51" i="3"/>
  <c r="T226" i="3"/>
  <c r="T220" i="3"/>
  <c r="T305" i="3"/>
  <c r="T122" i="3"/>
  <c r="T121" i="3"/>
  <c r="T34" i="3"/>
  <c r="T389" i="3"/>
  <c r="T215" i="3"/>
  <c r="T115" i="3"/>
  <c r="T10" i="3"/>
  <c r="T157" i="3"/>
  <c r="T9" i="3"/>
  <c r="T227" i="3"/>
  <c r="T297" i="3"/>
  <c r="T300" i="3"/>
  <c r="T269" i="3"/>
  <c r="T107" i="3"/>
  <c r="T263" i="3"/>
  <c r="T14" i="3"/>
  <c r="T204" i="3"/>
  <c r="T292" i="3"/>
  <c r="T28" i="3"/>
  <c r="T48" i="3"/>
  <c r="T233" i="3"/>
  <c r="T283" i="3"/>
  <c r="T273" i="3"/>
  <c r="T76" i="3"/>
  <c r="T237" i="3"/>
  <c r="T39" i="3"/>
  <c r="T181" i="3"/>
  <c r="T247" i="3"/>
  <c r="T167" i="3"/>
  <c r="T275" i="3"/>
  <c r="T286" i="3"/>
  <c r="T116" i="3"/>
  <c r="T239" i="3"/>
  <c r="T91" i="3"/>
  <c r="T200" i="3"/>
  <c r="T137" i="3"/>
  <c r="T150" i="3"/>
  <c r="T236" i="3"/>
  <c r="T214" i="3"/>
  <c r="T218" i="3"/>
  <c r="T250" i="3"/>
  <c r="T238" i="3"/>
  <c r="T66" i="3"/>
  <c r="T169" i="3"/>
  <c r="T199" i="3"/>
  <c r="T335" i="3"/>
  <c r="T119" i="3"/>
  <c r="T75" i="3"/>
  <c r="T92" i="3"/>
  <c r="T147" i="3"/>
  <c r="T114" i="3"/>
  <c r="T174" i="3"/>
  <c r="T311" i="3"/>
  <c r="T109" i="3"/>
  <c r="T182" i="3"/>
  <c r="T296" i="3"/>
  <c r="T180" i="3"/>
  <c r="T309" i="3"/>
  <c r="T216" i="3"/>
  <c r="T348" i="3"/>
  <c r="T307" i="3"/>
  <c r="T274" i="3"/>
  <c r="T127" i="3"/>
  <c r="T351" i="3"/>
  <c r="T79" i="3"/>
  <c r="T21" i="3"/>
  <c r="T154" i="3"/>
  <c r="T42" i="3"/>
  <c r="T143" i="3"/>
  <c r="T268" i="3"/>
  <c r="T102" i="3"/>
  <c r="T193" i="3"/>
  <c r="T207" i="3"/>
  <c r="T196" i="3"/>
  <c r="T289" i="3"/>
  <c r="T7" i="3"/>
  <c r="T322" i="3"/>
  <c r="T209" i="3"/>
  <c r="T4" i="3"/>
  <c r="T249" i="3"/>
  <c r="T195" i="3"/>
  <c r="T164" i="3"/>
  <c r="T203" i="3"/>
  <c r="T43" i="3"/>
  <c r="T111" i="3"/>
  <c r="T60" i="3"/>
  <c r="T160" i="3"/>
  <c r="T189" i="3"/>
  <c r="T17" i="3"/>
  <c r="T141" i="3"/>
  <c r="T151" i="3"/>
  <c r="T298" i="3"/>
  <c r="T41" i="3"/>
  <c r="T344" i="3"/>
  <c r="T112" i="3"/>
  <c r="T245" i="3"/>
  <c r="T136" i="3"/>
  <c r="T22" i="3"/>
  <c r="T108" i="3"/>
  <c r="T302" i="3"/>
  <c r="T142" i="3"/>
  <c r="T208" i="3"/>
  <c r="T333" i="3"/>
  <c r="T191" i="3"/>
  <c r="T103" i="3"/>
  <c r="T67" i="3"/>
  <c r="T347" i="3"/>
  <c r="T35" i="3"/>
  <c r="T124" i="3"/>
  <c r="T110" i="3"/>
  <c r="T149" i="3"/>
  <c r="T38" i="3"/>
  <c r="T26" i="3"/>
  <c r="T133" i="3"/>
  <c r="T135" i="3"/>
  <c r="T140" i="3"/>
  <c r="T53" i="3"/>
  <c r="T125" i="3"/>
  <c r="T23" i="3"/>
  <c r="T159" i="3"/>
  <c r="T49" i="3"/>
  <c r="T64" i="3"/>
  <c r="T80" i="3"/>
  <c r="T132" i="3"/>
  <c r="T74" i="3"/>
  <c r="T98" i="3"/>
  <c r="T65" i="3"/>
  <c r="T52" i="3"/>
  <c r="T158" i="3"/>
  <c r="T68" i="3"/>
  <c r="T59" i="3"/>
  <c r="T222" i="3"/>
  <c r="T87" i="3"/>
  <c r="T46" i="3"/>
  <c r="T120" i="3"/>
  <c r="T89" i="3"/>
  <c r="T329" i="3"/>
  <c r="T145" i="3"/>
  <c r="T11" i="3"/>
  <c r="T224" i="3"/>
  <c r="T131" i="3"/>
  <c r="T29" i="3"/>
  <c r="T5" i="3"/>
  <c r="T61" i="3"/>
  <c r="T100" i="3"/>
  <c r="T56" i="3"/>
  <c r="T55" i="3"/>
  <c r="T186" i="3"/>
  <c r="T148" i="3"/>
  <c r="T278" i="3"/>
  <c r="T113" i="3"/>
  <c r="T105" i="3"/>
  <c r="T62" i="3"/>
  <c r="T30" i="3"/>
  <c r="T206" i="3"/>
  <c r="T153" i="3"/>
  <c r="T185" i="3"/>
  <c r="T270" i="3"/>
  <c r="T32" i="3"/>
  <c r="T85" i="3"/>
  <c r="T176" i="3"/>
  <c r="T192" i="3"/>
  <c r="T123" i="3"/>
  <c r="T99" i="3"/>
  <c r="T16" i="3"/>
  <c r="T95" i="3"/>
  <c r="T221" i="3"/>
  <c r="T83" i="3"/>
  <c r="T58" i="3"/>
  <c r="T82" i="3"/>
  <c r="T175" i="3"/>
  <c r="T40" i="3"/>
  <c r="T47" i="3"/>
  <c r="T225" i="3"/>
  <c r="T88" i="3"/>
  <c r="T97" i="3"/>
  <c r="T12" i="3"/>
  <c r="T71" i="3"/>
  <c r="T104" i="3"/>
  <c r="T128" i="3"/>
  <c r="T304" i="3"/>
  <c r="T229" i="3"/>
  <c r="T117" i="3"/>
  <c r="T20" i="3"/>
  <c r="T15" i="3"/>
  <c r="T84" i="3"/>
  <c r="T130" i="3"/>
  <c r="T25" i="3"/>
  <c r="T72" i="3"/>
  <c r="T129" i="3"/>
  <c r="T144" i="3"/>
  <c r="T54" i="3"/>
  <c r="T187" i="3"/>
  <c r="T57" i="3"/>
  <c r="T63" i="3"/>
  <c r="T212" i="3"/>
  <c r="T8" i="3"/>
  <c r="T18" i="3"/>
  <c r="T36" i="3"/>
  <c r="T33" i="3"/>
  <c r="T93" i="3"/>
  <c r="T13" i="3"/>
  <c r="T293" i="3"/>
  <c r="T385" i="3"/>
  <c r="T27" i="3"/>
  <c r="T70" i="3"/>
  <c r="T73" i="3"/>
  <c r="T188" i="3"/>
  <c r="T50" i="3"/>
  <c r="T198" i="3"/>
  <c r="T217" i="3"/>
  <c r="T288" i="3"/>
  <c r="T266" i="3"/>
  <c r="T106" i="3"/>
  <c r="T377" i="3"/>
  <c r="T303" i="3"/>
  <c r="T202" i="3"/>
  <c r="T255" i="3"/>
  <c r="T353" i="3"/>
  <c r="T364" i="3"/>
  <c r="T259" i="3"/>
  <c r="T173" i="3"/>
  <c r="R306" i="3"/>
  <c r="R19" i="3"/>
  <c r="R24" i="3"/>
  <c r="R178" i="3"/>
  <c r="R205" i="3"/>
  <c r="R77" i="3"/>
  <c r="R165" i="3"/>
  <c r="R162" i="3"/>
  <c r="R118" i="3"/>
  <c r="R45" i="3"/>
  <c r="R276" i="3"/>
  <c r="R376" i="3"/>
  <c r="R352" i="3"/>
  <c r="R371" i="3"/>
  <c r="R315" i="3"/>
  <c r="R361" i="3"/>
  <c r="R312" i="3"/>
  <c r="R355" i="3"/>
  <c r="R365" i="3"/>
  <c r="R380" i="3"/>
  <c r="R388" i="3"/>
  <c r="R341" i="3"/>
  <c r="R393" i="3"/>
  <c r="R386" i="3"/>
  <c r="R394" i="3"/>
  <c r="R354" i="3"/>
  <c r="R342" i="3"/>
  <c r="R334" i="3"/>
  <c r="R391" i="3"/>
  <c r="R210" i="3"/>
  <c r="R378" i="3"/>
  <c r="R395" i="3"/>
  <c r="R390" i="3"/>
  <c r="R360" i="3"/>
  <c r="R331" i="3"/>
  <c r="R243" i="3"/>
  <c r="R367" i="3"/>
  <c r="R314" i="3"/>
  <c r="R156" i="3"/>
  <c r="R366" i="3"/>
  <c r="R326" i="3"/>
  <c r="R336" i="3"/>
  <c r="R373" i="3"/>
  <c r="R363" i="3"/>
  <c r="R356" i="3"/>
  <c r="R324" i="3"/>
  <c r="R346" i="3"/>
  <c r="R357" i="3"/>
  <c r="R383" i="3"/>
  <c r="R374" i="3"/>
  <c r="R197" i="3"/>
  <c r="R369" i="3"/>
  <c r="R372" i="3"/>
  <c r="R299" i="3"/>
  <c r="R384" i="3"/>
  <c r="R345" i="3"/>
  <c r="R343" i="3"/>
  <c r="R260" i="3"/>
  <c r="R379" i="3"/>
  <c r="R368" i="3"/>
  <c r="R317" i="3"/>
  <c r="R328" i="3"/>
  <c r="R177" i="3"/>
  <c r="R320" i="3"/>
  <c r="R287" i="3"/>
  <c r="R382" i="3"/>
  <c r="R152" i="3"/>
  <c r="R290" i="3"/>
  <c r="R272" i="3"/>
  <c r="R262" i="3"/>
  <c r="R267" i="3"/>
  <c r="R318" i="3"/>
  <c r="R375" i="3"/>
  <c r="R396" i="3"/>
  <c r="R370" i="3"/>
  <c r="R277" i="3"/>
  <c r="R323" i="3"/>
  <c r="R330" i="3"/>
  <c r="R358" i="3"/>
  <c r="R257" i="3"/>
  <c r="R271" i="3"/>
  <c r="R381" i="3"/>
  <c r="R280" i="3"/>
  <c r="R235" i="3"/>
  <c r="R349" i="3"/>
  <c r="R96" i="3"/>
  <c r="R319" i="3"/>
  <c r="R161" i="3"/>
  <c r="R253" i="3"/>
  <c r="R230" i="3"/>
  <c r="R78" i="3"/>
  <c r="R155" i="3"/>
  <c r="R321" i="3"/>
  <c r="R168" i="3"/>
  <c r="R223" i="3"/>
  <c r="R138" i="3"/>
  <c r="R261" i="3"/>
  <c r="R350" i="3"/>
  <c r="R279" i="3"/>
  <c r="R359" i="3"/>
  <c r="R94" i="3"/>
  <c r="R139" i="3"/>
  <c r="R313" i="3"/>
  <c r="R190" i="3"/>
  <c r="R234" i="3"/>
  <c r="R337" i="3"/>
  <c r="R294" i="3"/>
  <c r="R264" i="3"/>
  <c r="R246" i="3"/>
  <c r="R339" i="3"/>
  <c r="R392" i="3"/>
  <c r="R281" i="3"/>
  <c r="R282" i="3"/>
  <c r="R248" i="3"/>
  <c r="R325" i="3"/>
  <c r="R211" i="3"/>
  <c r="R327" i="3"/>
  <c r="R387" i="3"/>
  <c r="R170" i="3"/>
  <c r="R301" i="3"/>
  <c r="R254" i="3"/>
  <c r="R219" i="3"/>
  <c r="R163" i="3"/>
  <c r="R231" i="3"/>
  <c r="R295" i="3"/>
  <c r="R332" i="3"/>
  <c r="R172" i="3"/>
  <c r="R90" i="3"/>
  <c r="R310" i="3"/>
  <c r="R183" i="3"/>
  <c r="R184" i="3"/>
  <c r="R316" i="3"/>
  <c r="R291" i="3"/>
  <c r="R81" i="3"/>
  <c r="R228" i="3"/>
  <c r="R194" i="3"/>
  <c r="R179" i="3"/>
  <c r="R362" i="3"/>
  <c r="R252" i="3"/>
  <c r="R241" i="3"/>
  <c r="R146" i="3"/>
  <c r="R166" i="3"/>
  <c r="R201" i="3"/>
  <c r="R126" i="3"/>
  <c r="R244" i="3"/>
  <c r="R284" i="3"/>
  <c r="R258" i="3"/>
  <c r="R240" i="3"/>
  <c r="R308" i="3"/>
  <c r="R338" i="3"/>
  <c r="R265" i="3"/>
  <c r="R340" i="3"/>
  <c r="R251" i="3"/>
  <c r="R232" i="3"/>
  <c r="R256" i="3"/>
  <c r="R171" i="3"/>
  <c r="R101" i="3"/>
  <c r="R285" i="3"/>
  <c r="R51" i="3"/>
  <c r="R226" i="3"/>
  <c r="R220" i="3"/>
  <c r="R305" i="3"/>
  <c r="R122" i="3"/>
  <c r="R121" i="3"/>
  <c r="R34" i="3"/>
  <c r="R389" i="3"/>
  <c r="R215" i="3"/>
  <c r="R115" i="3"/>
  <c r="R10" i="3"/>
  <c r="R157" i="3"/>
  <c r="R9" i="3"/>
  <c r="R227" i="3"/>
  <c r="R297" i="3"/>
  <c r="R300" i="3"/>
  <c r="R269" i="3"/>
  <c r="R107" i="3"/>
  <c r="R263" i="3"/>
  <c r="R14" i="3"/>
  <c r="R204" i="3"/>
  <c r="R292" i="3"/>
  <c r="R28" i="3"/>
  <c r="R48" i="3"/>
  <c r="R233" i="3"/>
  <c r="R283" i="3"/>
  <c r="R273" i="3"/>
  <c r="R76" i="3"/>
  <c r="R237" i="3"/>
  <c r="R39" i="3"/>
  <c r="R181" i="3"/>
  <c r="R247" i="3"/>
  <c r="R167" i="3"/>
  <c r="R275" i="3"/>
  <c r="R286" i="3"/>
  <c r="R116" i="3"/>
  <c r="R239" i="3"/>
  <c r="R91" i="3"/>
  <c r="R200" i="3"/>
  <c r="R137" i="3"/>
  <c r="R150" i="3"/>
  <c r="R236" i="3"/>
  <c r="R214" i="3"/>
  <c r="R218" i="3"/>
  <c r="R250" i="3"/>
  <c r="R238" i="3"/>
  <c r="R66" i="3"/>
  <c r="R169" i="3"/>
  <c r="R199" i="3"/>
  <c r="R335" i="3"/>
  <c r="R119" i="3"/>
  <c r="R75" i="3"/>
  <c r="R92" i="3"/>
  <c r="R147" i="3"/>
  <c r="R114" i="3"/>
  <c r="R174" i="3"/>
  <c r="R311" i="3"/>
  <c r="R109" i="3"/>
  <c r="R182" i="3"/>
  <c r="R296" i="3"/>
  <c r="R180" i="3"/>
  <c r="R309" i="3"/>
  <c r="R216" i="3"/>
  <c r="R348" i="3"/>
  <c r="R307" i="3"/>
  <c r="R274" i="3"/>
  <c r="R127" i="3"/>
  <c r="R351" i="3"/>
  <c r="R79" i="3"/>
  <c r="R21" i="3"/>
  <c r="R154" i="3"/>
  <c r="R42" i="3"/>
  <c r="R143" i="3"/>
  <c r="R268" i="3"/>
  <c r="R102" i="3"/>
  <c r="R193" i="3"/>
  <c r="R207" i="3"/>
  <c r="R196" i="3"/>
  <c r="R289" i="3"/>
  <c r="R7" i="3"/>
  <c r="R322" i="3"/>
  <c r="R209" i="3"/>
  <c r="R4" i="3"/>
  <c r="R249" i="3"/>
  <c r="R195" i="3"/>
  <c r="R164" i="3"/>
  <c r="R203" i="3"/>
  <c r="R43" i="3"/>
  <c r="R173" i="3"/>
  <c r="R111" i="3"/>
  <c r="R60" i="3"/>
  <c r="R160" i="3"/>
  <c r="R189" i="3"/>
  <c r="R17" i="3"/>
  <c r="R141" i="3"/>
  <c r="R151" i="3"/>
  <c r="R298" i="3"/>
  <c r="R41" i="3"/>
  <c r="R344" i="3"/>
  <c r="R112" i="3"/>
  <c r="R245" i="3"/>
  <c r="R136" i="3"/>
  <c r="R22" i="3"/>
  <c r="R108" i="3"/>
  <c r="R302" i="3"/>
  <c r="R142" i="3"/>
  <c r="R208" i="3"/>
  <c r="R333" i="3"/>
  <c r="R191" i="3"/>
  <c r="R103" i="3"/>
  <c r="R67" i="3"/>
  <c r="R347" i="3"/>
  <c r="R37" i="3"/>
  <c r="R35" i="3"/>
  <c r="R124" i="3"/>
  <c r="R110" i="3"/>
  <c r="R149" i="3"/>
  <c r="R38" i="3"/>
  <c r="R26" i="3"/>
  <c r="R133" i="3"/>
  <c r="R135" i="3"/>
  <c r="R140" i="3"/>
  <c r="R53" i="3"/>
  <c r="R125" i="3"/>
  <c r="R31" i="3"/>
  <c r="R23" i="3"/>
  <c r="R159" i="3"/>
  <c r="R49" i="3"/>
  <c r="R64" i="3"/>
  <c r="R86" i="3"/>
  <c r="R80" i="3"/>
  <c r="R132" i="3"/>
  <c r="R74" i="3"/>
  <c r="R98" i="3"/>
  <c r="R65" i="3"/>
  <c r="R52" i="3"/>
  <c r="R158" i="3"/>
  <c r="R68" i="3"/>
  <c r="R59" i="3"/>
  <c r="R222" i="3"/>
  <c r="R87" i="3"/>
  <c r="R46" i="3"/>
  <c r="R120" i="3"/>
  <c r="R89" i="3"/>
  <c r="R329" i="3"/>
  <c r="R145" i="3"/>
  <c r="R11" i="3"/>
  <c r="R224" i="3"/>
  <c r="R131" i="3"/>
  <c r="R29" i="3"/>
  <c r="R5" i="3"/>
  <c r="R61" i="3"/>
  <c r="R100" i="3"/>
  <c r="R56" i="3"/>
  <c r="R55" i="3"/>
  <c r="R186" i="3"/>
  <c r="R148" i="3"/>
  <c r="R278" i="3"/>
  <c r="R113" i="3"/>
  <c r="R105" i="3"/>
  <c r="R62" i="3"/>
  <c r="R30" i="3"/>
  <c r="R206" i="3"/>
  <c r="R153" i="3"/>
  <c r="R185" i="3"/>
  <c r="R270" i="3"/>
  <c r="R32" i="3"/>
  <c r="R85" i="3"/>
  <c r="R176" i="3"/>
  <c r="R192" i="3"/>
  <c r="R123" i="3"/>
  <c r="R99" i="3"/>
  <c r="R16" i="3"/>
  <c r="R95" i="3"/>
  <c r="R221" i="3"/>
  <c r="R83" i="3"/>
  <c r="R58" i="3"/>
  <c r="R134" i="3"/>
  <c r="R82" i="3"/>
  <c r="R175" i="3"/>
  <c r="R40" i="3"/>
  <c r="R47" i="3"/>
  <c r="R225" i="3"/>
  <c r="R88" i="3"/>
  <c r="R97" i="3"/>
  <c r="R12" i="3"/>
  <c r="R71" i="3"/>
  <c r="R104" i="3"/>
  <c r="R128" i="3"/>
  <c r="R304" i="3"/>
  <c r="R229" i="3"/>
  <c r="R117" i="3"/>
  <c r="R20" i="3"/>
  <c r="R15" i="3"/>
  <c r="R84" i="3"/>
  <c r="R130" i="3"/>
  <c r="R25" i="3"/>
  <c r="R44" i="3"/>
  <c r="R72" i="3"/>
  <c r="R129" i="3"/>
  <c r="R144" i="3"/>
  <c r="R54" i="3"/>
  <c r="R187" i="3"/>
  <c r="R57" i="3"/>
  <c r="R63" i="3"/>
  <c r="R212" i="3"/>
  <c r="R8" i="3"/>
  <c r="R18" i="3"/>
  <c r="R36" i="3"/>
  <c r="R33" i="3"/>
  <c r="R93" i="3"/>
  <c r="R13" i="3"/>
  <c r="R293" i="3"/>
  <c r="R385" i="3"/>
  <c r="R213" i="3"/>
  <c r="R27" i="3"/>
  <c r="R70" i="3"/>
  <c r="R73" i="3"/>
  <c r="R188" i="3"/>
  <c r="R69" i="3"/>
  <c r="R50" i="3"/>
  <c r="R198" i="3"/>
  <c r="R217" i="3"/>
  <c r="R288" i="3"/>
  <c r="R266" i="3"/>
  <c r="R106" i="3"/>
  <c r="R377" i="3"/>
  <c r="R303" i="3"/>
  <c r="R202" i="3"/>
  <c r="R255" i="3"/>
  <c r="R353" i="3"/>
  <c r="R364" i="3"/>
  <c r="R242" i="3"/>
  <c r="R259" i="3"/>
  <c r="R6" i="3"/>
  <c r="J74" i="3"/>
  <c r="K74" i="3"/>
  <c r="J230" i="3"/>
  <c r="K230" i="3"/>
  <c r="J152" i="3"/>
  <c r="K152" i="3"/>
  <c r="J153" i="3"/>
  <c r="K153" i="3"/>
  <c r="J154" i="3"/>
  <c r="K154" i="3"/>
  <c r="J155" i="3"/>
  <c r="K155" i="3"/>
  <c r="J4" i="3"/>
  <c r="K4" i="3"/>
  <c r="J231" i="3"/>
  <c r="K231" i="3"/>
  <c r="J309" i="3"/>
  <c r="K309" i="3"/>
  <c r="J310" i="3"/>
  <c r="K310" i="3"/>
  <c r="J156" i="3"/>
  <c r="K156" i="3"/>
  <c r="J75" i="3"/>
  <c r="K75" i="3"/>
  <c r="J311" i="3"/>
  <c r="K311" i="3"/>
  <c r="J157" i="3"/>
  <c r="K157" i="3"/>
  <c r="J352" i="3"/>
  <c r="K352" i="3"/>
  <c r="J76" i="3"/>
  <c r="K76" i="3"/>
  <c r="J5" i="3"/>
  <c r="K5" i="3"/>
  <c r="J77" i="3"/>
  <c r="K77" i="3"/>
  <c r="J232" i="3"/>
  <c r="K232" i="3"/>
  <c r="J158" i="3"/>
  <c r="K158" i="3"/>
  <c r="J233" i="3"/>
  <c r="K233" i="3"/>
  <c r="J78" i="3"/>
  <c r="K78" i="3"/>
  <c r="J312" i="3"/>
  <c r="K312" i="3"/>
  <c r="J79" i="3"/>
  <c r="K79" i="3"/>
  <c r="J159" i="3"/>
  <c r="K159" i="3"/>
  <c r="J353" i="3"/>
  <c r="K353" i="3"/>
  <c r="J6" i="3"/>
  <c r="K6" i="3"/>
  <c r="J7" i="3"/>
  <c r="K7" i="3"/>
  <c r="J313" i="3"/>
  <c r="K313" i="3"/>
  <c r="J8" i="3"/>
  <c r="K8" i="3"/>
  <c r="J234" i="3"/>
  <c r="K234" i="3"/>
  <c r="J9" i="3"/>
  <c r="K9" i="3"/>
  <c r="J10" i="3"/>
  <c r="K10" i="3"/>
  <c r="J235" i="3"/>
  <c r="K235" i="3"/>
  <c r="J160" i="3"/>
  <c r="K160" i="3"/>
  <c r="J80" i="3"/>
  <c r="K80" i="3"/>
  <c r="J11" i="3"/>
  <c r="K11" i="3"/>
  <c r="J236" i="3"/>
  <c r="K236" i="3"/>
  <c r="J161" i="3"/>
  <c r="K161" i="3"/>
  <c r="J314" i="3"/>
  <c r="K314" i="3"/>
  <c r="J162" i="3"/>
  <c r="K162" i="3"/>
  <c r="J315" i="3"/>
  <c r="K315" i="3"/>
  <c r="J237" i="3"/>
  <c r="K237" i="3"/>
  <c r="J238" i="3"/>
  <c r="K238" i="3"/>
  <c r="J81" i="3"/>
  <c r="K81" i="3"/>
  <c r="J239" i="3"/>
  <c r="K239" i="3"/>
  <c r="J316" i="3"/>
  <c r="K316" i="3"/>
  <c r="J82" i="3"/>
  <c r="K82" i="3"/>
  <c r="J163" i="3"/>
  <c r="K163" i="3"/>
  <c r="J164" i="3"/>
  <c r="K164" i="3"/>
  <c r="J12" i="3"/>
  <c r="K12" i="3"/>
  <c r="J317" i="3"/>
  <c r="K317" i="3"/>
  <c r="J165" i="3"/>
  <c r="K165" i="3"/>
  <c r="J83" i="3"/>
  <c r="K83" i="3"/>
  <c r="J354" i="3"/>
  <c r="K354" i="3"/>
  <c r="J355" i="3"/>
  <c r="K355" i="3"/>
  <c r="J166" i="3"/>
  <c r="K166" i="3"/>
  <c r="J13" i="3"/>
  <c r="K13" i="3"/>
  <c r="J167" i="3"/>
  <c r="K167" i="3"/>
  <c r="J318" i="3"/>
  <c r="K318" i="3"/>
  <c r="J168" i="3"/>
  <c r="K168" i="3"/>
  <c r="J169" i="3"/>
  <c r="K169" i="3"/>
  <c r="J14" i="3"/>
  <c r="K14" i="3"/>
  <c r="J240" i="3"/>
  <c r="K240" i="3"/>
  <c r="J170" i="3"/>
  <c r="K170" i="3"/>
  <c r="J241" i="3"/>
  <c r="K241" i="3"/>
  <c r="J15" i="3"/>
  <c r="K15" i="3"/>
  <c r="J242" i="3"/>
  <c r="K242" i="3"/>
  <c r="J243" i="3"/>
  <c r="K243" i="3"/>
  <c r="J319" i="3"/>
  <c r="K319" i="3"/>
  <c r="J356" i="3"/>
  <c r="K356" i="3"/>
  <c r="J320" i="3"/>
  <c r="K320" i="3"/>
  <c r="J16" i="3"/>
  <c r="K16" i="3"/>
  <c r="J357" i="3"/>
  <c r="K357" i="3"/>
  <c r="J84" i="3"/>
  <c r="K84" i="3"/>
  <c r="J244" i="3"/>
  <c r="K244" i="3"/>
  <c r="J17" i="3"/>
  <c r="K17" i="3"/>
  <c r="J18" i="3"/>
  <c r="K18" i="3"/>
  <c r="J321" i="3"/>
  <c r="K321" i="3"/>
  <c r="J322" i="3"/>
  <c r="K322" i="3"/>
  <c r="J245" i="3"/>
  <c r="K245" i="3"/>
  <c r="J85" i="3"/>
  <c r="K85" i="3"/>
  <c r="J171" i="3"/>
  <c r="K171" i="3"/>
  <c r="J246" i="3"/>
  <c r="K246" i="3"/>
  <c r="J323" i="3"/>
  <c r="K323" i="3"/>
  <c r="J19" i="3"/>
  <c r="K19" i="3"/>
  <c r="J20" i="3"/>
  <c r="K20" i="3"/>
  <c r="J21" i="3"/>
  <c r="K21" i="3"/>
  <c r="J22" i="3"/>
  <c r="K22" i="3"/>
  <c r="J23" i="3"/>
  <c r="K23" i="3"/>
  <c r="J358" i="3"/>
  <c r="K358" i="3"/>
  <c r="J359" i="3"/>
  <c r="K359" i="3"/>
  <c r="J86" i="3"/>
  <c r="K86" i="3"/>
  <c r="J324" i="3"/>
  <c r="K324" i="3"/>
  <c r="J172" i="3"/>
  <c r="K172" i="3"/>
  <c r="J24" i="3"/>
  <c r="K24" i="3"/>
  <c r="J360" i="3"/>
  <c r="K360" i="3"/>
  <c r="J247" i="3"/>
  <c r="K247" i="3"/>
  <c r="J248" i="3"/>
  <c r="K248" i="3"/>
  <c r="J325" i="3"/>
  <c r="K325" i="3"/>
  <c r="J87" i="3"/>
  <c r="K87" i="3"/>
  <c r="J173" i="3"/>
  <c r="K173" i="3"/>
  <c r="J249" i="3"/>
  <c r="K249" i="3"/>
  <c r="J88" i="3"/>
  <c r="K88" i="3"/>
  <c r="J89" i="3"/>
  <c r="K89" i="3"/>
  <c r="J326" i="3"/>
  <c r="K326" i="3"/>
  <c r="J327" i="3"/>
  <c r="K327" i="3"/>
  <c r="J250" i="3"/>
  <c r="K250" i="3"/>
  <c r="J174" i="3"/>
  <c r="K174" i="3"/>
  <c r="J175" i="3"/>
  <c r="K175" i="3"/>
  <c r="J90" i="3"/>
  <c r="K90" i="3"/>
  <c r="J25" i="3"/>
  <c r="K25" i="3"/>
  <c r="J26" i="3"/>
  <c r="K26" i="3"/>
  <c r="J251" i="3"/>
  <c r="K251" i="3"/>
  <c r="J176" i="3"/>
  <c r="K176" i="3"/>
  <c r="J27" i="3"/>
  <c r="K27" i="3"/>
  <c r="J361" i="3"/>
  <c r="K361" i="3"/>
  <c r="J252" i="3"/>
  <c r="K252" i="3"/>
  <c r="J253" i="3"/>
  <c r="K253" i="3"/>
  <c r="J28" i="3"/>
  <c r="K28" i="3"/>
  <c r="J254" i="3"/>
  <c r="K254" i="3"/>
  <c r="J255" i="3"/>
  <c r="K255" i="3"/>
  <c r="J362" i="3"/>
  <c r="K362" i="3"/>
  <c r="J91" i="3"/>
  <c r="K91" i="3"/>
  <c r="J256" i="3"/>
  <c r="K256" i="3"/>
  <c r="J177" i="3"/>
  <c r="K177" i="3"/>
  <c r="J29" i="3"/>
  <c r="K29" i="3"/>
  <c r="J257" i="3"/>
  <c r="K257" i="3"/>
  <c r="J92" i="3"/>
  <c r="K92" i="3"/>
  <c r="J258" i="3"/>
  <c r="K258" i="3"/>
  <c r="J259" i="3"/>
  <c r="K259" i="3"/>
  <c r="J178" i="3"/>
  <c r="K178" i="3"/>
  <c r="J30" i="3"/>
  <c r="K30" i="3"/>
  <c r="J328" i="3"/>
  <c r="K328" i="3"/>
  <c r="J179" i="3"/>
  <c r="K179" i="3"/>
  <c r="J363" i="3"/>
  <c r="K363" i="3"/>
  <c r="J31" i="3"/>
  <c r="K31" i="3"/>
  <c r="J329" i="3"/>
  <c r="K329" i="3"/>
  <c r="J180" i="3"/>
  <c r="K180" i="3"/>
  <c r="J260" i="3"/>
  <c r="K260" i="3"/>
  <c r="J32" i="3"/>
  <c r="K32" i="3"/>
  <c r="J33" i="3"/>
  <c r="K33" i="3"/>
  <c r="J364" i="3"/>
  <c r="K364" i="3"/>
  <c r="J261" i="3"/>
  <c r="K261" i="3"/>
  <c r="J365" i="3"/>
  <c r="K365" i="3"/>
  <c r="J181" i="3"/>
  <c r="K181" i="3"/>
  <c r="J366" i="3"/>
  <c r="K366" i="3"/>
  <c r="J330" i="3"/>
  <c r="K330" i="3"/>
  <c r="J262" i="3"/>
  <c r="K262" i="3"/>
  <c r="J263" i="3"/>
  <c r="K263" i="3"/>
  <c r="J93" i="3"/>
  <c r="K93" i="3"/>
  <c r="J94" i="3"/>
  <c r="K94" i="3"/>
  <c r="J264" i="3"/>
  <c r="K264" i="3"/>
  <c r="J265" i="3"/>
  <c r="K265" i="3"/>
  <c r="J266" i="3"/>
  <c r="K266" i="3"/>
  <c r="J182" i="3"/>
  <c r="K182" i="3"/>
  <c r="J95" i="3"/>
  <c r="K95" i="3"/>
  <c r="J267" i="3"/>
  <c r="K267" i="3"/>
  <c r="J268" i="3"/>
  <c r="K268" i="3"/>
  <c r="J183" i="3"/>
  <c r="K183" i="3"/>
  <c r="J367" i="3"/>
  <c r="K367" i="3"/>
  <c r="J96" i="3"/>
  <c r="K96" i="3"/>
  <c r="J269" i="3"/>
  <c r="K269" i="3"/>
  <c r="J184" i="3"/>
  <c r="K184" i="3"/>
  <c r="J270" i="3"/>
  <c r="K270" i="3"/>
  <c r="J97" i="3"/>
  <c r="K97" i="3"/>
  <c r="J34" i="3"/>
  <c r="K34" i="3"/>
  <c r="J98" i="3"/>
  <c r="K98" i="3"/>
  <c r="J271" i="3"/>
  <c r="K271" i="3"/>
  <c r="J272" i="3"/>
  <c r="K272" i="3"/>
  <c r="J99" i="3"/>
  <c r="K99" i="3"/>
  <c r="J368" i="3"/>
  <c r="K368" i="3"/>
  <c r="J100" i="3"/>
  <c r="K100" i="3"/>
  <c r="J185" i="3"/>
  <c r="K185" i="3"/>
  <c r="J35" i="3"/>
  <c r="K35" i="3"/>
  <c r="J101" i="3"/>
  <c r="K101" i="3"/>
  <c r="J273" i="3"/>
  <c r="K273" i="3"/>
  <c r="J331" i="3"/>
  <c r="K331" i="3"/>
  <c r="J102" i="3"/>
  <c r="K102" i="3"/>
  <c r="J274" i="3"/>
  <c r="K274" i="3"/>
  <c r="J103" i="3"/>
  <c r="K103" i="3"/>
  <c r="J369" i="3"/>
  <c r="K369" i="3"/>
  <c r="J104" i="3"/>
  <c r="K104" i="3"/>
  <c r="J105" i="3"/>
  <c r="K105" i="3"/>
  <c r="J106" i="3"/>
  <c r="K106" i="3"/>
  <c r="J370" i="3"/>
  <c r="K370" i="3"/>
  <c r="J275" i="3"/>
  <c r="K275" i="3"/>
  <c r="J371" i="3"/>
  <c r="K371" i="3"/>
  <c r="J187" i="3"/>
  <c r="K187" i="3"/>
  <c r="J186" i="3"/>
  <c r="K186" i="3"/>
  <c r="J36" i="3"/>
  <c r="K36" i="3"/>
  <c r="J107" i="3"/>
  <c r="K107" i="3"/>
  <c r="J372" i="3"/>
  <c r="K372" i="3"/>
  <c r="J37" i="3"/>
  <c r="K37" i="3"/>
  <c r="J38" i="3"/>
  <c r="K38" i="3"/>
  <c r="J276" i="3"/>
  <c r="K276" i="3"/>
  <c r="J39" i="3"/>
  <c r="K39" i="3"/>
  <c r="J108" i="3"/>
  <c r="K108" i="3"/>
  <c r="J109" i="3"/>
  <c r="K109" i="3"/>
  <c r="J332" i="3"/>
  <c r="K332" i="3"/>
  <c r="J188" i="3"/>
  <c r="K188" i="3"/>
  <c r="J40" i="3"/>
  <c r="K40" i="3"/>
  <c r="J333" i="3"/>
  <c r="K333" i="3"/>
  <c r="J277" i="3"/>
  <c r="K277" i="3"/>
  <c r="J41" i="3"/>
  <c r="K41" i="3"/>
  <c r="J373" i="3"/>
  <c r="K373" i="3"/>
  <c r="J189" i="3"/>
  <c r="K189" i="3"/>
  <c r="J334" i="3"/>
  <c r="K334" i="3"/>
  <c r="J110" i="3"/>
  <c r="K110" i="3"/>
  <c r="J278" i="3"/>
  <c r="K278" i="3"/>
  <c r="J42" i="3"/>
  <c r="K42" i="3"/>
  <c r="J111" i="3"/>
  <c r="K111" i="3"/>
  <c r="J279" i="3"/>
  <c r="K279" i="3"/>
  <c r="J43" i="3"/>
  <c r="K43" i="3"/>
  <c r="J112" i="3"/>
  <c r="K112" i="3"/>
  <c r="J335" i="3"/>
  <c r="K335" i="3"/>
  <c r="J113" i="3"/>
  <c r="K113" i="3"/>
  <c r="J190" i="3"/>
  <c r="K190" i="3"/>
  <c r="J280" i="3"/>
  <c r="K280" i="3"/>
  <c r="J191" i="3"/>
  <c r="K191" i="3"/>
  <c r="J44" i="3"/>
  <c r="K44" i="3"/>
  <c r="J114" i="3"/>
  <c r="K114" i="3"/>
  <c r="J115" i="3"/>
  <c r="K115" i="3"/>
  <c r="J281" i="3"/>
  <c r="K281" i="3"/>
  <c r="J336" i="3"/>
  <c r="K336" i="3"/>
  <c r="J282" i="3"/>
  <c r="K282" i="3"/>
  <c r="J116" i="3"/>
  <c r="K116" i="3"/>
  <c r="J117" i="3"/>
  <c r="K117" i="3"/>
  <c r="J45" i="3"/>
  <c r="K45" i="3"/>
  <c r="J192" i="3"/>
  <c r="K192" i="3"/>
  <c r="J118" i="3"/>
  <c r="K118" i="3"/>
  <c r="J283" i="3"/>
  <c r="K283" i="3"/>
  <c r="J46" i="3"/>
  <c r="K46" i="3"/>
  <c r="J284" i="3"/>
  <c r="K284" i="3"/>
  <c r="J285" i="3"/>
  <c r="K285" i="3"/>
  <c r="J193" i="3"/>
  <c r="K193" i="3"/>
  <c r="J286" i="3"/>
  <c r="K286" i="3"/>
  <c r="J374" i="3"/>
  <c r="K374" i="3"/>
  <c r="J194" i="3"/>
  <c r="K194" i="3"/>
  <c r="J119" i="3"/>
  <c r="K119" i="3"/>
  <c r="J120" i="3"/>
  <c r="K120" i="3"/>
  <c r="J287" i="3"/>
  <c r="K287" i="3"/>
  <c r="J47" i="3"/>
  <c r="K47" i="3"/>
  <c r="J195" i="3"/>
  <c r="K195" i="3"/>
  <c r="J375" i="3"/>
  <c r="K375" i="3"/>
  <c r="J196" i="3"/>
  <c r="K196" i="3"/>
  <c r="J121" i="3"/>
  <c r="K121" i="3"/>
  <c r="J122" i="3"/>
  <c r="K122" i="3"/>
  <c r="J288" i="3"/>
  <c r="K288" i="3"/>
  <c r="J123" i="3"/>
  <c r="K123" i="3"/>
  <c r="J48" i="3"/>
  <c r="K48" i="3"/>
  <c r="J197" i="3"/>
  <c r="K197" i="3"/>
  <c r="J337" i="3"/>
  <c r="K337" i="3"/>
  <c r="J124" i="3"/>
  <c r="K124" i="3"/>
  <c r="J376" i="3"/>
  <c r="K376" i="3"/>
  <c r="J338" i="3"/>
  <c r="K338" i="3"/>
  <c r="J289" i="3"/>
  <c r="K289" i="3"/>
  <c r="J49" i="3"/>
  <c r="K49" i="3"/>
  <c r="J339" i="3"/>
  <c r="K339" i="3"/>
  <c r="J50" i="3"/>
  <c r="K50" i="3"/>
  <c r="J198" i="3"/>
  <c r="K198" i="3"/>
  <c r="J290" i="3"/>
  <c r="K290" i="3"/>
  <c r="J291" i="3"/>
  <c r="K291" i="3"/>
  <c r="J125" i="3"/>
  <c r="K125" i="3"/>
  <c r="J292" i="3"/>
  <c r="K292" i="3"/>
  <c r="J199" i="3"/>
  <c r="K199" i="3"/>
  <c r="J126" i="3"/>
  <c r="K126" i="3"/>
  <c r="J200" i="3"/>
  <c r="K200" i="3"/>
  <c r="J293" i="3"/>
  <c r="K293" i="3"/>
  <c r="J127" i="3"/>
  <c r="K127" i="3"/>
  <c r="J51" i="3"/>
  <c r="K51" i="3"/>
  <c r="J201" i="3"/>
  <c r="K201" i="3"/>
  <c r="J340" i="3"/>
  <c r="K340" i="3"/>
  <c r="J294" i="3"/>
  <c r="K294" i="3"/>
  <c r="J128" i="3"/>
  <c r="K128" i="3"/>
  <c r="J202" i="3"/>
  <c r="K202" i="3"/>
  <c r="J129" i="3"/>
  <c r="K129" i="3"/>
  <c r="J341" i="3"/>
  <c r="K341" i="3"/>
  <c r="J377" i="3"/>
  <c r="K377" i="3"/>
  <c r="J52" i="3"/>
  <c r="K52" i="3"/>
  <c r="J378" i="3"/>
  <c r="K378" i="3"/>
  <c r="J295" i="3"/>
  <c r="K295" i="3"/>
  <c r="J296" i="3"/>
  <c r="K296" i="3"/>
  <c r="J130" i="3"/>
  <c r="K130" i="3"/>
  <c r="J297" i="3"/>
  <c r="K297" i="3"/>
  <c r="J379" i="3"/>
  <c r="K379" i="3"/>
  <c r="J131" i="3"/>
  <c r="K131" i="3"/>
  <c r="J132" i="3"/>
  <c r="K132" i="3"/>
  <c r="J203" i="3"/>
  <c r="K203" i="3"/>
  <c r="J53" i="3"/>
  <c r="K53" i="3"/>
  <c r="J133" i="3"/>
  <c r="K133" i="3"/>
  <c r="J342" i="3"/>
  <c r="K342" i="3"/>
  <c r="J204" i="3"/>
  <c r="K204" i="3"/>
  <c r="J134" i="3"/>
  <c r="K134" i="3"/>
  <c r="J54" i="3"/>
  <c r="K54" i="3"/>
  <c r="J55" i="3"/>
  <c r="K55" i="3"/>
  <c r="J205" i="3"/>
  <c r="K205" i="3"/>
  <c r="J56" i="3"/>
  <c r="K56" i="3"/>
  <c r="J57" i="3"/>
  <c r="K57" i="3"/>
  <c r="J135" i="3"/>
  <c r="K135" i="3"/>
  <c r="J206" i="3"/>
  <c r="K206" i="3"/>
  <c r="J298" i="3"/>
  <c r="K298" i="3"/>
  <c r="J380" i="3"/>
  <c r="K380" i="3"/>
  <c r="J343" i="3"/>
  <c r="K343" i="3"/>
  <c r="J344" i="3"/>
  <c r="K344" i="3"/>
  <c r="J136" i="3"/>
  <c r="K136" i="3"/>
  <c r="J345" i="3"/>
  <c r="K345" i="3"/>
  <c r="J381" i="3"/>
  <c r="K381" i="3"/>
  <c r="J58" i="3"/>
  <c r="K58" i="3"/>
  <c r="J207" i="3"/>
  <c r="K207" i="3"/>
  <c r="J208" i="3"/>
  <c r="K208" i="3"/>
  <c r="J382" i="3"/>
  <c r="K382" i="3"/>
  <c r="J383" i="3"/>
  <c r="K383" i="3"/>
  <c r="J137" i="3"/>
  <c r="K137" i="3"/>
  <c r="J209" i="3"/>
  <c r="K209" i="3"/>
  <c r="J299" i="3"/>
  <c r="K299" i="3"/>
  <c r="J346" i="3"/>
  <c r="K346" i="3"/>
  <c r="J210" i="3"/>
  <c r="K210" i="3"/>
  <c r="J138" i="3"/>
  <c r="K138" i="3"/>
  <c r="J211" i="3"/>
  <c r="K211" i="3"/>
  <c r="J139" i="3"/>
  <c r="K139" i="3"/>
  <c r="J59" i="3"/>
  <c r="K59" i="3"/>
  <c r="J212" i="3"/>
  <c r="K212" i="3"/>
  <c r="J140" i="3"/>
  <c r="K140" i="3"/>
  <c r="J60" i="3"/>
  <c r="K60" i="3"/>
  <c r="J213" i="3"/>
  <c r="K213" i="3"/>
  <c r="J384" i="3"/>
  <c r="K384" i="3"/>
  <c r="J141" i="3"/>
  <c r="K141" i="3"/>
  <c r="J347" i="3"/>
  <c r="K347" i="3"/>
  <c r="J61" i="3"/>
  <c r="K61" i="3"/>
  <c r="J62" i="3"/>
  <c r="K62" i="3"/>
  <c r="J214" i="3"/>
  <c r="K214" i="3"/>
  <c r="J385" i="3"/>
  <c r="K385" i="3"/>
  <c r="J348" i="3"/>
  <c r="K348" i="3"/>
  <c r="J215" i="3"/>
  <c r="K215" i="3"/>
  <c r="J216" i="3"/>
  <c r="K216" i="3"/>
  <c r="J300" i="3"/>
  <c r="K300" i="3"/>
  <c r="J301" i="3"/>
  <c r="K301" i="3"/>
  <c r="J142" i="3"/>
  <c r="K142" i="3"/>
  <c r="J386" i="3"/>
  <c r="K386" i="3"/>
  <c r="J302" i="3"/>
  <c r="K302" i="3"/>
  <c r="J63" i="3"/>
  <c r="K63" i="3"/>
  <c r="J349" i="3"/>
  <c r="K349" i="3"/>
  <c r="J217" i="3"/>
  <c r="K217" i="3"/>
  <c r="J143" i="3"/>
  <c r="K143" i="3"/>
  <c r="J218" i="3"/>
  <c r="K218" i="3"/>
  <c r="J219" i="3"/>
  <c r="K219" i="3"/>
  <c r="J387" i="3"/>
  <c r="K387" i="3"/>
  <c r="J144" i="3"/>
  <c r="K144" i="3"/>
  <c r="J303" i="3"/>
  <c r="K303" i="3"/>
  <c r="J64" i="3"/>
  <c r="K64" i="3"/>
  <c r="J220" i="3"/>
  <c r="K220" i="3"/>
  <c r="J145" i="3"/>
  <c r="K145" i="3"/>
  <c r="J221" i="3"/>
  <c r="K221" i="3"/>
  <c r="J222" i="3"/>
  <c r="K222" i="3"/>
  <c r="J304" i="3"/>
  <c r="K304" i="3"/>
  <c r="J146" i="3"/>
  <c r="K146" i="3"/>
  <c r="J305" i="3"/>
  <c r="K305" i="3"/>
  <c r="J223" i="3"/>
  <c r="K223" i="3"/>
  <c r="J65" i="3"/>
  <c r="K65" i="3"/>
  <c r="J388" i="3"/>
  <c r="K388" i="3"/>
  <c r="J389" i="3"/>
  <c r="K389" i="3"/>
  <c r="J390" i="3"/>
  <c r="K390" i="3"/>
  <c r="J147" i="3"/>
  <c r="K147" i="3"/>
  <c r="J350" i="3"/>
  <c r="K350" i="3"/>
  <c r="J66" i="3"/>
  <c r="K66" i="3"/>
  <c r="J148" i="3"/>
  <c r="K148" i="3"/>
  <c r="J306" i="3"/>
  <c r="K306" i="3"/>
  <c r="J67" i="3"/>
  <c r="K67" i="3"/>
  <c r="J68" i="3"/>
  <c r="K68" i="3"/>
  <c r="J69" i="3"/>
  <c r="K69" i="3"/>
  <c r="J149" i="3"/>
  <c r="K149" i="3"/>
  <c r="J224" i="3"/>
  <c r="K224" i="3"/>
  <c r="J391" i="3"/>
  <c r="K391" i="3"/>
  <c r="J392" i="3"/>
  <c r="K392" i="3"/>
  <c r="J70" i="3"/>
  <c r="K70" i="3"/>
  <c r="J150" i="3"/>
  <c r="K150" i="3"/>
  <c r="J307" i="3"/>
  <c r="K307" i="3"/>
  <c r="J393" i="3"/>
  <c r="K393" i="3"/>
  <c r="J225" i="3"/>
  <c r="K225" i="3"/>
  <c r="J226" i="3"/>
  <c r="K226" i="3"/>
  <c r="J71" i="3"/>
  <c r="K71" i="3"/>
  <c r="J227" i="3"/>
  <c r="K227" i="3"/>
  <c r="J228" i="3"/>
  <c r="K228" i="3"/>
  <c r="J351" i="3"/>
  <c r="K351" i="3"/>
  <c r="J151" i="3"/>
  <c r="K151" i="3"/>
  <c r="J229" i="3"/>
  <c r="K229" i="3"/>
  <c r="J72" i="3"/>
  <c r="K72" i="3"/>
  <c r="J394" i="3"/>
  <c r="K394" i="3"/>
  <c r="J395" i="3"/>
  <c r="K395" i="3"/>
  <c r="J308" i="3"/>
  <c r="K308" i="3"/>
  <c r="J73" i="3"/>
  <c r="K73" i="3"/>
  <c r="J396" i="3"/>
  <c r="K396" i="3"/>
  <c r="C397" i="2"/>
  <c r="E398" i="2"/>
  <c r="F398" i="2"/>
  <c r="G398" i="2"/>
  <c r="H398" i="2"/>
  <c r="I398" i="2"/>
  <c r="J398" i="2"/>
  <c r="K398" i="2"/>
  <c r="L398" i="2"/>
  <c r="E399" i="2"/>
  <c r="F399" i="2"/>
  <c r="G399" i="2"/>
  <c r="H399" i="2"/>
  <c r="I399" i="2"/>
  <c r="J399" i="2"/>
  <c r="K399" i="2"/>
  <c r="L399" i="2"/>
  <c r="D398" i="2"/>
  <c r="AC399" i="4" l="1"/>
  <c r="AB399" i="4"/>
  <c r="J399" i="3"/>
  <c r="I399" i="3"/>
  <c r="H399" i="3"/>
  <c r="AB410" i="3"/>
  <c r="T399" i="3"/>
  <c r="K399" i="3"/>
  <c r="R399" i="3"/>
  <c r="Z399" i="3"/>
  <c r="Y399" i="3"/>
  <c r="R398" i="3"/>
  <c r="D399" i="3"/>
  <c r="N399" i="2"/>
  <c r="O399" i="2"/>
  <c r="C397" i="1" l="1"/>
  <c r="N74" i="2"/>
  <c r="O74" i="2"/>
  <c r="N230" i="2"/>
  <c r="O230" i="2"/>
  <c r="N152" i="2"/>
  <c r="O152" i="2"/>
  <c r="N153" i="2"/>
  <c r="O153" i="2"/>
  <c r="N154" i="2"/>
  <c r="O154" i="2"/>
  <c r="N155" i="2"/>
  <c r="O155" i="2"/>
  <c r="N4" i="2"/>
  <c r="O4" i="2"/>
  <c r="N231" i="2"/>
  <c r="O231" i="2"/>
  <c r="N309" i="2"/>
  <c r="O309" i="2"/>
  <c r="N310" i="2"/>
  <c r="O310" i="2"/>
  <c r="N156" i="2"/>
  <c r="O156" i="2"/>
  <c r="N75" i="2"/>
  <c r="O75" i="2"/>
  <c r="N311" i="2"/>
  <c r="O311" i="2"/>
  <c r="N157" i="2"/>
  <c r="O157" i="2"/>
  <c r="N352" i="2"/>
  <c r="O352" i="2"/>
  <c r="N76" i="2"/>
  <c r="O76" i="2"/>
  <c r="N5" i="2"/>
  <c r="O5" i="2"/>
  <c r="N77" i="2"/>
  <c r="O77" i="2"/>
  <c r="N232" i="2"/>
  <c r="O232" i="2"/>
  <c r="N158" i="2"/>
  <c r="O158" i="2"/>
  <c r="N233" i="2"/>
  <c r="O233" i="2"/>
  <c r="N78" i="2"/>
  <c r="O78" i="2"/>
  <c r="N312" i="2"/>
  <c r="O312" i="2"/>
  <c r="N79" i="2"/>
  <c r="O79" i="2"/>
  <c r="N159" i="2"/>
  <c r="O159" i="2"/>
  <c r="N353" i="2"/>
  <c r="O353" i="2"/>
  <c r="N6" i="2"/>
  <c r="O6" i="2"/>
  <c r="N7" i="2"/>
  <c r="O7" i="2"/>
  <c r="N313" i="2"/>
  <c r="O313" i="2"/>
  <c r="N8" i="2"/>
  <c r="O8" i="2"/>
  <c r="N234" i="2"/>
  <c r="O234" i="2"/>
  <c r="N9" i="2"/>
  <c r="O9" i="2"/>
  <c r="N10" i="2"/>
  <c r="O10" i="2"/>
  <c r="N235" i="2"/>
  <c r="O235" i="2"/>
  <c r="N160" i="2"/>
  <c r="O160" i="2"/>
  <c r="N80" i="2"/>
  <c r="O80" i="2"/>
  <c r="N11" i="2"/>
  <c r="O11" i="2"/>
  <c r="N236" i="2"/>
  <c r="O236" i="2"/>
  <c r="N161" i="2"/>
  <c r="O161" i="2"/>
  <c r="N314" i="2"/>
  <c r="O314" i="2"/>
  <c r="N162" i="2"/>
  <c r="O162" i="2"/>
  <c r="N315" i="2"/>
  <c r="O315" i="2"/>
  <c r="N237" i="2"/>
  <c r="O237" i="2"/>
  <c r="N238" i="2"/>
  <c r="O238" i="2"/>
  <c r="N81" i="2"/>
  <c r="O81" i="2"/>
  <c r="N239" i="2"/>
  <c r="O239" i="2"/>
  <c r="N316" i="2"/>
  <c r="O316" i="2"/>
  <c r="N82" i="2"/>
  <c r="O82" i="2"/>
  <c r="N163" i="2"/>
  <c r="O163" i="2"/>
  <c r="N164" i="2"/>
  <c r="O164" i="2"/>
  <c r="N12" i="2"/>
  <c r="O12" i="2"/>
  <c r="N317" i="2"/>
  <c r="O317" i="2"/>
  <c r="N165" i="2"/>
  <c r="O165" i="2"/>
  <c r="N83" i="2"/>
  <c r="O83" i="2"/>
  <c r="N354" i="2"/>
  <c r="O354" i="2"/>
  <c r="N355" i="2"/>
  <c r="O355" i="2"/>
  <c r="N166" i="2"/>
  <c r="O166" i="2"/>
  <c r="N13" i="2"/>
  <c r="O13" i="2"/>
  <c r="N167" i="2"/>
  <c r="O167" i="2"/>
  <c r="N318" i="2"/>
  <c r="O318" i="2"/>
  <c r="N168" i="2"/>
  <c r="O168" i="2"/>
  <c r="N169" i="2"/>
  <c r="O169" i="2"/>
  <c r="N14" i="2"/>
  <c r="O14" i="2"/>
  <c r="N240" i="2"/>
  <c r="O240" i="2"/>
  <c r="N170" i="2"/>
  <c r="O170" i="2"/>
  <c r="N241" i="2"/>
  <c r="O241" i="2"/>
  <c r="N15" i="2"/>
  <c r="O15" i="2"/>
  <c r="N242" i="2"/>
  <c r="O242" i="2"/>
  <c r="N243" i="2"/>
  <c r="O243" i="2"/>
  <c r="N319" i="2"/>
  <c r="O319" i="2"/>
  <c r="N356" i="2"/>
  <c r="O356" i="2"/>
  <c r="N320" i="2"/>
  <c r="O320" i="2"/>
  <c r="N16" i="2"/>
  <c r="O16" i="2"/>
  <c r="N357" i="2"/>
  <c r="O357" i="2"/>
  <c r="N84" i="2"/>
  <c r="O84" i="2"/>
  <c r="N244" i="2"/>
  <c r="O244" i="2"/>
  <c r="N17" i="2"/>
  <c r="O17" i="2"/>
  <c r="N18" i="2"/>
  <c r="O18" i="2"/>
  <c r="N321" i="2"/>
  <c r="O321" i="2"/>
  <c r="N322" i="2"/>
  <c r="O322" i="2"/>
  <c r="N245" i="2"/>
  <c r="O245" i="2"/>
  <c r="N85" i="2"/>
  <c r="O85" i="2"/>
  <c r="N171" i="2"/>
  <c r="O171" i="2"/>
  <c r="N246" i="2"/>
  <c r="O246" i="2"/>
  <c r="N323" i="2"/>
  <c r="O323" i="2"/>
  <c r="N19" i="2"/>
  <c r="O19" i="2"/>
  <c r="N20" i="2"/>
  <c r="O20" i="2"/>
  <c r="N21" i="2"/>
  <c r="O21" i="2"/>
  <c r="N22" i="2"/>
  <c r="O22" i="2"/>
  <c r="N23" i="2"/>
  <c r="O23" i="2"/>
  <c r="N358" i="2"/>
  <c r="O358" i="2"/>
  <c r="N359" i="2"/>
  <c r="O359" i="2"/>
  <c r="N86" i="2"/>
  <c r="O86" i="2"/>
  <c r="N324" i="2"/>
  <c r="O324" i="2"/>
  <c r="N172" i="2"/>
  <c r="O172" i="2"/>
  <c r="N24" i="2"/>
  <c r="O24" i="2"/>
  <c r="N360" i="2"/>
  <c r="O360" i="2"/>
  <c r="N247" i="2"/>
  <c r="O247" i="2"/>
  <c r="N248" i="2"/>
  <c r="O248" i="2"/>
  <c r="N325" i="2"/>
  <c r="O325" i="2"/>
  <c r="N87" i="2"/>
  <c r="O87" i="2"/>
  <c r="N173" i="2"/>
  <c r="O173" i="2"/>
  <c r="N249" i="2"/>
  <c r="O249" i="2"/>
  <c r="N88" i="2"/>
  <c r="O88" i="2"/>
  <c r="N89" i="2"/>
  <c r="O89" i="2"/>
  <c r="N326" i="2"/>
  <c r="O326" i="2"/>
  <c r="N327" i="2"/>
  <c r="O327" i="2"/>
  <c r="N250" i="2"/>
  <c r="O250" i="2"/>
  <c r="N174" i="2"/>
  <c r="O174" i="2"/>
  <c r="N175" i="2"/>
  <c r="O175" i="2"/>
  <c r="N90" i="2"/>
  <c r="O90" i="2"/>
  <c r="N25" i="2"/>
  <c r="O25" i="2"/>
  <c r="N26" i="2"/>
  <c r="O26" i="2"/>
  <c r="N251" i="2"/>
  <c r="O251" i="2"/>
  <c r="N176" i="2"/>
  <c r="O176" i="2"/>
  <c r="N27" i="2"/>
  <c r="O27" i="2"/>
  <c r="N361" i="2"/>
  <c r="O361" i="2"/>
  <c r="N252" i="2"/>
  <c r="O252" i="2"/>
  <c r="N253" i="2"/>
  <c r="O253" i="2"/>
  <c r="N28" i="2"/>
  <c r="O28" i="2"/>
  <c r="N254" i="2"/>
  <c r="O254" i="2"/>
  <c r="N255" i="2"/>
  <c r="O255" i="2"/>
  <c r="N362" i="2"/>
  <c r="O362" i="2"/>
  <c r="N91" i="2"/>
  <c r="O91" i="2"/>
  <c r="N256" i="2"/>
  <c r="O256" i="2"/>
  <c r="N177" i="2"/>
  <c r="O177" i="2"/>
  <c r="N29" i="2"/>
  <c r="O29" i="2"/>
  <c r="N257" i="2"/>
  <c r="O257" i="2"/>
  <c r="N92" i="2"/>
  <c r="O92" i="2"/>
  <c r="N258" i="2"/>
  <c r="O258" i="2"/>
  <c r="N259" i="2"/>
  <c r="O259" i="2"/>
  <c r="N178" i="2"/>
  <c r="O178" i="2"/>
  <c r="N30" i="2"/>
  <c r="O30" i="2"/>
  <c r="N328" i="2"/>
  <c r="O328" i="2"/>
  <c r="N179" i="2"/>
  <c r="O179" i="2"/>
  <c r="N363" i="2"/>
  <c r="O363" i="2"/>
  <c r="N31" i="2"/>
  <c r="O31" i="2"/>
  <c r="N329" i="2"/>
  <c r="O329" i="2"/>
  <c r="N180" i="2"/>
  <c r="O180" i="2"/>
  <c r="N260" i="2"/>
  <c r="O260" i="2"/>
  <c r="N32" i="2"/>
  <c r="O32" i="2"/>
  <c r="N33" i="2"/>
  <c r="O33" i="2"/>
  <c r="N364" i="2"/>
  <c r="O364" i="2"/>
  <c r="N261" i="2"/>
  <c r="O261" i="2"/>
  <c r="N365" i="2"/>
  <c r="O365" i="2"/>
  <c r="N181" i="2"/>
  <c r="O181" i="2"/>
  <c r="N366" i="2"/>
  <c r="O366" i="2"/>
  <c r="N330" i="2"/>
  <c r="O330" i="2"/>
  <c r="N262" i="2"/>
  <c r="O262" i="2"/>
  <c r="N263" i="2"/>
  <c r="O263" i="2"/>
  <c r="N93" i="2"/>
  <c r="O93" i="2"/>
  <c r="N94" i="2"/>
  <c r="O94" i="2"/>
  <c r="N264" i="2"/>
  <c r="O264" i="2"/>
  <c r="N265" i="2"/>
  <c r="O265" i="2"/>
  <c r="N266" i="2"/>
  <c r="O266" i="2"/>
  <c r="N182" i="2"/>
  <c r="O182" i="2"/>
  <c r="N95" i="2"/>
  <c r="O95" i="2"/>
  <c r="N267" i="2"/>
  <c r="O267" i="2"/>
  <c r="N268" i="2"/>
  <c r="O268" i="2"/>
  <c r="N183" i="2"/>
  <c r="O183" i="2"/>
  <c r="N367" i="2"/>
  <c r="O367" i="2"/>
  <c r="N96" i="2"/>
  <c r="O96" i="2"/>
  <c r="N269" i="2"/>
  <c r="O269" i="2"/>
  <c r="N184" i="2"/>
  <c r="O184" i="2"/>
  <c r="N270" i="2"/>
  <c r="O270" i="2"/>
  <c r="N97" i="2"/>
  <c r="O97" i="2"/>
  <c r="N34" i="2"/>
  <c r="O34" i="2"/>
  <c r="N98" i="2"/>
  <c r="O98" i="2"/>
  <c r="N271" i="2"/>
  <c r="O271" i="2"/>
  <c r="N272" i="2"/>
  <c r="O272" i="2"/>
  <c r="N99" i="2"/>
  <c r="O99" i="2"/>
  <c r="N368" i="2"/>
  <c r="O368" i="2"/>
  <c r="N100" i="2"/>
  <c r="O100" i="2"/>
  <c r="N185" i="2"/>
  <c r="O185" i="2"/>
  <c r="N35" i="2"/>
  <c r="O35" i="2"/>
  <c r="N101" i="2"/>
  <c r="O101" i="2"/>
  <c r="N273" i="2"/>
  <c r="O273" i="2"/>
  <c r="N331" i="2"/>
  <c r="O331" i="2"/>
  <c r="N102" i="2"/>
  <c r="O102" i="2"/>
  <c r="N274" i="2"/>
  <c r="O274" i="2"/>
  <c r="N103" i="2"/>
  <c r="O103" i="2"/>
  <c r="N369" i="2"/>
  <c r="O369" i="2"/>
  <c r="N104" i="2"/>
  <c r="O104" i="2"/>
  <c r="N105" i="2"/>
  <c r="O105" i="2"/>
  <c r="N106" i="2"/>
  <c r="O106" i="2"/>
  <c r="N370" i="2"/>
  <c r="O370" i="2"/>
  <c r="N275" i="2"/>
  <c r="O275" i="2"/>
  <c r="N371" i="2"/>
  <c r="O371" i="2"/>
  <c r="N187" i="2"/>
  <c r="O187" i="2"/>
  <c r="N186" i="2"/>
  <c r="O186" i="2"/>
  <c r="N36" i="2"/>
  <c r="O36" i="2"/>
  <c r="N107" i="2"/>
  <c r="O107" i="2"/>
  <c r="N372" i="2"/>
  <c r="O372" i="2"/>
  <c r="N37" i="2"/>
  <c r="O37" i="2"/>
  <c r="N38" i="2"/>
  <c r="O38" i="2"/>
  <c r="N276" i="2"/>
  <c r="O276" i="2"/>
  <c r="N39" i="2"/>
  <c r="O39" i="2"/>
  <c r="N108" i="2"/>
  <c r="O108" i="2"/>
  <c r="N109" i="2"/>
  <c r="O109" i="2"/>
  <c r="N332" i="2"/>
  <c r="O332" i="2"/>
  <c r="N188" i="2"/>
  <c r="O188" i="2"/>
  <c r="N40" i="2"/>
  <c r="O40" i="2"/>
  <c r="N333" i="2"/>
  <c r="O333" i="2"/>
  <c r="N277" i="2"/>
  <c r="O277" i="2"/>
  <c r="N41" i="2"/>
  <c r="O41" i="2"/>
  <c r="N373" i="2"/>
  <c r="O373" i="2"/>
  <c r="N189" i="2"/>
  <c r="O189" i="2"/>
  <c r="N334" i="2"/>
  <c r="O334" i="2"/>
  <c r="N110" i="2"/>
  <c r="O110" i="2"/>
  <c r="N278" i="2"/>
  <c r="O278" i="2"/>
  <c r="N42" i="2"/>
  <c r="O42" i="2"/>
  <c r="N111" i="2"/>
  <c r="O111" i="2"/>
  <c r="N279" i="2"/>
  <c r="O279" i="2"/>
  <c r="N43" i="2"/>
  <c r="O43" i="2"/>
  <c r="N112" i="2"/>
  <c r="O112" i="2"/>
  <c r="N335" i="2"/>
  <c r="O335" i="2"/>
  <c r="N113" i="2"/>
  <c r="O113" i="2"/>
  <c r="N190" i="2"/>
  <c r="O190" i="2"/>
  <c r="N280" i="2"/>
  <c r="O280" i="2"/>
  <c r="N191" i="2"/>
  <c r="O191" i="2"/>
  <c r="N44" i="2"/>
  <c r="O44" i="2"/>
  <c r="N114" i="2"/>
  <c r="O114" i="2"/>
  <c r="N115" i="2"/>
  <c r="O115" i="2"/>
  <c r="N281" i="2"/>
  <c r="O281" i="2"/>
  <c r="N336" i="2"/>
  <c r="O336" i="2"/>
  <c r="N282" i="2"/>
  <c r="O282" i="2"/>
  <c r="N116" i="2"/>
  <c r="O116" i="2"/>
  <c r="N117" i="2"/>
  <c r="O117" i="2"/>
  <c r="N45" i="2"/>
  <c r="O45" i="2"/>
  <c r="N192" i="2"/>
  <c r="O192" i="2"/>
  <c r="N118" i="2"/>
  <c r="O118" i="2"/>
  <c r="N283" i="2"/>
  <c r="O283" i="2"/>
  <c r="N46" i="2"/>
  <c r="O46" i="2"/>
  <c r="N284" i="2"/>
  <c r="O284" i="2"/>
  <c r="N285" i="2"/>
  <c r="O285" i="2"/>
  <c r="N193" i="2"/>
  <c r="O193" i="2"/>
  <c r="N286" i="2"/>
  <c r="O286" i="2"/>
  <c r="N374" i="2"/>
  <c r="O374" i="2"/>
  <c r="N194" i="2"/>
  <c r="O194" i="2"/>
  <c r="N119" i="2"/>
  <c r="O119" i="2"/>
  <c r="N120" i="2"/>
  <c r="O120" i="2"/>
  <c r="N287" i="2"/>
  <c r="O287" i="2"/>
  <c r="N47" i="2"/>
  <c r="O47" i="2"/>
  <c r="N195" i="2"/>
  <c r="O195" i="2"/>
  <c r="N375" i="2"/>
  <c r="O375" i="2"/>
  <c r="N196" i="2"/>
  <c r="O196" i="2"/>
  <c r="N121" i="2"/>
  <c r="O121" i="2"/>
  <c r="N122" i="2"/>
  <c r="O122" i="2"/>
  <c r="N288" i="2"/>
  <c r="O288" i="2"/>
  <c r="N123" i="2"/>
  <c r="O123" i="2"/>
  <c r="N48" i="2"/>
  <c r="O48" i="2"/>
  <c r="N197" i="2"/>
  <c r="O197" i="2"/>
  <c r="N337" i="2"/>
  <c r="O337" i="2"/>
  <c r="N124" i="2"/>
  <c r="O124" i="2"/>
  <c r="N376" i="2"/>
  <c r="O376" i="2"/>
  <c r="N338" i="2"/>
  <c r="O338" i="2"/>
  <c r="N289" i="2"/>
  <c r="O289" i="2"/>
  <c r="N49" i="2"/>
  <c r="O49" i="2"/>
  <c r="N339" i="2"/>
  <c r="O339" i="2"/>
  <c r="N50" i="2"/>
  <c r="O50" i="2"/>
  <c r="N198" i="2"/>
  <c r="O198" i="2"/>
  <c r="N290" i="2"/>
  <c r="O290" i="2"/>
  <c r="N291" i="2"/>
  <c r="O291" i="2"/>
  <c r="N125" i="2"/>
  <c r="O125" i="2"/>
  <c r="N292" i="2"/>
  <c r="O292" i="2"/>
  <c r="N199" i="2"/>
  <c r="O199" i="2"/>
  <c r="N126" i="2"/>
  <c r="O126" i="2"/>
  <c r="N200" i="2"/>
  <c r="O200" i="2"/>
  <c r="N293" i="2"/>
  <c r="O293" i="2"/>
  <c r="N127" i="2"/>
  <c r="O127" i="2"/>
  <c r="N51" i="2"/>
  <c r="O51" i="2"/>
  <c r="N201" i="2"/>
  <c r="O201" i="2"/>
  <c r="N340" i="2"/>
  <c r="O340" i="2"/>
  <c r="N294" i="2"/>
  <c r="O294" i="2"/>
  <c r="N128" i="2"/>
  <c r="O128" i="2"/>
  <c r="N202" i="2"/>
  <c r="O202" i="2"/>
  <c r="N129" i="2"/>
  <c r="O129" i="2"/>
  <c r="N341" i="2"/>
  <c r="O341" i="2"/>
  <c r="N377" i="2"/>
  <c r="O377" i="2"/>
  <c r="N52" i="2"/>
  <c r="O52" i="2"/>
  <c r="N378" i="2"/>
  <c r="O378" i="2"/>
  <c r="N295" i="2"/>
  <c r="O295" i="2"/>
  <c r="N296" i="2"/>
  <c r="O296" i="2"/>
  <c r="N130" i="2"/>
  <c r="O130" i="2"/>
  <c r="N297" i="2"/>
  <c r="O297" i="2"/>
  <c r="N379" i="2"/>
  <c r="O379" i="2"/>
  <c r="N131" i="2"/>
  <c r="O131" i="2"/>
  <c r="N132" i="2"/>
  <c r="O132" i="2"/>
  <c r="N203" i="2"/>
  <c r="O203" i="2"/>
  <c r="N53" i="2"/>
  <c r="O53" i="2"/>
  <c r="N133" i="2"/>
  <c r="O133" i="2"/>
  <c r="N342" i="2"/>
  <c r="O342" i="2"/>
  <c r="N204" i="2"/>
  <c r="O204" i="2"/>
  <c r="N134" i="2"/>
  <c r="O134" i="2"/>
  <c r="N54" i="2"/>
  <c r="O54" i="2"/>
  <c r="N55" i="2"/>
  <c r="O55" i="2"/>
  <c r="N205" i="2"/>
  <c r="O205" i="2"/>
  <c r="N56" i="2"/>
  <c r="O56" i="2"/>
  <c r="N57" i="2"/>
  <c r="O57" i="2"/>
  <c r="N135" i="2"/>
  <c r="O135" i="2"/>
  <c r="N206" i="2"/>
  <c r="O206" i="2"/>
  <c r="N298" i="2"/>
  <c r="O298" i="2"/>
  <c r="N380" i="2"/>
  <c r="O380" i="2"/>
  <c r="N343" i="2"/>
  <c r="O343" i="2"/>
  <c r="N344" i="2"/>
  <c r="O344" i="2"/>
  <c r="N136" i="2"/>
  <c r="O136" i="2"/>
  <c r="N345" i="2"/>
  <c r="O345" i="2"/>
  <c r="N381" i="2"/>
  <c r="O381" i="2"/>
  <c r="N58" i="2"/>
  <c r="O58" i="2"/>
  <c r="N207" i="2"/>
  <c r="O207" i="2"/>
  <c r="N208" i="2"/>
  <c r="O208" i="2"/>
  <c r="N382" i="2"/>
  <c r="O382" i="2"/>
  <c r="N383" i="2"/>
  <c r="O383" i="2"/>
  <c r="N137" i="2"/>
  <c r="O137" i="2"/>
  <c r="N209" i="2"/>
  <c r="O209" i="2"/>
  <c r="N299" i="2"/>
  <c r="O299" i="2"/>
  <c r="N346" i="2"/>
  <c r="O346" i="2"/>
  <c r="N210" i="2"/>
  <c r="O210" i="2"/>
  <c r="N138" i="2"/>
  <c r="O138" i="2"/>
  <c r="N211" i="2"/>
  <c r="O211" i="2"/>
  <c r="N139" i="2"/>
  <c r="O139" i="2"/>
  <c r="N59" i="2"/>
  <c r="O59" i="2"/>
  <c r="N212" i="2"/>
  <c r="O212" i="2"/>
  <c r="N140" i="2"/>
  <c r="O140" i="2"/>
  <c r="N60" i="2"/>
  <c r="O60" i="2"/>
  <c r="N213" i="2"/>
  <c r="O213" i="2"/>
  <c r="N384" i="2"/>
  <c r="O384" i="2"/>
  <c r="N141" i="2"/>
  <c r="O141" i="2"/>
  <c r="N347" i="2"/>
  <c r="O347" i="2"/>
  <c r="N61" i="2"/>
  <c r="O61" i="2"/>
  <c r="N62" i="2"/>
  <c r="O62" i="2"/>
  <c r="N214" i="2"/>
  <c r="O214" i="2"/>
  <c r="N385" i="2"/>
  <c r="O385" i="2"/>
  <c r="N348" i="2"/>
  <c r="O348" i="2"/>
  <c r="N215" i="2"/>
  <c r="O215" i="2"/>
  <c r="N216" i="2"/>
  <c r="O216" i="2"/>
  <c r="N300" i="2"/>
  <c r="O300" i="2"/>
  <c r="N301" i="2"/>
  <c r="O301" i="2"/>
  <c r="N142" i="2"/>
  <c r="O142" i="2"/>
  <c r="N386" i="2"/>
  <c r="O386" i="2"/>
  <c r="N302" i="2"/>
  <c r="O302" i="2"/>
  <c r="N63" i="2"/>
  <c r="O63" i="2"/>
  <c r="N349" i="2"/>
  <c r="O349" i="2"/>
  <c r="N217" i="2"/>
  <c r="O217" i="2"/>
  <c r="N143" i="2"/>
  <c r="O143" i="2"/>
  <c r="N218" i="2"/>
  <c r="O218" i="2"/>
  <c r="N219" i="2"/>
  <c r="O219" i="2"/>
  <c r="N387" i="2"/>
  <c r="O387" i="2"/>
  <c r="N144" i="2"/>
  <c r="O144" i="2"/>
  <c r="N303" i="2"/>
  <c r="O303" i="2"/>
  <c r="N64" i="2"/>
  <c r="O64" i="2"/>
  <c r="N220" i="2"/>
  <c r="O220" i="2"/>
  <c r="N145" i="2"/>
  <c r="O145" i="2"/>
  <c r="N221" i="2"/>
  <c r="O221" i="2"/>
  <c r="N222" i="2"/>
  <c r="O222" i="2"/>
  <c r="N304" i="2"/>
  <c r="O304" i="2"/>
  <c r="N146" i="2"/>
  <c r="O146" i="2"/>
  <c r="N305" i="2"/>
  <c r="O305" i="2"/>
  <c r="N223" i="2"/>
  <c r="O223" i="2"/>
  <c r="N65" i="2"/>
  <c r="O65" i="2"/>
  <c r="N388" i="2"/>
  <c r="O388" i="2"/>
  <c r="N389" i="2"/>
  <c r="O389" i="2"/>
  <c r="N390" i="2"/>
  <c r="O390" i="2"/>
  <c r="N147" i="2"/>
  <c r="O147" i="2"/>
  <c r="N350" i="2"/>
  <c r="O350" i="2"/>
  <c r="N66" i="2"/>
  <c r="O66" i="2"/>
  <c r="N148" i="2"/>
  <c r="O148" i="2"/>
  <c r="N306" i="2"/>
  <c r="O306" i="2"/>
  <c r="N67" i="2"/>
  <c r="O67" i="2"/>
  <c r="N68" i="2"/>
  <c r="O68" i="2"/>
  <c r="N69" i="2"/>
  <c r="O69" i="2"/>
  <c r="N149" i="2"/>
  <c r="O149" i="2"/>
  <c r="N224" i="2"/>
  <c r="O224" i="2"/>
  <c r="N391" i="2"/>
  <c r="O391" i="2"/>
  <c r="N392" i="2"/>
  <c r="O392" i="2"/>
  <c r="N70" i="2"/>
  <c r="O70" i="2"/>
  <c r="N150" i="2"/>
  <c r="O150" i="2"/>
  <c r="N307" i="2"/>
  <c r="O307" i="2"/>
  <c r="N393" i="2"/>
  <c r="O393" i="2"/>
  <c r="N225" i="2"/>
  <c r="O225" i="2"/>
  <c r="N226" i="2"/>
  <c r="O226" i="2"/>
  <c r="N71" i="2"/>
  <c r="O71" i="2"/>
  <c r="N227" i="2"/>
  <c r="O227" i="2"/>
  <c r="N228" i="2"/>
  <c r="O228" i="2"/>
  <c r="N351" i="2"/>
  <c r="O351" i="2"/>
  <c r="N151" i="2"/>
  <c r="O151" i="2"/>
  <c r="N229" i="2"/>
  <c r="O229" i="2"/>
  <c r="N72" i="2"/>
  <c r="O72" i="2"/>
  <c r="N394" i="2"/>
  <c r="O394" i="2"/>
  <c r="N395" i="2"/>
  <c r="O395" i="2"/>
  <c r="N308" i="2"/>
  <c r="O308" i="2"/>
  <c r="N73" i="2"/>
  <c r="O73" i="2"/>
  <c r="N396" i="2"/>
  <c r="O396" i="2"/>
  <c r="M230" i="2"/>
  <c r="P230" i="2" s="1"/>
  <c r="M152" i="2"/>
  <c r="P152" i="2" s="1"/>
  <c r="M153" i="2"/>
  <c r="P153" i="2" s="1"/>
  <c r="M154" i="2"/>
  <c r="P154" i="2" s="1"/>
  <c r="M155" i="2"/>
  <c r="P155" i="2" s="1"/>
  <c r="M4" i="2"/>
  <c r="M231" i="2"/>
  <c r="P231" i="2" s="1"/>
  <c r="M309" i="2"/>
  <c r="P309" i="2" s="1"/>
  <c r="M310" i="2"/>
  <c r="P310" i="2" s="1"/>
  <c r="M156" i="2"/>
  <c r="P156" i="2" s="1"/>
  <c r="M75" i="2"/>
  <c r="P75" i="2" s="1"/>
  <c r="M311" i="2"/>
  <c r="P311" i="2" s="1"/>
  <c r="M157" i="2"/>
  <c r="P157" i="2" s="1"/>
  <c r="M352" i="2"/>
  <c r="P352" i="2" s="1"/>
  <c r="M76" i="2"/>
  <c r="P76" i="2" s="1"/>
  <c r="M5" i="2"/>
  <c r="P5" i="2" s="1"/>
  <c r="M77" i="2"/>
  <c r="P77" i="2" s="1"/>
  <c r="M232" i="2"/>
  <c r="P232" i="2" s="1"/>
  <c r="M158" i="2"/>
  <c r="P158" i="2" s="1"/>
  <c r="M233" i="2"/>
  <c r="P233" i="2" s="1"/>
  <c r="M78" i="2"/>
  <c r="P78" i="2" s="1"/>
  <c r="M312" i="2"/>
  <c r="P312" i="2" s="1"/>
  <c r="M79" i="2"/>
  <c r="P79" i="2" s="1"/>
  <c r="M159" i="2"/>
  <c r="P159" i="2" s="1"/>
  <c r="M353" i="2"/>
  <c r="P353" i="2" s="1"/>
  <c r="M6" i="2"/>
  <c r="P6" i="2" s="1"/>
  <c r="M7" i="2"/>
  <c r="P7" i="2" s="1"/>
  <c r="M313" i="2"/>
  <c r="P313" i="2" s="1"/>
  <c r="M8" i="2"/>
  <c r="P8" i="2" s="1"/>
  <c r="M234" i="2"/>
  <c r="P234" i="2" s="1"/>
  <c r="M9" i="2"/>
  <c r="P9" i="2" s="1"/>
  <c r="M10" i="2"/>
  <c r="P10" i="2" s="1"/>
  <c r="M235" i="2"/>
  <c r="P235" i="2" s="1"/>
  <c r="M160" i="2"/>
  <c r="P160" i="2" s="1"/>
  <c r="M80" i="2"/>
  <c r="P80" i="2" s="1"/>
  <c r="M11" i="2"/>
  <c r="P11" i="2" s="1"/>
  <c r="M236" i="2"/>
  <c r="P236" i="2" s="1"/>
  <c r="M161" i="2"/>
  <c r="P161" i="2" s="1"/>
  <c r="M314" i="2"/>
  <c r="P314" i="2" s="1"/>
  <c r="M162" i="2"/>
  <c r="P162" i="2" s="1"/>
  <c r="M315" i="2"/>
  <c r="P315" i="2" s="1"/>
  <c r="M237" i="2"/>
  <c r="P237" i="2" s="1"/>
  <c r="M238" i="2"/>
  <c r="P238" i="2" s="1"/>
  <c r="M81" i="2"/>
  <c r="P81" i="2" s="1"/>
  <c r="M239" i="2"/>
  <c r="P239" i="2" s="1"/>
  <c r="M316" i="2"/>
  <c r="P316" i="2" s="1"/>
  <c r="M82" i="2"/>
  <c r="P82" i="2" s="1"/>
  <c r="M163" i="2"/>
  <c r="P163" i="2" s="1"/>
  <c r="M164" i="2"/>
  <c r="P164" i="2" s="1"/>
  <c r="M12" i="2"/>
  <c r="P12" i="2" s="1"/>
  <c r="M317" i="2"/>
  <c r="P317" i="2" s="1"/>
  <c r="M165" i="2"/>
  <c r="P165" i="2" s="1"/>
  <c r="M83" i="2"/>
  <c r="P83" i="2" s="1"/>
  <c r="M354" i="2"/>
  <c r="P354" i="2" s="1"/>
  <c r="M355" i="2"/>
  <c r="P355" i="2" s="1"/>
  <c r="M166" i="2"/>
  <c r="P166" i="2" s="1"/>
  <c r="M13" i="2"/>
  <c r="P13" i="2" s="1"/>
  <c r="M167" i="2"/>
  <c r="P167" i="2" s="1"/>
  <c r="M318" i="2"/>
  <c r="P318" i="2" s="1"/>
  <c r="M168" i="2"/>
  <c r="P168" i="2" s="1"/>
  <c r="M169" i="2"/>
  <c r="P169" i="2" s="1"/>
  <c r="M14" i="2"/>
  <c r="P14" i="2" s="1"/>
  <c r="M240" i="2"/>
  <c r="P240" i="2" s="1"/>
  <c r="M170" i="2"/>
  <c r="P170" i="2" s="1"/>
  <c r="M241" i="2"/>
  <c r="P241" i="2" s="1"/>
  <c r="M15" i="2"/>
  <c r="P15" i="2" s="1"/>
  <c r="M242" i="2"/>
  <c r="P242" i="2" s="1"/>
  <c r="M243" i="2"/>
  <c r="P243" i="2" s="1"/>
  <c r="M319" i="2"/>
  <c r="P319" i="2" s="1"/>
  <c r="M356" i="2"/>
  <c r="P356" i="2" s="1"/>
  <c r="M320" i="2"/>
  <c r="P320" i="2" s="1"/>
  <c r="M16" i="2"/>
  <c r="P16" i="2" s="1"/>
  <c r="M357" i="2"/>
  <c r="P357" i="2" s="1"/>
  <c r="M84" i="2"/>
  <c r="P84" i="2" s="1"/>
  <c r="M244" i="2"/>
  <c r="P244" i="2" s="1"/>
  <c r="M17" i="2"/>
  <c r="P17" i="2" s="1"/>
  <c r="M18" i="2"/>
  <c r="P18" i="2" s="1"/>
  <c r="M321" i="2"/>
  <c r="P321" i="2" s="1"/>
  <c r="M322" i="2"/>
  <c r="P322" i="2" s="1"/>
  <c r="M245" i="2"/>
  <c r="P245" i="2" s="1"/>
  <c r="M85" i="2"/>
  <c r="P85" i="2" s="1"/>
  <c r="M171" i="2"/>
  <c r="P171" i="2" s="1"/>
  <c r="M246" i="2"/>
  <c r="P246" i="2" s="1"/>
  <c r="M323" i="2"/>
  <c r="P323" i="2" s="1"/>
  <c r="M19" i="2"/>
  <c r="P19" i="2" s="1"/>
  <c r="M20" i="2"/>
  <c r="P20" i="2" s="1"/>
  <c r="M21" i="2"/>
  <c r="P21" i="2" s="1"/>
  <c r="M22" i="2"/>
  <c r="P22" i="2" s="1"/>
  <c r="M23" i="2"/>
  <c r="P23" i="2" s="1"/>
  <c r="M358" i="2"/>
  <c r="P358" i="2" s="1"/>
  <c r="M359" i="2"/>
  <c r="P359" i="2" s="1"/>
  <c r="M86" i="2"/>
  <c r="P86" i="2" s="1"/>
  <c r="M324" i="2"/>
  <c r="P324" i="2" s="1"/>
  <c r="M172" i="2"/>
  <c r="P172" i="2" s="1"/>
  <c r="M24" i="2"/>
  <c r="P24" i="2" s="1"/>
  <c r="M360" i="2"/>
  <c r="P360" i="2" s="1"/>
  <c r="M247" i="2"/>
  <c r="P247" i="2" s="1"/>
  <c r="M248" i="2"/>
  <c r="P248" i="2" s="1"/>
  <c r="M325" i="2"/>
  <c r="P325" i="2" s="1"/>
  <c r="M87" i="2"/>
  <c r="P87" i="2" s="1"/>
  <c r="M173" i="2"/>
  <c r="P173" i="2" s="1"/>
  <c r="M249" i="2"/>
  <c r="P249" i="2" s="1"/>
  <c r="M88" i="2"/>
  <c r="P88" i="2" s="1"/>
  <c r="M89" i="2"/>
  <c r="P89" i="2" s="1"/>
  <c r="M326" i="2"/>
  <c r="P326" i="2" s="1"/>
  <c r="M327" i="2"/>
  <c r="P327" i="2" s="1"/>
  <c r="M250" i="2"/>
  <c r="P250" i="2" s="1"/>
  <c r="M174" i="2"/>
  <c r="P174" i="2" s="1"/>
  <c r="M175" i="2"/>
  <c r="P175" i="2" s="1"/>
  <c r="M90" i="2"/>
  <c r="P90" i="2" s="1"/>
  <c r="M25" i="2"/>
  <c r="P25" i="2" s="1"/>
  <c r="M26" i="2"/>
  <c r="P26" i="2" s="1"/>
  <c r="M251" i="2"/>
  <c r="P251" i="2" s="1"/>
  <c r="M176" i="2"/>
  <c r="P176" i="2" s="1"/>
  <c r="M27" i="2"/>
  <c r="P27" i="2" s="1"/>
  <c r="M361" i="2"/>
  <c r="P361" i="2" s="1"/>
  <c r="M252" i="2"/>
  <c r="P252" i="2" s="1"/>
  <c r="M253" i="2"/>
  <c r="P253" i="2" s="1"/>
  <c r="M28" i="2"/>
  <c r="P28" i="2" s="1"/>
  <c r="M254" i="2"/>
  <c r="P254" i="2" s="1"/>
  <c r="M255" i="2"/>
  <c r="P255" i="2" s="1"/>
  <c r="M362" i="2"/>
  <c r="P362" i="2" s="1"/>
  <c r="M91" i="2"/>
  <c r="P91" i="2" s="1"/>
  <c r="M256" i="2"/>
  <c r="P256" i="2" s="1"/>
  <c r="M177" i="2"/>
  <c r="P177" i="2" s="1"/>
  <c r="M29" i="2"/>
  <c r="P29" i="2" s="1"/>
  <c r="M257" i="2"/>
  <c r="P257" i="2" s="1"/>
  <c r="M92" i="2"/>
  <c r="P92" i="2" s="1"/>
  <c r="M258" i="2"/>
  <c r="P258" i="2" s="1"/>
  <c r="M259" i="2"/>
  <c r="P259" i="2" s="1"/>
  <c r="M178" i="2"/>
  <c r="P178" i="2" s="1"/>
  <c r="M30" i="2"/>
  <c r="P30" i="2" s="1"/>
  <c r="M328" i="2"/>
  <c r="P328" i="2" s="1"/>
  <c r="M179" i="2"/>
  <c r="P179" i="2" s="1"/>
  <c r="M363" i="2"/>
  <c r="P363" i="2" s="1"/>
  <c r="M31" i="2"/>
  <c r="P31" i="2" s="1"/>
  <c r="M329" i="2"/>
  <c r="P329" i="2" s="1"/>
  <c r="M180" i="2"/>
  <c r="P180" i="2" s="1"/>
  <c r="M260" i="2"/>
  <c r="P260" i="2" s="1"/>
  <c r="M32" i="2"/>
  <c r="P32" i="2" s="1"/>
  <c r="M33" i="2"/>
  <c r="P33" i="2" s="1"/>
  <c r="M364" i="2"/>
  <c r="P364" i="2" s="1"/>
  <c r="M261" i="2"/>
  <c r="P261" i="2" s="1"/>
  <c r="M365" i="2"/>
  <c r="P365" i="2" s="1"/>
  <c r="M181" i="2"/>
  <c r="P181" i="2" s="1"/>
  <c r="M366" i="2"/>
  <c r="P366" i="2" s="1"/>
  <c r="M330" i="2"/>
  <c r="P330" i="2" s="1"/>
  <c r="M262" i="2"/>
  <c r="P262" i="2" s="1"/>
  <c r="M263" i="2"/>
  <c r="P263" i="2" s="1"/>
  <c r="M93" i="2"/>
  <c r="P93" i="2" s="1"/>
  <c r="M94" i="2"/>
  <c r="P94" i="2" s="1"/>
  <c r="M264" i="2"/>
  <c r="P264" i="2" s="1"/>
  <c r="M265" i="2"/>
  <c r="P265" i="2" s="1"/>
  <c r="M266" i="2"/>
  <c r="P266" i="2" s="1"/>
  <c r="M182" i="2"/>
  <c r="P182" i="2" s="1"/>
  <c r="M95" i="2"/>
  <c r="P95" i="2" s="1"/>
  <c r="M267" i="2"/>
  <c r="P267" i="2" s="1"/>
  <c r="M268" i="2"/>
  <c r="P268" i="2" s="1"/>
  <c r="M183" i="2"/>
  <c r="P183" i="2" s="1"/>
  <c r="M367" i="2"/>
  <c r="P367" i="2" s="1"/>
  <c r="M96" i="2"/>
  <c r="P96" i="2" s="1"/>
  <c r="M269" i="2"/>
  <c r="P269" i="2" s="1"/>
  <c r="M184" i="2"/>
  <c r="P184" i="2" s="1"/>
  <c r="M270" i="2"/>
  <c r="P270" i="2" s="1"/>
  <c r="M97" i="2"/>
  <c r="P97" i="2" s="1"/>
  <c r="M34" i="2"/>
  <c r="P34" i="2" s="1"/>
  <c r="M98" i="2"/>
  <c r="P98" i="2" s="1"/>
  <c r="M271" i="2"/>
  <c r="P271" i="2" s="1"/>
  <c r="M272" i="2"/>
  <c r="P272" i="2" s="1"/>
  <c r="M99" i="2"/>
  <c r="P99" i="2" s="1"/>
  <c r="M368" i="2"/>
  <c r="P368" i="2" s="1"/>
  <c r="M100" i="2"/>
  <c r="P100" i="2" s="1"/>
  <c r="M185" i="2"/>
  <c r="P185" i="2" s="1"/>
  <c r="M35" i="2"/>
  <c r="P35" i="2" s="1"/>
  <c r="M101" i="2"/>
  <c r="P101" i="2" s="1"/>
  <c r="M273" i="2"/>
  <c r="P273" i="2" s="1"/>
  <c r="M331" i="2"/>
  <c r="P331" i="2" s="1"/>
  <c r="M102" i="2"/>
  <c r="P102" i="2" s="1"/>
  <c r="M274" i="2"/>
  <c r="P274" i="2" s="1"/>
  <c r="M103" i="2"/>
  <c r="P103" i="2" s="1"/>
  <c r="M369" i="2"/>
  <c r="P369" i="2" s="1"/>
  <c r="M104" i="2"/>
  <c r="P104" i="2" s="1"/>
  <c r="M105" i="2"/>
  <c r="P105" i="2" s="1"/>
  <c r="M106" i="2"/>
  <c r="P106" i="2" s="1"/>
  <c r="M370" i="2"/>
  <c r="P370" i="2" s="1"/>
  <c r="M275" i="2"/>
  <c r="P275" i="2" s="1"/>
  <c r="M371" i="2"/>
  <c r="P371" i="2" s="1"/>
  <c r="M187" i="2"/>
  <c r="P187" i="2" s="1"/>
  <c r="M186" i="2"/>
  <c r="P186" i="2" s="1"/>
  <c r="M36" i="2"/>
  <c r="P36" i="2" s="1"/>
  <c r="M107" i="2"/>
  <c r="P107" i="2" s="1"/>
  <c r="M372" i="2"/>
  <c r="P372" i="2" s="1"/>
  <c r="M37" i="2"/>
  <c r="P37" i="2" s="1"/>
  <c r="M38" i="2"/>
  <c r="P38" i="2" s="1"/>
  <c r="M276" i="2"/>
  <c r="P276" i="2" s="1"/>
  <c r="M39" i="2"/>
  <c r="P39" i="2" s="1"/>
  <c r="M108" i="2"/>
  <c r="P108" i="2" s="1"/>
  <c r="M109" i="2"/>
  <c r="P109" i="2" s="1"/>
  <c r="M332" i="2"/>
  <c r="P332" i="2" s="1"/>
  <c r="M188" i="2"/>
  <c r="P188" i="2" s="1"/>
  <c r="M40" i="2"/>
  <c r="P40" i="2" s="1"/>
  <c r="M333" i="2"/>
  <c r="P333" i="2" s="1"/>
  <c r="M277" i="2"/>
  <c r="P277" i="2" s="1"/>
  <c r="M41" i="2"/>
  <c r="P41" i="2" s="1"/>
  <c r="M373" i="2"/>
  <c r="P373" i="2" s="1"/>
  <c r="M189" i="2"/>
  <c r="P189" i="2" s="1"/>
  <c r="M334" i="2"/>
  <c r="P334" i="2" s="1"/>
  <c r="M110" i="2"/>
  <c r="P110" i="2" s="1"/>
  <c r="M278" i="2"/>
  <c r="P278" i="2" s="1"/>
  <c r="M42" i="2"/>
  <c r="P42" i="2" s="1"/>
  <c r="M111" i="2"/>
  <c r="P111" i="2" s="1"/>
  <c r="M279" i="2"/>
  <c r="P279" i="2" s="1"/>
  <c r="M43" i="2"/>
  <c r="P43" i="2" s="1"/>
  <c r="M112" i="2"/>
  <c r="P112" i="2" s="1"/>
  <c r="M335" i="2"/>
  <c r="P335" i="2" s="1"/>
  <c r="M113" i="2"/>
  <c r="P113" i="2" s="1"/>
  <c r="M190" i="2"/>
  <c r="P190" i="2" s="1"/>
  <c r="M280" i="2"/>
  <c r="P280" i="2" s="1"/>
  <c r="M191" i="2"/>
  <c r="P191" i="2" s="1"/>
  <c r="M44" i="2"/>
  <c r="P44" i="2" s="1"/>
  <c r="M114" i="2"/>
  <c r="P114" i="2" s="1"/>
  <c r="M115" i="2"/>
  <c r="P115" i="2" s="1"/>
  <c r="M281" i="2"/>
  <c r="P281" i="2" s="1"/>
  <c r="M336" i="2"/>
  <c r="P336" i="2" s="1"/>
  <c r="M282" i="2"/>
  <c r="P282" i="2" s="1"/>
  <c r="M116" i="2"/>
  <c r="P116" i="2" s="1"/>
  <c r="M117" i="2"/>
  <c r="P117" i="2" s="1"/>
  <c r="M45" i="2"/>
  <c r="P45" i="2" s="1"/>
  <c r="M192" i="2"/>
  <c r="P192" i="2" s="1"/>
  <c r="M118" i="2"/>
  <c r="P118" i="2" s="1"/>
  <c r="M283" i="2"/>
  <c r="P283" i="2" s="1"/>
  <c r="M46" i="2"/>
  <c r="P46" i="2" s="1"/>
  <c r="M284" i="2"/>
  <c r="P284" i="2" s="1"/>
  <c r="M285" i="2"/>
  <c r="P285" i="2" s="1"/>
  <c r="M193" i="2"/>
  <c r="P193" i="2" s="1"/>
  <c r="M286" i="2"/>
  <c r="P286" i="2" s="1"/>
  <c r="M374" i="2"/>
  <c r="P374" i="2" s="1"/>
  <c r="M194" i="2"/>
  <c r="P194" i="2" s="1"/>
  <c r="M119" i="2"/>
  <c r="P119" i="2" s="1"/>
  <c r="M120" i="2"/>
  <c r="P120" i="2" s="1"/>
  <c r="M287" i="2"/>
  <c r="P287" i="2" s="1"/>
  <c r="M47" i="2"/>
  <c r="P47" i="2" s="1"/>
  <c r="M195" i="2"/>
  <c r="P195" i="2" s="1"/>
  <c r="M375" i="2"/>
  <c r="P375" i="2" s="1"/>
  <c r="M196" i="2"/>
  <c r="P196" i="2" s="1"/>
  <c r="M121" i="2"/>
  <c r="P121" i="2" s="1"/>
  <c r="M122" i="2"/>
  <c r="P122" i="2" s="1"/>
  <c r="M288" i="2"/>
  <c r="P288" i="2" s="1"/>
  <c r="M123" i="2"/>
  <c r="P123" i="2" s="1"/>
  <c r="M48" i="2"/>
  <c r="P48" i="2" s="1"/>
  <c r="M197" i="2"/>
  <c r="P197" i="2" s="1"/>
  <c r="M337" i="2"/>
  <c r="P337" i="2" s="1"/>
  <c r="M124" i="2"/>
  <c r="P124" i="2" s="1"/>
  <c r="M376" i="2"/>
  <c r="P376" i="2" s="1"/>
  <c r="M338" i="2"/>
  <c r="P338" i="2" s="1"/>
  <c r="M289" i="2"/>
  <c r="P289" i="2" s="1"/>
  <c r="M49" i="2"/>
  <c r="P49" i="2" s="1"/>
  <c r="M339" i="2"/>
  <c r="P339" i="2" s="1"/>
  <c r="M50" i="2"/>
  <c r="P50" i="2" s="1"/>
  <c r="M198" i="2"/>
  <c r="P198" i="2" s="1"/>
  <c r="M290" i="2"/>
  <c r="P290" i="2" s="1"/>
  <c r="M291" i="2"/>
  <c r="P291" i="2" s="1"/>
  <c r="M125" i="2"/>
  <c r="P125" i="2" s="1"/>
  <c r="M292" i="2"/>
  <c r="P292" i="2" s="1"/>
  <c r="M199" i="2"/>
  <c r="P199" i="2" s="1"/>
  <c r="M126" i="2"/>
  <c r="P126" i="2" s="1"/>
  <c r="M200" i="2"/>
  <c r="P200" i="2" s="1"/>
  <c r="M293" i="2"/>
  <c r="P293" i="2" s="1"/>
  <c r="M127" i="2"/>
  <c r="P127" i="2" s="1"/>
  <c r="M51" i="2"/>
  <c r="P51" i="2" s="1"/>
  <c r="M201" i="2"/>
  <c r="P201" i="2" s="1"/>
  <c r="M340" i="2"/>
  <c r="P340" i="2" s="1"/>
  <c r="M294" i="2"/>
  <c r="P294" i="2" s="1"/>
  <c r="M128" i="2"/>
  <c r="P128" i="2" s="1"/>
  <c r="M202" i="2"/>
  <c r="P202" i="2" s="1"/>
  <c r="M129" i="2"/>
  <c r="P129" i="2" s="1"/>
  <c r="M341" i="2"/>
  <c r="P341" i="2" s="1"/>
  <c r="M377" i="2"/>
  <c r="P377" i="2" s="1"/>
  <c r="M52" i="2"/>
  <c r="P52" i="2" s="1"/>
  <c r="M378" i="2"/>
  <c r="P378" i="2" s="1"/>
  <c r="M295" i="2"/>
  <c r="P295" i="2" s="1"/>
  <c r="M296" i="2"/>
  <c r="P296" i="2" s="1"/>
  <c r="M130" i="2"/>
  <c r="P130" i="2" s="1"/>
  <c r="M297" i="2"/>
  <c r="P297" i="2" s="1"/>
  <c r="M379" i="2"/>
  <c r="P379" i="2" s="1"/>
  <c r="M131" i="2"/>
  <c r="P131" i="2" s="1"/>
  <c r="M132" i="2"/>
  <c r="P132" i="2" s="1"/>
  <c r="M203" i="2"/>
  <c r="P203" i="2" s="1"/>
  <c r="M53" i="2"/>
  <c r="P53" i="2" s="1"/>
  <c r="M133" i="2"/>
  <c r="P133" i="2" s="1"/>
  <c r="M342" i="2"/>
  <c r="P342" i="2" s="1"/>
  <c r="M204" i="2"/>
  <c r="P204" i="2" s="1"/>
  <c r="M134" i="2"/>
  <c r="P134" i="2" s="1"/>
  <c r="M54" i="2"/>
  <c r="P54" i="2" s="1"/>
  <c r="M55" i="2"/>
  <c r="P55" i="2" s="1"/>
  <c r="M205" i="2"/>
  <c r="P205" i="2" s="1"/>
  <c r="M56" i="2"/>
  <c r="P56" i="2" s="1"/>
  <c r="M57" i="2"/>
  <c r="P57" i="2" s="1"/>
  <c r="M135" i="2"/>
  <c r="P135" i="2" s="1"/>
  <c r="M206" i="2"/>
  <c r="P206" i="2" s="1"/>
  <c r="M298" i="2"/>
  <c r="P298" i="2" s="1"/>
  <c r="M380" i="2"/>
  <c r="P380" i="2" s="1"/>
  <c r="M343" i="2"/>
  <c r="P343" i="2" s="1"/>
  <c r="M344" i="2"/>
  <c r="P344" i="2" s="1"/>
  <c r="M136" i="2"/>
  <c r="P136" i="2" s="1"/>
  <c r="M345" i="2"/>
  <c r="P345" i="2" s="1"/>
  <c r="M381" i="2"/>
  <c r="P381" i="2" s="1"/>
  <c r="M58" i="2"/>
  <c r="P58" i="2" s="1"/>
  <c r="M207" i="2"/>
  <c r="P207" i="2" s="1"/>
  <c r="M208" i="2"/>
  <c r="P208" i="2" s="1"/>
  <c r="M382" i="2"/>
  <c r="P382" i="2" s="1"/>
  <c r="M383" i="2"/>
  <c r="P383" i="2" s="1"/>
  <c r="M137" i="2"/>
  <c r="P137" i="2" s="1"/>
  <c r="M209" i="2"/>
  <c r="P209" i="2" s="1"/>
  <c r="M299" i="2"/>
  <c r="P299" i="2" s="1"/>
  <c r="M346" i="2"/>
  <c r="P346" i="2" s="1"/>
  <c r="M210" i="2"/>
  <c r="P210" i="2" s="1"/>
  <c r="M138" i="2"/>
  <c r="P138" i="2" s="1"/>
  <c r="M211" i="2"/>
  <c r="P211" i="2" s="1"/>
  <c r="M139" i="2"/>
  <c r="P139" i="2" s="1"/>
  <c r="M59" i="2"/>
  <c r="P59" i="2" s="1"/>
  <c r="M212" i="2"/>
  <c r="P212" i="2" s="1"/>
  <c r="M140" i="2"/>
  <c r="P140" i="2" s="1"/>
  <c r="M60" i="2"/>
  <c r="P60" i="2" s="1"/>
  <c r="M213" i="2"/>
  <c r="P213" i="2" s="1"/>
  <c r="M384" i="2"/>
  <c r="P384" i="2" s="1"/>
  <c r="M141" i="2"/>
  <c r="P141" i="2" s="1"/>
  <c r="M347" i="2"/>
  <c r="P347" i="2" s="1"/>
  <c r="M61" i="2"/>
  <c r="P61" i="2" s="1"/>
  <c r="M62" i="2"/>
  <c r="P62" i="2" s="1"/>
  <c r="M214" i="2"/>
  <c r="P214" i="2" s="1"/>
  <c r="M385" i="2"/>
  <c r="P385" i="2" s="1"/>
  <c r="M348" i="2"/>
  <c r="P348" i="2" s="1"/>
  <c r="M215" i="2"/>
  <c r="P215" i="2" s="1"/>
  <c r="M216" i="2"/>
  <c r="P216" i="2" s="1"/>
  <c r="M300" i="2"/>
  <c r="P300" i="2" s="1"/>
  <c r="M301" i="2"/>
  <c r="P301" i="2" s="1"/>
  <c r="M142" i="2"/>
  <c r="P142" i="2" s="1"/>
  <c r="M386" i="2"/>
  <c r="P386" i="2" s="1"/>
  <c r="M302" i="2"/>
  <c r="P302" i="2" s="1"/>
  <c r="M63" i="2"/>
  <c r="P63" i="2" s="1"/>
  <c r="M349" i="2"/>
  <c r="P349" i="2" s="1"/>
  <c r="M217" i="2"/>
  <c r="P217" i="2" s="1"/>
  <c r="M143" i="2"/>
  <c r="P143" i="2" s="1"/>
  <c r="M218" i="2"/>
  <c r="P218" i="2" s="1"/>
  <c r="M219" i="2"/>
  <c r="P219" i="2" s="1"/>
  <c r="M387" i="2"/>
  <c r="P387" i="2" s="1"/>
  <c r="M144" i="2"/>
  <c r="P144" i="2" s="1"/>
  <c r="M303" i="2"/>
  <c r="P303" i="2" s="1"/>
  <c r="M64" i="2"/>
  <c r="P64" i="2" s="1"/>
  <c r="M220" i="2"/>
  <c r="P220" i="2" s="1"/>
  <c r="M145" i="2"/>
  <c r="P145" i="2" s="1"/>
  <c r="M221" i="2"/>
  <c r="P221" i="2" s="1"/>
  <c r="M222" i="2"/>
  <c r="P222" i="2" s="1"/>
  <c r="M304" i="2"/>
  <c r="P304" i="2" s="1"/>
  <c r="M146" i="2"/>
  <c r="P146" i="2" s="1"/>
  <c r="M305" i="2"/>
  <c r="P305" i="2" s="1"/>
  <c r="M223" i="2"/>
  <c r="P223" i="2" s="1"/>
  <c r="M65" i="2"/>
  <c r="P65" i="2" s="1"/>
  <c r="M388" i="2"/>
  <c r="P388" i="2" s="1"/>
  <c r="M389" i="2"/>
  <c r="P389" i="2" s="1"/>
  <c r="M390" i="2"/>
  <c r="P390" i="2" s="1"/>
  <c r="M147" i="2"/>
  <c r="P147" i="2" s="1"/>
  <c r="M350" i="2"/>
  <c r="P350" i="2" s="1"/>
  <c r="M66" i="2"/>
  <c r="P66" i="2" s="1"/>
  <c r="M148" i="2"/>
  <c r="P148" i="2" s="1"/>
  <c r="M306" i="2"/>
  <c r="P306" i="2" s="1"/>
  <c r="M67" i="2"/>
  <c r="P67" i="2" s="1"/>
  <c r="M68" i="2"/>
  <c r="P68" i="2" s="1"/>
  <c r="M69" i="2"/>
  <c r="P69" i="2" s="1"/>
  <c r="M149" i="2"/>
  <c r="P149" i="2" s="1"/>
  <c r="M224" i="2"/>
  <c r="P224" i="2" s="1"/>
  <c r="M391" i="2"/>
  <c r="P391" i="2" s="1"/>
  <c r="M392" i="2"/>
  <c r="P392" i="2" s="1"/>
  <c r="M70" i="2"/>
  <c r="P70" i="2" s="1"/>
  <c r="M150" i="2"/>
  <c r="P150" i="2" s="1"/>
  <c r="M307" i="2"/>
  <c r="P307" i="2" s="1"/>
  <c r="M393" i="2"/>
  <c r="P393" i="2" s="1"/>
  <c r="M225" i="2"/>
  <c r="P225" i="2" s="1"/>
  <c r="M226" i="2"/>
  <c r="P226" i="2" s="1"/>
  <c r="M71" i="2"/>
  <c r="P71" i="2" s="1"/>
  <c r="M227" i="2"/>
  <c r="P227" i="2" s="1"/>
  <c r="M228" i="2"/>
  <c r="P228" i="2" s="1"/>
  <c r="M351" i="2"/>
  <c r="M151" i="2"/>
  <c r="P151" i="2" s="1"/>
  <c r="M229" i="2"/>
  <c r="P229" i="2" s="1"/>
  <c r="M72" i="2"/>
  <c r="P72" i="2" s="1"/>
  <c r="M394" i="2"/>
  <c r="P394" i="2" s="1"/>
  <c r="M395" i="2"/>
  <c r="P395" i="2" s="1"/>
  <c r="M308" i="2"/>
  <c r="P308" i="2" s="1"/>
  <c r="M73" i="2"/>
  <c r="P73" i="2" s="1"/>
  <c r="M396" i="2"/>
  <c r="P396" i="2" s="1"/>
  <c r="M74" i="2"/>
  <c r="P74" i="2" s="1"/>
  <c r="L398" i="1"/>
  <c r="M398" i="1"/>
  <c r="J398" i="1"/>
  <c r="G397" i="1"/>
  <c r="I397" i="1"/>
  <c r="J397" i="1"/>
  <c r="K397" i="1"/>
  <c r="L397" i="1"/>
  <c r="M397" i="1"/>
  <c r="F397" i="1"/>
  <c r="P4" i="2" l="1"/>
  <c r="M398" i="2"/>
  <c r="P399" i="2" s="1"/>
  <c r="M399" i="2"/>
  <c r="P351" i="2"/>
</calcChain>
</file>

<file path=xl/sharedStrings.xml><?xml version="1.0" encoding="utf-8"?>
<sst xmlns="http://schemas.openxmlformats.org/spreadsheetml/2006/main" count="40024" uniqueCount="3580">
  <si>
    <t>Location</t>
  </si>
  <si>
    <t>FSCS</t>
  </si>
  <si>
    <t>Report Start Period</t>
  </si>
  <si>
    <t>Report End Period</t>
  </si>
  <si>
    <t>Library Class</t>
  </si>
  <si>
    <t>Number of Central Libraries</t>
  </si>
  <si>
    <t>Number of Branch Libraries</t>
  </si>
  <si>
    <t>Number of Bookmobiles</t>
  </si>
  <si>
    <t>Total Number of Outlets</t>
  </si>
  <si>
    <t>Central Library(ies) Square Feet</t>
  </si>
  <si>
    <t>Branch(es) Square Feet</t>
  </si>
  <si>
    <t>Total Square Feet</t>
  </si>
  <si>
    <t>Total Annual Public Service Hours</t>
  </si>
  <si>
    <t>NA</t>
  </si>
  <si>
    <t>2017-07-01</t>
  </si>
  <si>
    <t>2018-06-30</t>
  </si>
  <si>
    <t/>
  </si>
  <si>
    <t>10/01/2017</t>
  </si>
  <si>
    <t>09/30/2018</t>
  </si>
  <si>
    <t>Class 1: Serve 3,999 or less</t>
  </si>
  <si>
    <t>Addison Township Public Library</t>
  </si>
  <si>
    <t>MI0405</t>
  </si>
  <si>
    <t>01/01/2017</t>
  </si>
  <si>
    <t>12/31/2017</t>
  </si>
  <si>
    <t>Class 2: Serve 4,000-6,999</t>
  </si>
  <si>
    <t>Adrian District Library</t>
  </si>
  <si>
    <t>MI0406</t>
  </si>
  <si>
    <t>07/01/2017</t>
  </si>
  <si>
    <t>06/30/2018</t>
  </si>
  <si>
    <t>Class 4: Serve 12,000-25,999</t>
  </si>
  <si>
    <t>Aitkin Memorial District Library</t>
  </si>
  <si>
    <t>MI0372</t>
  </si>
  <si>
    <t>Class 3: Serve 7,000-11,999</t>
  </si>
  <si>
    <t>Alanson Area Public Library</t>
  </si>
  <si>
    <t>MI0407</t>
  </si>
  <si>
    <t>Albion District Library</t>
  </si>
  <si>
    <t>MI0408</t>
  </si>
  <si>
    <t>Alcona County Library</t>
  </si>
  <si>
    <t>MI0409</t>
  </si>
  <si>
    <t>Alden District Library</t>
  </si>
  <si>
    <t>MI0147</t>
  </si>
  <si>
    <t>Allegan District Library</t>
  </si>
  <si>
    <t>MI0410</t>
  </si>
  <si>
    <t>Allen Park Public Library</t>
  </si>
  <si>
    <t>MI9017</t>
  </si>
  <si>
    <t>Class 5: Serve 26,000-49,999</t>
  </si>
  <si>
    <t>Allendale Township Library</t>
  </si>
  <si>
    <t>MI0411</t>
  </si>
  <si>
    <t>Alma Public Library</t>
  </si>
  <si>
    <t>MI0412</t>
  </si>
  <si>
    <t>Almont District Library</t>
  </si>
  <si>
    <t>MI0149</t>
  </si>
  <si>
    <t>12/01/2016</t>
  </si>
  <si>
    <t>11/30/2017</t>
  </si>
  <si>
    <t>Alpena County Library</t>
  </si>
  <si>
    <t>MI0414</t>
  </si>
  <si>
    <t>Alvah N. Belding Memorial Library</t>
  </si>
  <si>
    <t>MI0010</t>
  </si>
  <si>
    <t>Ann Arbor District Library</t>
  </si>
  <si>
    <t>MI0012</t>
  </si>
  <si>
    <t>Class 6: Serve 50,000+</t>
  </si>
  <si>
    <t>Armada Free Public Library</t>
  </si>
  <si>
    <t>MI0013</t>
  </si>
  <si>
    <t>Ashley District Library</t>
  </si>
  <si>
    <t>MI9010</t>
  </si>
  <si>
    <t>Athens Community Library</t>
  </si>
  <si>
    <t>MI0014</t>
  </si>
  <si>
    <t>04/01/2017</t>
  </si>
  <si>
    <t>03/31/2018</t>
  </si>
  <si>
    <t>Auburn Hills Public Library</t>
  </si>
  <si>
    <t>MI0015</t>
  </si>
  <si>
    <t>2017-01-01</t>
  </si>
  <si>
    <t>2017-12-31</t>
  </si>
  <si>
    <t>Augusta-Ross Township District Library</t>
  </si>
  <si>
    <t>MI0016</t>
  </si>
  <si>
    <t>Bacon Memorial District Library</t>
  </si>
  <si>
    <t>MI0017</t>
  </si>
  <si>
    <t>Bad Axe District Library</t>
  </si>
  <si>
    <t>MI0018</t>
  </si>
  <si>
    <t>Baldwin Public Library</t>
  </si>
  <si>
    <t>MI0019</t>
  </si>
  <si>
    <t>Barryton Public Library</t>
  </si>
  <si>
    <t>MI0020</t>
  </si>
  <si>
    <t>Bath Township Public Library</t>
  </si>
  <si>
    <t>MI9026</t>
  </si>
  <si>
    <t>Bay County Library System</t>
  </si>
  <si>
    <t>MI0021</t>
  </si>
  <si>
    <t>Beaver Island District Library</t>
  </si>
  <si>
    <t>MI0023</t>
  </si>
  <si>
    <t>Bellaire Public Library</t>
  </si>
  <si>
    <t>MI0024</t>
  </si>
  <si>
    <t>Belleville Area District Library</t>
  </si>
  <si>
    <t>MI0430</t>
  </si>
  <si>
    <t>Bellevue Township Library</t>
  </si>
  <si>
    <t>MI0025</t>
  </si>
  <si>
    <t>Benton Harbor Public Library</t>
  </si>
  <si>
    <t>MI0027</t>
  </si>
  <si>
    <t>Benzie Shores District Library</t>
  </si>
  <si>
    <t>MI0114</t>
  </si>
  <si>
    <t>Benzonia Public Library</t>
  </si>
  <si>
    <t>MI0029</t>
  </si>
  <si>
    <t>Berkley Public Library</t>
  </si>
  <si>
    <t>MI0030</t>
  </si>
  <si>
    <t>Berrien Springs Community Library</t>
  </si>
  <si>
    <t>MI0031</t>
  </si>
  <si>
    <t>Bessemer Public Library</t>
  </si>
  <si>
    <t>MI0032</t>
  </si>
  <si>
    <t>Betsie Valley District Library</t>
  </si>
  <si>
    <t>MI0033</t>
  </si>
  <si>
    <t>Big Rapids Community Library</t>
  </si>
  <si>
    <t>MI0035</t>
  </si>
  <si>
    <t>Blair Memorial Library</t>
  </si>
  <si>
    <t>MI0036</t>
  </si>
  <si>
    <t>Bloomfield Township Public Library</t>
  </si>
  <si>
    <t>MI0037</t>
  </si>
  <si>
    <t>Boyne District Library</t>
  </si>
  <si>
    <t>MI0038</t>
  </si>
  <si>
    <t>05/01/2017</t>
  </si>
  <si>
    <t>04/30/2018</t>
  </si>
  <si>
    <t>Branch District Library</t>
  </si>
  <si>
    <t>MI0039</t>
  </si>
  <si>
    <t>Brandon Township Public Library</t>
  </si>
  <si>
    <t>MI0040</t>
  </si>
  <si>
    <t>Bridgeport Public Library</t>
  </si>
  <si>
    <t>MI0041</t>
  </si>
  <si>
    <t>Bridgman Public Library</t>
  </si>
  <si>
    <t>MI0042</t>
  </si>
  <si>
    <t>Briggs District Library</t>
  </si>
  <si>
    <t>MI0026</t>
  </si>
  <si>
    <t>Brighton District Library</t>
  </si>
  <si>
    <t>MI0043</t>
  </si>
  <si>
    <t>Brown City Public Library</t>
  </si>
  <si>
    <t>MI0044</t>
  </si>
  <si>
    <t>Buchanan District Library</t>
  </si>
  <si>
    <t>MI0045</t>
  </si>
  <si>
    <t>Bullard Sanford Memorial Library</t>
  </si>
  <si>
    <t>MI0046</t>
  </si>
  <si>
    <t>Burr Oak Township Library</t>
  </si>
  <si>
    <t>MI0048</t>
  </si>
  <si>
    <t>10/01/2016</t>
  </si>
  <si>
    <t>09/30/2017</t>
  </si>
  <si>
    <t>Cadillac-Wexford County Public Library</t>
  </si>
  <si>
    <t>MI0049</t>
  </si>
  <si>
    <t>Calumet Public School Library</t>
  </si>
  <si>
    <t>MI0050</t>
  </si>
  <si>
    <t>Camden Township Library</t>
  </si>
  <si>
    <t>MI0051</t>
  </si>
  <si>
    <t>Canton Public Library</t>
  </si>
  <si>
    <t>MI0052</t>
  </si>
  <si>
    <t>Capital Area District Libraries</t>
  </si>
  <si>
    <t>MI0424</t>
  </si>
  <si>
    <t>Caro Area District Library</t>
  </si>
  <si>
    <t>MI0168</t>
  </si>
  <si>
    <t>Carp Lake Township Library</t>
  </si>
  <si>
    <t>MI0053</t>
  </si>
  <si>
    <t>Carson City Public Library</t>
  </si>
  <si>
    <t>MI0054</t>
  </si>
  <si>
    <t>Cass District Library</t>
  </si>
  <si>
    <t>MI0055</t>
  </si>
  <si>
    <t>Cedar Springs Public Library</t>
  </si>
  <si>
    <t>MI0056</t>
  </si>
  <si>
    <t>Center Line Public Library</t>
  </si>
  <si>
    <t>MI0057</t>
  </si>
  <si>
    <t>Central Lake District Library</t>
  </si>
  <si>
    <t>MI0058</t>
  </si>
  <si>
    <t>Charles A. Ransom District Library</t>
  </si>
  <si>
    <t>MI0059</t>
  </si>
  <si>
    <t>Charlevoix Public Library</t>
  </si>
  <si>
    <t>MI0060</t>
  </si>
  <si>
    <t>Charlotte Community Library</t>
  </si>
  <si>
    <t>MI0061</t>
  </si>
  <si>
    <t>Chase Township Public Library</t>
  </si>
  <si>
    <t>MI0062</t>
  </si>
  <si>
    <t>Cheboygan Area Public Library</t>
  </si>
  <si>
    <t>MI0063</t>
  </si>
  <si>
    <t>Chelsea District Library</t>
  </si>
  <si>
    <t>MI0223</t>
  </si>
  <si>
    <t>Chesterfield Township Library</t>
  </si>
  <si>
    <t>MI0416</t>
  </si>
  <si>
    <t>Chippewa River District Library System</t>
  </si>
  <si>
    <t>MI0348</t>
  </si>
  <si>
    <t>Clarkston Independence District Library</t>
  </si>
  <si>
    <t>MI0166</t>
  </si>
  <si>
    <t>Clinton Township Public Library</t>
  </si>
  <si>
    <t>MI0065</t>
  </si>
  <si>
    <t>Clinton-Macomb Public Library</t>
  </si>
  <si>
    <t>MI0397</t>
  </si>
  <si>
    <t>Coleman Area Library</t>
  </si>
  <si>
    <t>MI0066</t>
  </si>
  <si>
    <t>Coloma Public Library</t>
  </si>
  <si>
    <t>MI0067</t>
  </si>
  <si>
    <t>Colon Township Library</t>
  </si>
  <si>
    <t>MI0068</t>
  </si>
  <si>
    <t>Columbia Township Library</t>
  </si>
  <si>
    <t>MI0069</t>
  </si>
  <si>
    <t>Commerce Township Community Library</t>
  </si>
  <si>
    <t>MI0426</t>
  </si>
  <si>
    <t>Community District Library</t>
  </si>
  <si>
    <t>MI0310</t>
  </si>
  <si>
    <t>Comstock Township Library</t>
  </si>
  <si>
    <t>MI0070</t>
  </si>
  <si>
    <t>Constantine Township Library</t>
  </si>
  <si>
    <t>MI0071</t>
  </si>
  <si>
    <t>Coopersville Area District Library</t>
  </si>
  <si>
    <t>MI0072</t>
  </si>
  <si>
    <t>Crawford County Library</t>
  </si>
  <si>
    <t>MI0074</t>
  </si>
  <si>
    <t>Cromaine District Library</t>
  </si>
  <si>
    <t>MI0075</t>
  </si>
  <si>
    <t>Crooked Tree District Library</t>
  </si>
  <si>
    <t>MI0076</t>
  </si>
  <si>
    <t>Croton Township Library</t>
  </si>
  <si>
    <t>MI0429</t>
  </si>
  <si>
    <t>Crystal Falls District Community Library</t>
  </si>
  <si>
    <t>MI0077</t>
  </si>
  <si>
    <t>Curtis Township Library</t>
  </si>
  <si>
    <t>MI0417</t>
  </si>
  <si>
    <t>2017-1-1</t>
  </si>
  <si>
    <t>Darcy Library of Beulah</t>
  </si>
  <si>
    <t>MI0034</t>
  </si>
  <si>
    <t>Dearborn Heights City Libraries</t>
  </si>
  <si>
    <t>MI0425</t>
  </si>
  <si>
    <t>Dearborn Public Library</t>
  </si>
  <si>
    <t>MI0078</t>
  </si>
  <si>
    <t>Deckerville Public Library</t>
  </si>
  <si>
    <t>MI0080</t>
  </si>
  <si>
    <t>Delta Township District Library</t>
  </si>
  <si>
    <t>MI9009</t>
  </si>
  <si>
    <t>Delton District Library</t>
  </si>
  <si>
    <t>MI0081</t>
  </si>
  <si>
    <t>DeTour Area School and Public Library</t>
  </si>
  <si>
    <t>MI0082</t>
  </si>
  <si>
    <t>Detroit Public Library</t>
  </si>
  <si>
    <t>MI0083</t>
  </si>
  <si>
    <t>DeWitt District Library</t>
  </si>
  <si>
    <t>MI0106</t>
  </si>
  <si>
    <t>Dexter District Library</t>
  </si>
  <si>
    <t>MI0084</t>
  </si>
  <si>
    <t>Dickinson County Library</t>
  </si>
  <si>
    <t>MI0085</t>
  </si>
  <si>
    <t>Dorothy Hull Library - Windsor Township</t>
  </si>
  <si>
    <t>MI0373</t>
  </si>
  <si>
    <t>Dorr Township Library</t>
  </si>
  <si>
    <t>MI0086</t>
  </si>
  <si>
    <t>Dowagiac District Library</t>
  </si>
  <si>
    <t>MI0087</t>
  </si>
  <si>
    <t>Dowling Public Library</t>
  </si>
  <si>
    <t>MI0088</t>
  </si>
  <si>
    <t>Dryden Township Library</t>
  </si>
  <si>
    <t>MI0089</t>
  </si>
  <si>
    <t>East Lansing Public Library</t>
  </si>
  <si>
    <t>MI0093</t>
  </si>
  <si>
    <t>Eastpointe Memorial Library</t>
  </si>
  <si>
    <t>MI0092</t>
  </si>
  <si>
    <t>Eaton Rapids Area District Library</t>
  </si>
  <si>
    <t>MI0094</t>
  </si>
  <si>
    <t>Eau Claire District Library</t>
  </si>
  <si>
    <t>MI0095</t>
  </si>
  <si>
    <t>08/01/2017</t>
  </si>
  <si>
    <t>07/31/2018</t>
  </si>
  <si>
    <t>Ecorse Public Library</t>
  </si>
  <si>
    <t>MI9021</t>
  </si>
  <si>
    <t>Elk Rapids District Library</t>
  </si>
  <si>
    <t>MI0098</t>
  </si>
  <si>
    <t>03/01/2017</t>
  </si>
  <si>
    <t>02/29/2018</t>
  </si>
  <si>
    <t>Elk Township Library</t>
  </si>
  <si>
    <t>MI0099</t>
  </si>
  <si>
    <t>Elsie Public Library</t>
  </si>
  <si>
    <t>MI0100</t>
  </si>
  <si>
    <t>Escanaba Public Library</t>
  </si>
  <si>
    <t>MI0101</t>
  </si>
  <si>
    <t>Evart Public Library</t>
  </si>
  <si>
    <t>MI0102</t>
  </si>
  <si>
    <t>Fairgrove District Library</t>
  </si>
  <si>
    <t>MI0103</t>
  </si>
  <si>
    <t>Farmington Community Library</t>
  </si>
  <si>
    <t>MI0105</t>
  </si>
  <si>
    <t>Fennville District Library</t>
  </si>
  <si>
    <t>MI0107</t>
  </si>
  <si>
    <t>Ferndale Area District Library</t>
  </si>
  <si>
    <t>MI0108</t>
  </si>
  <si>
    <t>Fife Lake Public Library</t>
  </si>
  <si>
    <t>MI0109</t>
  </si>
  <si>
    <t>Flat River Community Library</t>
  </si>
  <si>
    <t>MI0133</t>
  </si>
  <si>
    <t>Flat Rock Public Library</t>
  </si>
  <si>
    <t>MI0421</t>
  </si>
  <si>
    <t>2018-07-01</t>
  </si>
  <si>
    <t>2019-06-30</t>
  </si>
  <si>
    <t>Flint Public Library</t>
  </si>
  <si>
    <t>MI0111</t>
  </si>
  <si>
    <t>Forsyth Township Public Library</t>
  </si>
  <si>
    <t>MI0112</t>
  </si>
  <si>
    <t>Fowlerville District Library</t>
  </si>
  <si>
    <t>MI0113</t>
  </si>
  <si>
    <t>Frankenmuth James E. Wickson District Library</t>
  </si>
  <si>
    <t>MI0177</t>
  </si>
  <si>
    <t>Franklin Public Library</t>
  </si>
  <si>
    <t>MI0115</t>
  </si>
  <si>
    <t>Fraser Public Library</t>
  </si>
  <si>
    <t>MI0116</t>
  </si>
  <si>
    <t>Freeport District Library</t>
  </si>
  <si>
    <t>MI0117</t>
  </si>
  <si>
    <t>Fremont Area District Library</t>
  </si>
  <si>
    <t>MI0118</t>
  </si>
  <si>
    <t>Fruitport District Library</t>
  </si>
  <si>
    <t>MI9022</t>
  </si>
  <si>
    <t>Galesburg-Charleston Memorial District Library</t>
  </si>
  <si>
    <t>MI0119</t>
  </si>
  <si>
    <t>Galien Township Public Library</t>
  </si>
  <si>
    <t>MI0120</t>
  </si>
  <si>
    <t>Garden City Public Library</t>
  </si>
  <si>
    <t>MI0121</t>
  </si>
  <si>
    <t>Gary Byker Memorial Library of Hudsonville</t>
  </si>
  <si>
    <t>MI0162</t>
  </si>
  <si>
    <t>Genesee District Library</t>
  </si>
  <si>
    <t>MI0123</t>
  </si>
  <si>
    <t>George W. Spindler Memorial Library</t>
  </si>
  <si>
    <t>MI0376</t>
  </si>
  <si>
    <t>Georgetown Township Public Library</t>
  </si>
  <si>
    <t>MI0124</t>
  </si>
  <si>
    <t>Gladstone School &amp; Public Library</t>
  </si>
  <si>
    <t>MI0126</t>
  </si>
  <si>
    <t>Gladwin County District Library</t>
  </si>
  <si>
    <t>MI0127</t>
  </si>
  <si>
    <t>Glen Lake Community Library</t>
  </si>
  <si>
    <t>MI0128</t>
  </si>
  <si>
    <t>Goodland Township Library</t>
  </si>
  <si>
    <t>MI0436</t>
  </si>
  <si>
    <t>Grace A. Dow Memorial Library</t>
  </si>
  <si>
    <t>MI0129</t>
  </si>
  <si>
    <t>Grand Ledge Area District Library</t>
  </si>
  <si>
    <t>MI0130</t>
  </si>
  <si>
    <t>Grand Rapids Public Library</t>
  </si>
  <si>
    <t>MI0131</t>
  </si>
  <si>
    <t>Grant Area District Library</t>
  </si>
  <si>
    <t>MI0132</t>
  </si>
  <si>
    <t>Grosse Pointe Public Library</t>
  </si>
  <si>
    <t>MI0134</t>
  </si>
  <si>
    <t>Hackley Public Library</t>
  </si>
  <si>
    <t>MI0135</t>
  </si>
  <si>
    <t>Hamburg Township Library</t>
  </si>
  <si>
    <t>MI0137</t>
  </si>
  <si>
    <t>Hamtramck Public Library</t>
  </si>
  <si>
    <t>MI0138</t>
  </si>
  <si>
    <t>Hancock School Public Library</t>
  </si>
  <si>
    <t>MI0139</t>
  </si>
  <si>
    <t>Harbor Beach Area District Library</t>
  </si>
  <si>
    <t>MI0140</t>
  </si>
  <si>
    <t>Harper Woods Public Library</t>
  </si>
  <si>
    <t>MI0141</t>
  </si>
  <si>
    <t>Harrison District Library</t>
  </si>
  <si>
    <t>MI0142</t>
  </si>
  <si>
    <t>Harrison Township Public Library</t>
  </si>
  <si>
    <t>MI0435</t>
  </si>
  <si>
    <t>Hart Area Public Library</t>
  </si>
  <si>
    <t>MI0143</t>
  </si>
  <si>
    <t>Hartford Public Library</t>
  </si>
  <si>
    <t>MI0144</t>
  </si>
  <si>
    <t>Hastings Public Library</t>
  </si>
  <si>
    <t>MI0145</t>
  </si>
  <si>
    <t>Hazel Park Memorial District Library</t>
  </si>
  <si>
    <t>MI0146</t>
  </si>
  <si>
    <t>Henika District Library</t>
  </si>
  <si>
    <t>MI0148</t>
  </si>
  <si>
    <t>Herrick District Library</t>
  </si>
  <si>
    <t>MI0150</t>
  </si>
  <si>
    <t>Hesperia Community Library</t>
  </si>
  <si>
    <t>MI0151</t>
  </si>
  <si>
    <t>Highland Township Public Library</t>
  </si>
  <si>
    <t>MI0152</t>
  </si>
  <si>
    <t>Hillsdale Community Library</t>
  </si>
  <si>
    <t>MI0232</t>
  </si>
  <si>
    <t>Holly Township Library</t>
  </si>
  <si>
    <t>MI0153</t>
  </si>
  <si>
    <t>Home Township Library</t>
  </si>
  <si>
    <t>MI0154</t>
  </si>
  <si>
    <t>Homer Public Library</t>
  </si>
  <si>
    <t>MI0155</t>
  </si>
  <si>
    <t>Hopkins District Library</t>
  </si>
  <si>
    <t>MI0157</t>
  </si>
  <si>
    <t>Houghton Lake Public Library</t>
  </si>
  <si>
    <t>MI0158</t>
  </si>
  <si>
    <t>Howard Miller Library</t>
  </si>
  <si>
    <t>MI0378</t>
  </si>
  <si>
    <t>Howe Memorial Library</t>
  </si>
  <si>
    <t>MI0159</t>
  </si>
  <si>
    <t>Howell Carnegie District Library</t>
  </si>
  <si>
    <t>MI0160</t>
  </si>
  <si>
    <t>Hudson Carnegie District Library</t>
  </si>
  <si>
    <t>MI0161</t>
  </si>
  <si>
    <t>Huntington Woods Public Library</t>
  </si>
  <si>
    <t>MI0163</t>
  </si>
  <si>
    <t>Indian River Area Library</t>
  </si>
  <si>
    <t>MI0167</t>
  </si>
  <si>
    <t>Interlochen Public Library</t>
  </si>
  <si>
    <t>MI0170</t>
  </si>
  <si>
    <t>Ionia Community Library</t>
  </si>
  <si>
    <t>MI0136</t>
  </si>
  <si>
    <t>Iosco-Arenac District Library</t>
  </si>
  <si>
    <t>MI0171</t>
  </si>
  <si>
    <t>Ironwood Carnegie Library</t>
  </si>
  <si>
    <t>MI0172</t>
  </si>
  <si>
    <t>Ishpeming Carnegie Public Library</t>
  </si>
  <si>
    <t>MI0173</t>
  </si>
  <si>
    <t>J. C. Wheeler Public Library</t>
  </si>
  <si>
    <t>MI0174</t>
  </si>
  <si>
    <t>Jackson District Library</t>
  </si>
  <si>
    <t>MI0175</t>
  </si>
  <si>
    <t>Jacquelin E. Opperman Memorial Library</t>
  </si>
  <si>
    <t>MI0176</t>
  </si>
  <si>
    <t>Jonesville District Library</t>
  </si>
  <si>
    <t>MI0178</t>
  </si>
  <si>
    <t>Jordan Valley District Library</t>
  </si>
  <si>
    <t>MI0179</t>
  </si>
  <si>
    <t>Kalamazoo Public Library</t>
  </si>
  <si>
    <t>MI0180</t>
  </si>
  <si>
    <t>Kalkaska County Library</t>
  </si>
  <si>
    <t>MI0181</t>
  </si>
  <si>
    <t>Kent District Library</t>
  </si>
  <si>
    <t>MI0182</t>
  </si>
  <si>
    <t>L'Anse Area School-Public Library</t>
  </si>
  <si>
    <t>MI0184</t>
  </si>
  <si>
    <t>Laingsburg Public Library</t>
  </si>
  <si>
    <t>MI0186</t>
  </si>
  <si>
    <t>Lake Linden-Hubbell School/Public Library</t>
  </si>
  <si>
    <t>MI0187</t>
  </si>
  <si>
    <t>Lake Odessa Community Library</t>
  </si>
  <si>
    <t>MI0188</t>
  </si>
  <si>
    <t>Lapeer District Library</t>
  </si>
  <si>
    <t>MI0190</t>
  </si>
  <si>
    <t>Lawrence Memorial Public Library</t>
  </si>
  <si>
    <t>MI0191</t>
  </si>
  <si>
    <t>Lawton Public Library</t>
  </si>
  <si>
    <t>MI0192</t>
  </si>
  <si>
    <t>Leanna Hicks Public Library of Inkster</t>
  </si>
  <si>
    <t>MI0431</t>
  </si>
  <si>
    <t>Leelanau Township Library</t>
  </si>
  <si>
    <t>MI0193</t>
  </si>
  <si>
    <t>Leighton Township Library</t>
  </si>
  <si>
    <t>MI0422</t>
  </si>
  <si>
    <t>Leland Township Public Library</t>
  </si>
  <si>
    <t>MI0194</t>
  </si>
  <si>
    <t>Lenawee District Library</t>
  </si>
  <si>
    <t>MI0195</t>
  </si>
  <si>
    <t>Lenox Township Library</t>
  </si>
  <si>
    <t>MI0196</t>
  </si>
  <si>
    <t>LeRoy Community Library</t>
  </si>
  <si>
    <t>MI0197</t>
  </si>
  <si>
    <t>Lincoln Park Public Library</t>
  </si>
  <si>
    <t>MI9025</t>
  </si>
  <si>
    <t>Lincoln Township Public Library</t>
  </si>
  <si>
    <t>MI0198</t>
  </si>
  <si>
    <t>Litchfield District Library</t>
  </si>
  <si>
    <t>MI0199</t>
  </si>
  <si>
    <t>2017-04-01</t>
  </si>
  <si>
    <t>2018-03-31</t>
  </si>
  <si>
    <t>Livonia Public Library</t>
  </si>
  <si>
    <t>MI0200</t>
  </si>
  <si>
    <t>Lois Wagner Memorial Library</t>
  </si>
  <si>
    <t>MI0290</t>
  </si>
  <si>
    <t>Loutit District Library</t>
  </si>
  <si>
    <t>MI0201</t>
  </si>
  <si>
    <t>Luther Area Public Library</t>
  </si>
  <si>
    <t>MI0203</t>
  </si>
  <si>
    <t>Lyon Township Public Library</t>
  </si>
  <si>
    <t>MI0204</t>
  </si>
  <si>
    <t>Lyons Township District Library</t>
  </si>
  <si>
    <t>MI0205</t>
  </si>
  <si>
    <t>02/28/2018</t>
  </si>
  <si>
    <t>M. Alice Chapin Memorial Library</t>
  </si>
  <si>
    <t>MI0206</t>
  </si>
  <si>
    <t>MacDonald Public Library</t>
  </si>
  <si>
    <t>MI0242</t>
  </si>
  <si>
    <t>Mackinac Island Public Library</t>
  </si>
  <si>
    <t>MI0207</t>
  </si>
  <si>
    <t>Mackinaw Area Public Library</t>
  </si>
  <si>
    <t>MI0208</t>
  </si>
  <si>
    <t>Madison Heights Public Library</t>
  </si>
  <si>
    <t>MI0210</t>
  </si>
  <si>
    <t>Mancelona Township Library</t>
  </si>
  <si>
    <t>MI0211</t>
  </si>
  <si>
    <t>Manchester District Library</t>
  </si>
  <si>
    <t>MI0212</t>
  </si>
  <si>
    <t>06/01/2017</t>
  </si>
  <si>
    <t>05/31/2018</t>
  </si>
  <si>
    <t>Manistee County Library</t>
  </si>
  <si>
    <t>MI0213</t>
  </si>
  <si>
    <t>Manistique School &amp; Public Library</t>
  </si>
  <si>
    <t>MI0214</t>
  </si>
  <si>
    <t>Maple Rapids Public Library</t>
  </si>
  <si>
    <t>MI0215</t>
  </si>
  <si>
    <t>Marcellus Township Wood Memorial Library</t>
  </si>
  <si>
    <t>MI0216</t>
  </si>
  <si>
    <t>Marlette District Library</t>
  </si>
  <si>
    <t>MI0217</t>
  </si>
  <si>
    <t>Marshall District Library</t>
  </si>
  <si>
    <t>MI0218</t>
  </si>
  <si>
    <t>Mason County District Library</t>
  </si>
  <si>
    <t>MI0401</t>
  </si>
  <si>
    <t>Maud Preston Palenske Memorial Library</t>
  </si>
  <si>
    <t>MI0220</t>
  </si>
  <si>
    <t>Mayville District Public Library</t>
  </si>
  <si>
    <t>MI0221</t>
  </si>
  <si>
    <t>McBain Community Library</t>
  </si>
  <si>
    <t>MI0418</t>
  </si>
  <si>
    <t>McMillan Township Library</t>
  </si>
  <si>
    <t>MI0224</t>
  </si>
  <si>
    <t>Melvindale Public Library</t>
  </si>
  <si>
    <t>MI9018</t>
  </si>
  <si>
    <t>Mendon Township Library</t>
  </si>
  <si>
    <t>MI0225</t>
  </si>
  <si>
    <t>Menominee County Library</t>
  </si>
  <si>
    <t>MI0226</t>
  </si>
  <si>
    <t>Merrill District Library</t>
  </si>
  <si>
    <t>MI0227</t>
  </si>
  <si>
    <t>Milan Public Library</t>
  </si>
  <si>
    <t>MI0228</t>
  </si>
  <si>
    <t>Milford Public Library</t>
  </si>
  <si>
    <t>MI0229</t>
  </si>
  <si>
    <t>Millington Arbela District Library</t>
  </si>
  <si>
    <t>MI0230</t>
  </si>
  <si>
    <t>Missaukee District Library</t>
  </si>
  <si>
    <t>MI0231</t>
  </si>
  <si>
    <t>Monroe County Library System</t>
  </si>
  <si>
    <t>MI0233</t>
  </si>
  <si>
    <t>Montmorency County Public Libraries</t>
  </si>
  <si>
    <t>MI0234</t>
  </si>
  <si>
    <t>Moore Public Library</t>
  </si>
  <si>
    <t>MI0235</t>
  </si>
  <si>
    <t>Morton Township Public Library</t>
  </si>
  <si>
    <t>MI0236</t>
  </si>
  <si>
    <t>Mount Clemens Public Library</t>
  </si>
  <si>
    <t>MI0237</t>
  </si>
  <si>
    <t>Mulliken District Library</t>
  </si>
  <si>
    <t>MI0238</t>
  </si>
  <si>
    <t>Munising School Public Library</t>
  </si>
  <si>
    <t>MI0239</t>
  </si>
  <si>
    <t>Muskegon Area District Library</t>
  </si>
  <si>
    <t>MI0240</t>
  </si>
  <si>
    <t>Negaunee Public Library</t>
  </si>
  <si>
    <t>MI0241</t>
  </si>
  <si>
    <t>New Buffalo Township Public Library</t>
  </si>
  <si>
    <t>MI0243</t>
  </si>
  <si>
    <t>Newaygo Area District Library</t>
  </si>
  <si>
    <t>MI0244</t>
  </si>
  <si>
    <t>Niles District Library</t>
  </si>
  <si>
    <t>MI0245</t>
  </si>
  <si>
    <t>North Adams Community Memorial Library</t>
  </si>
  <si>
    <t>MI0246</t>
  </si>
  <si>
    <t>North Branch Township Library</t>
  </si>
  <si>
    <t>MI0247</t>
  </si>
  <si>
    <t>Northfield Township Area Library</t>
  </si>
  <si>
    <t>MI0379</t>
  </si>
  <si>
    <t>Northville District Library</t>
  </si>
  <si>
    <t>MI0248</t>
  </si>
  <si>
    <t>Nottawa Township Library</t>
  </si>
  <si>
    <t>MI0249</t>
  </si>
  <si>
    <t>Novi Public Library</t>
  </si>
  <si>
    <t>MI0250</t>
  </si>
  <si>
    <t>Oak Park Public Library</t>
  </si>
  <si>
    <t>MI0251</t>
  </si>
  <si>
    <t>Ogemaw District Library</t>
  </si>
  <si>
    <t>MI0253</t>
  </si>
  <si>
    <t>Ontonagon Township Library</t>
  </si>
  <si>
    <t>MI0254</t>
  </si>
  <si>
    <t>Orion Township Public Library</t>
  </si>
  <si>
    <t>MI0255</t>
  </si>
  <si>
    <t>Osceola Township School Public Library</t>
  </si>
  <si>
    <t>MI0256</t>
  </si>
  <si>
    <t>Oscoda County Library</t>
  </si>
  <si>
    <t>MI0257</t>
  </si>
  <si>
    <t>Otsego County Library</t>
  </si>
  <si>
    <t>MI0258</t>
  </si>
  <si>
    <t>Otsego District Public Library</t>
  </si>
  <si>
    <t>MI0259</t>
  </si>
  <si>
    <t>Ovid Public Library</t>
  </si>
  <si>
    <t>MI0260</t>
  </si>
  <si>
    <t>Oxford Public Library</t>
  </si>
  <si>
    <t>MI0262</t>
  </si>
  <si>
    <t>Parchment Community Library</t>
  </si>
  <si>
    <t>MI0263</t>
  </si>
  <si>
    <t>Pathfinder Community Library</t>
  </si>
  <si>
    <t>MI0264</t>
  </si>
  <si>
    <t>Patmos Library</t>
  </si>
  <si>
    <t>MI9012</t>
  </si>
  <si>
    <t>Paw Paw District Library</t>
  </si>
  <si>
    <t>MI0265</t>
  </si>
  <si>
    <t>Peninsula Community Library</t>
  </si>
  <si>
    <t>MI0266</t>
  </si>
  <si>
    <t>Pentwater Township Library</t>
  </si>
  <si>
    <t>MI0267</t>
  </si>
  <si>
    <t>2017-4-01</t>
  </si>
  <si>
    <t>2018-3-31</t>
  </si>
  <si>
    <t>Pere Marquette District Library</t>
  </si>
  <si>
    <t>MI0122</t>
  </si>
  <si>
    <t>Peter White Public Library</t>
  </si>
  <si>
    <t>MI0268</t>
  </si>
  <si>
    <t>Petoskey District Library</t>
  </si>
  <si>
    <t>MI0269</t>
  </si>
  <si>
    <t>Pigeon District Library</t>
  </si>
  <si>
    <t>MI0270</t>
  </si>
  <si>
    <t>Pinckney Community Public Library</t>
  </si>
  <si>
    <t>MI0271</t>
  </si>
  <si>
    <t>Pittsford Public Library</t>
  </si>
  <si>
    <t>MI0272</t>
  </si>
  <si>
    <t>Plymouth District Library</t>
  </si>
  <si>
    <t>MI0273</t>
  </si>
  <si>
    <t>Pontiac Public Library</t>
  </si>
  <si>
    <t>MI0274</t>
  </si>
  <si>
    <t>Port Austin Township Library</t>
  </si>
  <si>
    <t>MI0275</t>
  </si>
  <si>
    <t>Portage District Library</t>
  </si>
  <si>
    <t>MI0277</t>
  </si>
  <si>
    <t>Portage Lake District Library</t>
  </si>
  <si>
    <t>MI0276</t>
  </si>
  <si>
    <t>Portland District Library</t>
  </si>
  <si>
    <t>MI0278</t>
  </si>
  <si>
    <t>Potterville-Benton Township District Library</t>
  </si>
  <si>
    <t>MI0028</t>
  </si>
  <si>
    <t>Presque Isle District Library</t>
  </si>
  <si>
    <t>MI0279</t>
  </si>
  <si>
    <t>Public Libraries of Saginaw</t>
  </si>
  <si>
    <t>MI0299</t>
  </si>
  <si>
    <t>Putnam District Library</t>
  </si>
  <si>
    <t>MI0280</t>
  </si>
  <si>
    <t>Rauchholz Memorial Library</t>
  </si>
  <si>
    <t>MI0281</t>
  </si>
  <si>
    <t>Rawson Memorial Library</t>
  </si>
  <si>
    <t>MI0282</t>
  </si>
  <si>
    <t>Ray Township Public Library</t>
  </si>
  <si>
    <t>MI0427</t>
  </si>
  <si>
    <t>Reading Community Library</t>
  </si>
  <si>
    <t>MI0283</t>
  </si>
  <si>
    <t>Redford Township District Library</t>
  </si>
  <si>
    <t>MI0402</t>
  </si>
  <si>
    <t>Reed City Area District Library</t>
  </si>
  <si>
    <t>MI0284</t>
  </si>
  <si>
    <t>Reese Unity District Library</t>
  </si>
  <si>
    <t>MI0380</t>
  </si>
  <si>
    <t>Republic-Michigamme Public Library</t>
  </si>
  <si>
    <t>MI0285</t>
  </si>
  <si>
    <t>Richfield Township Public Library</t>
  </si>
  <si>
    <t>MI0287</t>
  </si>
  <si>
    <t>Richland Community Library</t>
  </si>
  <si>
    <t>MI0288</t>
  </si>
  <si>
    <t>2017-10-01</t>
  </si>
  <si>
    <t>2018-09-30</t>
  </si>
  <si>
    <t>Richland Township Library</t>
  </si>
  <si>
    <t>MI0289</t>
  </si>
  <si>
    <t>Richmond Township Library</t>
  </si>
  <si>
    <t>MI0291</t>
  </si>
  <si>
    <t>River Rapids District Library</t>
  </si>
  <si>
    <t>MI0064</t>
  </si>
  <si>
    <t>River Rouge Public Library</t>
  </si>
  <si>
    <t>MI9019</t>
  </si>
  <si>
    <t>Riverview Veterans Memorial Library</t>
  </si>
  <si>
    <t>MI0292</t>
  </si>
  <si>
    <t>Rochester Hills Public Library</t>
  </si>
  <si>
    <t>MI0293</t>
  </si>
  <si>
    <t>Romeo District Library</t>
  </si>
  <si>
    <t>MI0294</t>
  </si>
  <si>
    <t>Romulus Public Library</t>
  </si>
  <si>
    <t>MI0433</t>
  </si>
  <si>
    <t>Roscommon Area District Library</t>
  </si>
  <si>
    <t>MI0125</t>
  </si>
  <si>
    <t>Roseville Public Library</t>
  </si>
  <si>
    <t>MI0295</t>
  </si>
  <si>
    <t>Royal Oak Public Library</t>
  </si>
  <si>
    <t>MI0296</t>
  </si>
  <si>
    <t>Royal Oak Township Public Library</t>
  </si>
  <si>
    <t>MI0297</t>
  </si>
  <si>
    <t>Ruth Hughes Memorial District Library</t>
  </si>
  <si>
    <t>MI0165</t>
  </si>
  <si>
    <t>Saint Charles District Library</t>
  </si>
  <si>
    <t>MI0320</t>
  </si>
  <si>
    <t>Saint Clair County Library System</t>
  </si>
  <si>
    <t>MI0321</t>
  </si>
  <si>
    <t>Saint Clair Shores Public Library</t>
  </si>
  <si>
    <t>MI0322</t>
  </si>
  <si>
    <t>Saint Ignace Public Library</t>
  </si>
  <si>
    <t>MI0323</t>
  </si>
  <si>
    <t>Salem Township Library</t>
  </si>
  <si>
    <t>MI0423</t>
  </si>
  <si>
    <t>Salem-South Lyon District Library</t>
  </si>
  <si>
    <t>MI0315</t>
  </si>
  <si>
    <t>Saline District Library</t>
  </si>
  <si>
    <t>MI0300</t>
  </si>
  <si>
    <t>Sandusky District Library</t>
  </si>
  <si>
    <t>MI0301</t>
  </si>
  <si>
    <t>Sanilac District Library</t>
  </si>
  <si>
    <t>MI0302</t>
  </si>
  <si>
    <t>Saranac Public Library</t>
  </si>
  <si>
    <t>MI0303</t>
  </si>
  <si>
    <t>Saugatuck-Douglas District Library</t>
  </si>
  <si>
    <t>MI0304</t>
  </si>
  <si>
    <t>Schoolcraft Community Library</t>
  </si>
  <si>
    <t>MI0305</t>
  </si>
  <si>
    <t>Schultz-Holmes Memorial Library</t>
  </si>
  <si>
    <t>MI0428</t>
  </si>
  <si>
    <t>Sebewaing Township Library</t>
  </si>
  <si>
    <t>MI9007</t>
  </si>
  <si>
    <t>Seville Township Public Library</t>
  </si>
  <si>
    <t>MI0307</t>
  </si>
  <si>
    <t>Shelby Area District Library</t>
  </si>
  <si>
    <t>MI0309</t>
  </si>
  <si>
    <t>Shelby Township Library</t>
  </si>
  <si>
    <t>MI0308</t>
  </si>
  <si>
    <t>Sherman Township Library</t>
  </si>
  <si>
    <t>MI0432</t>
  </si>
  <si>
    <t>Shiawassee District Library</t>
  </si>
  <si>
    <t>MI0261</t>
  </si>
  <si>
    <t>Sleeper Public Library</t>
  </si>
  <si>
    <t>MI0311</t>
  </si>
  <si>
    <t>Sodus Township Library</t>
  </si>
  <si>
    <t>MI0312</t>
  </si>
  <si>
    <t>South Haven Memorial Library</t>
  </si>
  <si>
    <t>MI0314</t>
  </si>
  <si>
    <t>Southfield Public Library</t>
  </si>
  <si>
    <t>MI0316</t>
  </si>
  <si>
    <t>Southgate Veterans Memorial Library</t>
  </si>
  <si>
    <t>MI0434</t>
  </si>
  <si>
    <t>Sparta Carnegie Township Library</t>
  </si>
  <si>
    <t>MI0317</t>
  </si>
  <si>
    <t>Spies Public Library</t>
  </si>
  <si>
    <t>MI0318</t>
  </si>
  <si>
    <t>Spring Lake District Library</t>
  </si>
  <si>
    <t>MI0355</t>
  </si>
  <si>
    <t>Springfield Township Library</t>
  </si>
  <si>
    <t>MI0319</t>
  </si>
  <si>
    <t>Stair District Library</t>
  </si>
  <si>
    <t>MI0324</t>
  </si>
  <si>
    <t>Sterling Heights Public Library</t>
  </si>
  <si>
    <t>MI0325</t>
  </si>
  <si>
    <t>Sturgis District Library</t>
  </si>
  <si>
    <t>MI0326</t>
  </si>
  <si>
    <t>Sunfield District Library</t>
  </si>
  <si>
    <t>MI0327</t>
  </si>
  <si>
    <t>Superior District Library</t>
  </si>
  <si>
    <t>MI0022</t>
  </si>
  <si>
    <t>Surrey Township Public Library</t>
  </si>
  <si>
    <t>MI0328</t>
  </si>
  <si>
    <t>Suttons Bay-Bingham District Library</t>
  </si>
  <si>
    <t>MI0329</t>
  </si>
  <si>
    <t>2017-7-1</t>
  </si>
  <si>
    <t>Tahquamenon Area Public Library</t>
  </si>
  <si>
    <t>MI0330</t>
  </si>
  <si>
    <t>Tamarack District Library</t>
  </si>
  <si>
    <t>MI0331</t>
  </si>
  <si>
    <t>Taylor Community Library</t>
  </si>
  <si>
    <t>MI9024</t>
  </si>
  <si>
    <t>Taymouth Township Library</t>
  </si>
  <si>
    <t>MI0332</t>
  </si>
  <si>
    <t>Tecumseh District Library</t>
  </si>
  <si>
    <t>MI0333</t>
  </si>
  <si>
    <t>Tekonsha Township Public Library</t>
  </si>
  <si>
    <t>MI0334</t>
  </si>
  <si>
    <t>Theodore A. Cutler Memorial Library</t>
  </si>
  <si>
    <t>MI0335</t>
  </si>
  <si>
    <t>Thomas E. Fleschner Memorial Library</t>
  </si>
  <si>
    <t>MI0110</t>
  </si>
  <si>
    <t>Thomas Township Library</t>
  </si>
  <si>
    <t>MI0336</t>
  </si>
  <si>
    <t>Thompson Home Public Library</t>
  </si>
  <si>
    <t>MI0337</t>
  </si>
  <si>
    <t>Thornapple Kellogg School and Community Library</t>
  </si>
  <si>
    <t>MI0338</t>
  </si>
  <si>
    <t>Three Oaks Township Public Library</t>
  </si>
  <si>
    <t>MI0339</t>
  </si>
  <si>
    <t>Three Rivers Public Library</t>
  </si>
  <si>
    <t>MI0340</t>
  </si>
  <si>
    <t>Timothy C. Hauenstein Reynolds Township Library</t>
  </si>
  <si>
    <t>MI0286</t>
  </si>
  <si>
    <t>Topinabee Public Library</t>
  </si>
  <si>
    <t>MI0341</t>
  </si>
  <si>
    <t>Traverse Area District Library</t>
  </si>
  <si>
    <t>MI0342</t>
  </si>
  <si>
    <t>Trenton Veteran's Memorial Library</t>
  </si>
  <si>
    <t>MI9020</t>
  </si>
  <si>
    <t>Troy Public Library</t>
  </si>
  <si>
    <t>MI0343</t>
  </si>
  <si>
    <t>Utica Public Library</t>
  </si>
  <si>
    <t>MI0344</t>
  </si>
  <si>
    <t>Van Buren District Library</t>
  </si>
  <si>
    <t>MI0345</t>
  </si>
  <si>
    <t>Vermontville Township Library</t>
  </si>
  <si>
    <t>MI0346</t>
  </si>
  <si>
    <t>Vernon District Public Library</t>
  </si>
  <si>
    <t>MI0347</t>
  </si>
  <si>
    <t>Vicksburg District Library</t>
  </si>
  <si>
    <t>MI0349</t>
  </si>
  <si>
    <t>Wakefield Public Library</t>
  </si>
  <si>
    <t>MI0350</t>
  </si>
  <si>
    <t>Waldron District Library</t>
  </si>
  <si>
    <t>MI0351</t>
  </si>
  <si>
    <t>2017-08-01</t>
  </si>
  <si>
    <t>2018-07-31</t>
  </si>
  <si>
    <t>Walkerville Public/School Library</t>
  </si>
  <si>
    <t>MI0352</t>
  </si>
  <si>
    <t>Walled Lake City Library</t>
  </si>
  <si>
    <t>MI0353</t>
  </si>
  <si>
    <t>Walton Erickson Public Library</t>
  </si>
  <si>
    <t>MI0354</t>
  </si>
  <si>
    <t>Warren Public Library</t>
  </si>
  <si>
    <t>MI0356</t>
  </si>
  <si>
    <t>Waterford Township Public Library</t>
  </si>
  <si>
    <t>MI0358</t>
  </si>
  <si>
    <t>Watertown Township Library</t>
  </si>
  <si>
    <t>MI0359</t>
  </si>
  <si>
    <t>Watervliet District Library</t>
  </si>
  <si>
    <t>MI0360</t>
  </si>
  <si>
    <t>Wayne Public Library</t>
  </si>
  <si>
    <t>MI0403</t>
  </si>
  <si>
    <t>West Bloomfield Township Public Library</t>
  </si>
  <si>
    <t>MI0362</t>
  </si>
  <si>
    <t>West Branch District Library</t>
  </si>
  <si>
    <t>MI0363</t>
  </si>
  <si>
    <t>West Iron District Library</t>
  </si>
  <si>
    <t>MI0364</t>
  </si>
  <si>
    <t>Wheatland Township Library</t>
  </si>
  <si>
    <t>MI0365</t>
  </si>
  <si>
    <t>White Cloud Community Library</t>
  </si>
  <si>
    <t>MI0091</t>
  </si>
  <si>
    <t>White Lake Community Library</t>
  </si>
  <si>
    <t>MI0370</t>
  </si>
  <si>
    <t>White Lake Township Library</t>
  </si>
  <si>
    <t>MI0366</t>
  </si>
  <si>
    <t>White Pigeon Township Library</t>
  </si>
  <si>
    <t>MI0367</t>
  </si>
  <si>
    <t>White Pine District Library</t>
  </si>
  <si>
    <t>MI0368</t>
  </si>
  <si>
    <t>Whitefish Township Community Library</t>
  </si>
  <si>
    <t>MI0369</t>
  </si>
  <si>
    <t>Willard Public Library</t>
  </si>
  <si>
    <t>MI0371</t>
  </si>
  <si>
    <t>William P. Faust Public Library of Westland</t>
  </si>
  <si>
    <t>MI0415</t>
  </si>
  <si>
    <t>Wixom Public Library</t>
  </si>
  <si>
    <t>MI0374</t>
  </si>
  <si>
    <t>Wolverine Community Library</t>
  </si>
  <si>
    <t>MI0375</t>
  </si>
  <si>
    <t>Ypsilanti District Library</t>
  </si>
  <si>
    <t>MI0377</t>
  </si>
  <si>
    <t>Total Population Served</t>
  </si>
  <si>
    <t>Number of Print Materials</t>
  </si>
  <si>
    <t>Audio (Physical Units)</t>
  </si>
  <si>
    <t>Video (Physical Units)</t>
  </si>
  <si>
    <t>Subscriptions (Non-electronic)</t>
  </si>
  <si>
    <t>Total Electronic Collections</t>
  </si>
  <si>
    <t>Electronic Books (E-Books)</t>
  </si>
  <si>
    <t>Audio (Downloadable Units)</t>
  </si>
  <si>
    <t>Video (Downloadable Units)</t>
  </si>
  <si>
    <t>Total Collection (Physical / Electronic Units)</t>
  </si>
  <si>
    <t>Circulation of Children's Materials</t>
  </si>
  <si>
    <t>Circulation of Non-Children's Materials</t>
  </si>
  <si>
    <t>Circulation of Electronic Materials</t>
  </si>
  <si>
    <t>Total Circulation</t>
  </si>
  <si>
    <t>Reference Transactions</t>
  </si>
  <si>
    <t>Number of items loaned to other libraries</t>
  </si>
  <si>
    <t>Number of items borrowed from other libraries</t>
  </si>
  <si>
    <t>Uses (Sessions) of Public Internet Computers Per Year</t>
  </si>
  <si>
    <t>Do you provide Wireless Internet Access to Patrons?</t>
  </si>
  <si>
    <t>Uses of Wireless Logins Per Year</t>
  </si>
  <si>
    <t>Number of active registered borrowers</t>
  </si>
  <si>
    <t>Physical Materials Total</t>
  </si>
  <si>
    <t>eMaterials Total</t>
  </si>
  <si>
    <t>Electronic Collection (Dbase) Use</t>
  </si>
  <si>
    <t>Total Physical Circulation</t>
  </si>
  <si>
    <t>Total Collection Use</t>
  </si>
  <si>
    <t>Total Electronic Content Use</t>
  </si>
  <si>
    <t>Virtual Visits to the Library's Website</t>
  </si>
  <si>
    <t>Yes</t>
  </si>
  <si>
    <t>No</t>
  </si>
  <si>
    <t>eMaterials Per Capita</t>
  </si>
  <si>
    <t>Physical Materials Per Capita (subscriptions not included)</t>
  </si>
  <si>
    <t>Total Materials Per Capita</t>
  </si>
  <si>
    <t>Total Programs</t>
  </si>
  <si>
    <t>Total Attendance</t>
  </si>
  <si>
    <t>Total Participation</t>
  </si>
  <si>
    <t>Summer Reading Events Children Programs</t>
  </si>
  <si>
    <t>Summer Reading Events Children Attendance</t>
  </si>
  <si>
    <t>Summer Reading Events Teens Programs</t>
  </si>
  <si>
    <t>Summer Reading Events Teens Attendance</t>
  </si>
  <si>
    <t>Total Teen Programs</t>
  </si>
  <si>
    <t>Total Teen Program Attendance</t>
  </si>
  <si>
    <t>Do any of your programs focus on early literacy for ages 0-5?</t>
  </si>
  <si>
    <t>Staff Terminals</t>
  </si>
  <si>
    <t>Public Terminals</t>
  </si>
  <si>
    <t>Connection Speed</t>
  </si>
  <si>
    <t>Connection Type</t>
  </si>
  <si>
    <t>0</t>
  </si>
  <si>
    <t>10</t>
  </si>
  <si>
    <t>30</t>
  </si>
  <si>
    <t>100</t>
  </si>
  <si>
    <t>50</t>
  </si>
  <si>
    <t>25</t>
  </si>
  <si>
    <t>60</t>
  </si>
  <si>
    <t>20</t>
  </si>
  <si>
    <t>24</t>
  </si>
  <si>
    <t>88</t>
  </si>
  <si>
    <t>40</t>
  </si>
  <si>
    <t>150</t>
  </si>
  <si>
    <t>80</t>
  </si>
  <si>
    <t>Total number of computers that the library provides for use by staff only</t>
  </si>
  <si>
    <t>Total number of computers that the library provides for public use</t>
  </si>
  <si>
    <t>Is your library circulation system automated?</t>
  </si>
  <si>
    <t>Circulation System Vendor Name</t>
  </si>
  <si>
    <t>Is your card catalog automated?</t>
  </si>
  <si>
    <t>Card Catalog Vendor Name</t>
  </si>
  <si>
    <t>Patron Initiated ILL</t>
  </si>
  <si>
    <t>Do you offer a Remote Catalog?</t>
  </si>
  <si>
    <t>Do you provide Self Checkout?</t>
  </si>
  <si>
    <t>Is your Circulation System Shared?</t>
  </si>
  <si>
    <t>Carl</t>
  </si>
  <si>
    <t>Polaris</t>
  </si>
  <si>
    <t>Autographics</t>
  </si>
  <si>
    <t>Auotographics</t>
  </si>
  <si>
    <t>SIRSI</t>
  </si>
  <si>
    <t>Innovative - Sierra</t>
  </si>
  <si>
    <t>Sirsi Dynex</t>
  </si>
  <si>
    <t>Book Systems</t>
  </si>
  <si>
    <t>Auto Graphics</t>
  </si>
  <si>
    <t>CARL-X</t>
  </si>
  <si>
    <t>Innovative</t>
  </si>
  <si>
    <t>TLC</t>
  </si>
  <si>
    <t>VLC/ Sirsi dynex</t>
  </si>
  <si>
    <t>SirsiDynix</t>
  </si>
  <si>
    <t>Sierra</t>
  </si>
  <si>
    <t>Encore</t>
  </si>
  <si>
    <t>Evergreen</t>
  </si>
  <si>
    <t>Homegrown</t>
  </si>
  <si>
    <t>Sirsi</t>
  </si>
  <si>
    <t>Follett</t>
  </si>
  <si>
    <t>Destiny</t>
  </si>
  <si>
    <t>Sirsidynix</t>
  </si>
  <si>
    <t>Enterprise</t>
  </si>
  <si>
    <t>Biblionix</t>
  </si>
  <si>
    <t>The Library Corporation</t>
  </si>
  <si>
    <t>Auto-Graphics</t>
  </si>
  <si>
    <t>Sirsi/Dynix</t>
  </si>
  <si>
    <t>Michigan Evergreen</t>
  </si>
  <si>
    <t>Apollo</t>
  </si>
  <si>
    <t>Valley Library Consortium</t>
  </si>
  <si>
    <t>Cloud Libraries</t>
  </si>
  <si>
    <t>mylibrarybooks.org/cloud Libraries</t>
  </si>
  <si>
    <t>NuGEn</t>
  </si>
  <si>
    <t>NuGen</t>
  </si>
  <si>
    <t>AutoGraphics</t>
  </si>
  <si>
    <t>Biblionix Apollo</t>
  </si>
  <si>
    <t>Sirsi-Dynix</t>
  </si>
  <si>
    <t>Nugen</t>
  </si>
  <si>
    <t>Biblionix-Apollo</t>
  </si>
  <si>
    <t>SirsiDynix, CARL</t>
  </si>
  <si>
    <t>Sirsi, CARL</t>
  </si>
  <si>
    <t>Innovative Interfaces Inc</t>
  </si>
  <si>
    <t xml:space="preserve">Sirsi </t>
  </si>
  <si>
    <t>Biblionix/Apollo</t>
  </si>
  <si>
    <t>Sirsi Dynix</t>
  </si>
  <si>
    <t>Sirsi Synix</t>
  </si>
  <si>
    <t>Auto-graphics</t>
  </si>
  <si>
    <t>Auto-Graphics VERSO</t>
  </si>
  <si>
    <t>Follett/Destiny</t>
  </si>
  <si>
    <t>Innovative - Inopac</t>
  </si>
  <si>
    <t>innovative - Sierra</t>
  </si>
  <si>
    <t xml:space="preserve"> SirsiDynix</t>
  </si>
  <si>
    <t>SirsiDynix Enterprise</t>
  </si>
  <si>
    <t>NuGen Cloudnet Libraries</t>
  </si>
  <si>
    <t>NuGen Cloudnet Libraris</t>
  </si>
  <si>
    <t>Bibliocommons</t>
  </si>
  <si>
    <t>SirsiDynix Symphony</t>
  </si>
  <si>
    <t>Polaris - III</t>
  </si>
  <si>
    <t>Infovision Software</t>
  </si>
  <si>
    <t>III</t>
  </si>
  <si>
    <t>Citrix</t>
  </si>
  <si>
    <t xml:space="preserve"> Follett Software Company Destiny Library Manager</t>
  </si>
  <si>
    <t>Book Systems- Attrium</t>
  </si>
  <si>
    <t>Sirsi Dynic</t>
  </si>
  <si>
    <t>Evolve</t>
  </si>
  <si>
    <t>Infovision</t>
  </si>
  <si>
    <t>sirsi</t>
  </si>
  <si>
    <t>TLC/CARL</t>
  </si>
  <si>
    <t>SirsiDynix Symphony WorkFlows</t>
  </si>
  <si>
    <t>CARL</t>
  </si>
  <si>
    <t xml:space="preserve"> Biblionix (Apollo)</t>
  </si>
  <si>
    <t>Auto Graphics Verso</t>
  </si>
  <si>
    <t>Verso</t>
  </si>
  <si>
    <t>SIRSI71</t>
  </si>
  <si>
    <t>Sirsi Symphony</t>
  </si>
  <si>
    <t>CARL.Connect</t>
  </si>
  <si>
    <t>Auto-Graphics (Verso)</t>
  </si>
  <si>
    <t>Auto-Graphics,. Inc.</t>
  </si>
  <si>
    <t>Atriuum</t>
  </si>
  <si>
    <t>Sirsi Dynix Horizon</t>
  </si>
  <si>
    <t>Innovative Interfaces Inc.</t>
  </si>
  <si>
    <t>BiblioCommons</t>
  </si>
  <si>
    <t>Sirsi/dynix</t>
  </si>
  <si>
    <t>verso</t>
  </si>
  <si>
    <t>Innovative Interfaces, Inc</t>
  </si>
  <si>
    <t>Evergreem</t>
  </si>
  <si>
    <t>Ill Sierra</t>
  </si>
  <si>
    <t>Ill Sierra (Encore)</t>
  </si>
  <si>
    <t>Carl.X</t>
  </si>
  <si>
    <t>LS2 PAC</t>
  </si>
  <si>
    <t>BIBLIONIX</t>
  </si>
  <si>
    <t>CarlX</t>
  </si>
  <si>
    <t>Innovated Sierra</t>
  </si>
  <si>
    <t>Innovative Sierra</t>
  </si>
  <si>
    <t>Innovative Interfaces</t>
  </si>
  <si>
    <t>Innovative Interfaces, Inc.</t>
  </si>
  <si>
    <t>Follett Destiny</t>
  </si>
  <si>
    <t>TLC CARL</t>
  </si>
  <si>
    <t>ResourceMate</t>
  </si>
  <si>
    <t>Sirsi/Dynix Enterprise</t>
  </si>
  <si>
    <t>Book System/Atriuum</t>
  </si>
  <si>
    <t>OPAC</t>
  </si>
  <si>
    <t>The Library Corporatoin</t>
  </si>
  <si>
    <t xml:space="preserve"> Innovative Interfaces, Inc.</t>
  </si>
  <si>
    <t>Lakeland Library Cooperative</t>
  </si>
  <si>
    <t>iii</t>
  </si>
  <si>
    <t>AutoGraphics Verso</t>
  </si>
  <si>
    <t>CARL X</t>
  </si>
  <si>
    <t>UPROC</t>
  </si>
  <si>
    <t>Dynix/Horizon</t>
  </si>
  <si>
    <t>Auto-Graphics/Verso</t>
  </si>
  <si>
    <t>Auto-graphics Verso</t>
  </si>
  <si>
    <t>Auto-graphics-Verso</t>
  </si>
  <si>
    <t>The Library Corporation (TLC), Carl.X</t>
  </si>
  <si>
    <t>TLC Carl.Connect Discovery</t>
  </si>
  <si>
    <t>III Sierra</t>
  </si>
  <si>
    <t>Sirsi Dynix - Horizon</t>
  </si>
  <si>
    <t>Innovative Interface</t>
  </si>
  <si>
    <t>Book Systems Atriuum</t>
  </si>
  <si>
    <t>sirsi/TLC Carl</t>
  </si>
  <si>
    <t>NuGen Systems</t>
  </si>
  <si>
    <t>Innovative/Sierra</t>
  </si>
  <si>
    <t>SirsiDynix Horizon</t>
  </si>
  <si>
    <t>SirsiDynix Horizon [Enterprise]</t>
  </si>
  <si>
    <t>Insignia Software</t>
  </si>
  <si>
    <t>Agent Verso</t>
  </si>
  <si>
    <t>Horizon</t>
  </si>
  <si>
    <t>Evergreen via TADL</t>
  </si>
  <si>
    <t>SIRSY/DYNIX</t>
  </si>
  <si>
    <t>Ibistro</t>
  </si>
  <si>
    <t>Library World</t>
  </si>
  <si>
    <t>Apollo Biblionix</t>
  </si>
  <si>
    <t>NuGen Cloudlibraries</t>
  </si>
  <si>
    <t>Innovative Interfaces-Sierra</t>
  </si>
  <si>
    <t>THE LIBRARY CORPORATION</t>
  </si>
  <si>
    <t>The Library Company</t>
  </si>
  <si>
    <t>SIRSI/DYNIX</t>
  </si>
  <si>
    <t>Auto-Graphics Verso</t>
  </si>
  <si>
    <t>CARL Connect</t>
  </si>
  <si>
    <t>NuGen/Cloudnet</t>
  </si>
  <si>
    <t xml:space="preserve"> Sirsi/dynix</t>
  </si>
  <si>
    <t>Innovative Millennium</t>
  </si>
  <si>
    <t>Agent/ Biblionix (11-2017)</t>
  </si>
  <si>
    <t>TLC (The Library Corporation)</t>
  </si>
  <si>
    <t>VERSO-Auto-Graphics</t>
  </si>
  <si>
    <t>VERSO-Auto-graphics</t>
  </si>
  <si>
    <t>Sagebrush</t>
  </si>
  <si>
    <t>Carl Discovery</t>
  </si>
  <si>
    <t>sirsi dynix</t>
  </si>
  <si>
    <t>Agent</t>
  </si>
  <si>
    <t>Verso/Autographics</t>
  </si>
  <si>
    <t>Companion Corp</t>
  </si>
  <si>
    <t>Sirsi/Dynix Symphony</t>
  </si>
  <si>
    <t xml:space="preserve">The Library Corporation </t>
  </si>
  <si>
    <t>The Library Network Carl</t>
  </si>
  <si>
    <t>Carl Connect</t>
  </si>
  <si>
    <t>Polaris Library System</t>
  </si>
  <si>
    <t>TLC Carl x</t>
  </si>
  <si>
    <t>TLC Carl Connect</t>
  </si>
  <si>
    <t>Auto-Grahpics</t>
  </si>
  <si>
    <t>Library Corporation</t>
  </si>
  <si>
    <t>Sirsi-dynix</t>
  </si>
  <si>
    <t>Sirsi Dynix Workflows</t>
  </si>
  <si>
    <t>auto graphics</t>
  </si>
  <si>
    <t>Dell</t>
  </si>
  <si>
    <t>Agent/Verso</t>
  </si>
  <si>
    <t>Sirsi Workflows</t>
  </si>
  <si>
    <t>Syrsi Dynix Unicorn</t>
  </si>
  <si>
    <t>The Library Corporation (TLC)</t>
  </si>
  <si>
    <t>NuGen System</t>
  </si>
  <si>
    <t>SirisDynix</t>
  </si>
  <si>
    <t>Sirsi Dynix Portfolio</t>
  </si>
  <si>
    <t>Sirsi Dynix, converted to CARL in 5/2018</t>
  </si>
  <si>
    <t>CARL as of 5/2018</t>
  </si>
  <si>
    <t>verso auto graphics</t>
  </si>
  <si>
    <t xml:space="preserve"> verso auto graphics</t>
  </si>
  <si>
    <t>SirsiDynix-Horion</t>
  </si>
  <si>
    <t>Enterprise by SirsiDyniz-Horizon</t>
  </si>
  <si>
    <t>Sirsi/Sunix</t>
  </si>
  <si>
    <t>Horizon / Sirsi Dynix w/ Valley Library Consortium</t>
  </si>
  <si>
    <t>Sierra-Lakeland</t>
  </si>
  <si>
    <t>Innovative Interfaces - Sierra</t>
  </si>
  <si>
    <t>Innovative Interfaces - Encore</t>
  </si>
  <si>
    <t>Destiny Follett</t>
  </si>
  <si>
    <t>Verso Auto-Graphics</t>
  </si>
  <si>
    <t>VERSO Auto-Graphics</t>
  </si>
  <si>
    <t>Agent-Verso</t>
  </si>
  <si>
    <t>WebPacPro/Innovative</t>
  </si>
  <si>
    <t>Autographics-Verso</t>
  </si>
  <si>
    <t>SIRSI Dynix</t>
  </si>
  <si>
    <t>Inoovative</t>
  </si>
  <si>
    <t xml:space="preserve">AutoGraphics </t>
  </si>
  <si>
    <t>Mel Catalog</t>
  </si>
  <si>
    <t>follett</t>
  </si>
  <si>
    <t>sierra</t>
  </si>
  <si>
    <t>encore</t>
  </si>
  <si>
    <t>Alexandria</t>
  </si>
  <si>
    <t>SIRSI / CARLX (06/01/2018)</t>
  </si>
  <si>
    <t>Innovative/Polaris</t>
  </si>
  <si>
    <t>Follett Software</t>
  </si>
  <si>
    <t>Auto Graphics/Verso</t>
  </si>
  <si>
    <t>Follett-Destiny</t>
  </si>
  <si>
    <t xml:space="preserve">TLC </t>
  </si>
  <si>
    <t xml:space="preserve">CARL </t>
  </si>
  <si>
    <t>Apolla</t>
  </si>
  <si>
    <t>Sirsi Dynix Enterprise</t>
  </si>
  <si>
    <t>Inovative</t>
  </si>
  <si>
    <t>sirsi/dynix</t>
  </si>
  <si>
    <t>Infovision - Evolve</t>
  </si>
  <si>
    <t>Innovative Sierra/ Encore</t>
  </si>
  <si>
    <t>County</t>
  </si>
  <si>
    <t>Oakland</t>
  </si>
  <si>
    <t>Lenawee</t>
  </si>
  <si>
    <t>Sanilac</t>
  </si>
  <si>
    <t>Emmet</t>
  </si>
  <si>
    <t>Calhoun</t>
  </si>
  <si>
    <t>Alcona</t>
  </si>
  <si>
    <t>Harrisville</t>
  </si>
  <si>
    <t>Antrim</t>
  </si>
  <si>
    <t>Allegan</t>
  </si>
  <si>
    <t>Wayne</t>
  </si>
  <si>
    <t>City</t>
  </si>
  <si>
    <t>Ottawa</t>
  </si>
  <si>
    <t>Allendale</t>
  </si>
  <si>
    <t>Gratiot</t>
  </si>
  <si>
    <t>none</t>
  </si>
  <si>
    <t>Lapeer</t>
  </si>
  <si>
    <t>Almont</t>
  </si>
  <si>
    <t>Alpena</t>
  </si>
  <si>
    <t>Ionia</t>
  </si>
  <si>
    <t>Washtenaw</t>
  </si>
  <si>
    <t>N/A</t>
  </si>
  <si>
    <t>Macomb</t>
  </si>
  <si>
    <t>Armada</t>
  </si>
  <si>
    <t>Athens</t>
  </si>
  <si>
    <t>Kalamazoo</t>
  </si>
  <si>
    <t>Huron</t>
  </si>
  <si>
    <t>Mecosta</t>
  </si>
  <si>
    <t>Clinton</t>
  </si>
  <si>
    <t>Bay</t>
  </si>
  <si>
    <t>Charlevoix</t>
  </si>
  <si>
    <t>Eaton</t>
  </si>
  <si>
    <t>Bellevue</t>
  </si>
  <si>
    <t>Berrien</t>
  </si>
  <si>
    <t>Benzie</t>
  </si>
  <si>
    <t>Benzonia</t>
  </si>
  <si>
    <t>Gogebic</t>
  </si>
  <si>
    <t>n/a</t>
  </si>
  <si>
    <t>Branch</t>
  </si>
  <si>
    <t>Coldwater</t>
  </si>
  <si>
    <t>Saginaw</t>
  </si>
  <si>
    <t>Livingston</t>
  </si>
  <si>
    <t>Tuscola</t>
  </si>
  <si>
    <t>St. Joseph</t>
  </si>
  <si>
    <t>Burr Oak</t>
  </si>
  <si>
    <t>Wexford</t>
  </si>
  <si>
    <t>Cadillac</t>
  </si>
  <si>
    <t>Houghton</t>
  </si>
  <si>
    <t>Calumet</t>
  </si>
  <si>
    <t>Hillsdale</t>
  </si>
  <si>
    <t>Camden</t>
  </si>
  <si>
    <t>Canton</t>
  </si>
  <si>
    <t>Ingham</t>
  </si>
  <si>
    <t>Ontonagon</t>
  </si>
  <si>
    <t>Montcalm</t>
  </si>
  <si>
    <t>Cass</t>
  </si>
  <si>
    <t>Kent</t>
  </si>
  <si>
    <t>Central Lake</t>
  </si>
  <si>
    <t>Lake</t>
  </si>
  <si>
    <t>Chase</t>
  </si>
  <si>
    <t>Cheboygan</t>
  </si>
  <si>
    <t>Chesterfield</t>
  </si>
  <si>
    <t>Isabella</t>
  </si>
  <si>
    <t>Midland</t>
  </si>
  <si>
    <t>Coloma</t>
  </si>
  <si>
    <t>Colon</t>
  </si>
  <si>
    <t>Shiawassee</t>
  </si>
  <si>
    <t>Comstock</t>
  </si>
  <si>
    <t>Constantine</t>
  </si>
  <si>
    <t>Crawford</t>
  </si>
  <si>
    <t>Hartland</t>
  </si>
  <si>
    <t>Newaygo</t>
  </si>
  <si>
    <t>Iron</t>
  </si>
  <si>
    <t>Dearborn Heights</t>
  </si>
  <si>
    <t>Marion</t>
  </si>
  <si>
    <t>Delta</t>
  </si>
  <si>
    <t>Barry</t>
  </si>
  <si>
    <t>Chippewa</t>
  </si>
  <si>
    <t>DeWitt</t>
  </si>
  <si>
    <t>Dickinson</t>
  </si>
  <si>
    <t>Dorr</t>
  </si>
  <si>
    <t>Dryden</t>
  </si>
  <si>
    <t>Elk Rapids</t>
  </si>
  <si>
    <t>Osceola</t>
  </si>
  <si>
    <t>Fairgrove</t>
  </si>
  <si>
    <t>Missaukee</t>
  </si>
  <si>
    <t>Grand Traverse</t>
  </si>
  <si>
    <t>Fife Lake</t>
  </si>
  <si>
    <t>Genesee</t>
  </si>
  <si>
    <t>Marquette</t>
  </si>
  <si>
    <t>Frankenmuth</t>
  </si>
  <si>
    <t>Southfield</t>
  </si>
  <si>
    <t>Muskegon</t>
  </si>
  <si>
    <t>Fruitport</t>
  </si>
  <si>
    <t>Galien</t>
  </si>
  <si>
    <t>Flint</t>
  </si>
  <si>
    <t>Woodland</t>
  </si>
  <si>
    <t>Gladwin</t>
  </si>
  <si>
    <t>Leelanau</t>
  </si>
  <si>
    <t>Empire</t>
  </si>
  <si>
    <t>Hamburg</t>
  </si>
  <si>
    <t>Franklin</t>
  </si>
  <si>
    <t>Clare</t>
  </si>
  <si>
    <t>Harrison Township</t>
  </si>
  <si>
    <t>Oceana</t>
  </si>
  <si>
    <t>Van Buren</t>
  </si>
  <si>
    <t>Highland</t>
  </si>
  <si>
    <t>Holly</t>
  </si>
  <si>
    <t>Homer</t>
  </si>
  <si>
    <t>Hopkins</t>
  </si>
  <si>
    <t>Roscommon</t>
  </si>
  <si>
    <t>Hudson</t>
  </si>
  <si>
    <t>Iosco</t>
  </si>
  <si>
    <t>Ironwood</t>
  </si>
  <si>
    <t>Martin</t>
  </si>
  <si>
    <t>Jackson</t>
  </si>
  <si>
    <t>Kingston</t>
  </si>
  <si>
    <t>Kalkaska</t>
  </si>
  <si>
    <t>Baraga</t>
  </si>
  <si>
    <t>L'Anse</t>
  </si>
  <si>
    <t>Climax</t>
  </si>
  <si>
    <t>Leland</t>
  </si>
  <si>
    <t>LeRoy</t>
  </si>
  <si>
    <t>Annual</t>
  </si>
  <si>
    <t>Litchfield</t>
  </si>
  <si>
    <t>Grand Haven</t>
  </si>
  <si>
    <t>Lyons</t>
  </si>
  <si>
    <t>Mackinac</t>
  </si>
  <si>
    <t>Mancelona</t>
  </si>
  <si>
    <t>Manchester</t>
  </si>
  <si>
    <t>Manistee</t>
  </si>
  <si>
    <t>Schoolcraft</t>
  </si>
  <si>
    <t>Marcellus</t>
  </si>
  <si>
    <t>Mason</t>
  </si>
  <si>
    <t>Saint Joseph</t>
  </si>
  <si>
    <t>Fremont</t>
  </si>
  <si>
    <t>Mendon</t>
  </si>
  <si>
    <t>Menominee</t>
  </si>
  <si>
    <t>Monroe</t>
  </si>
  <si>
    <t>Milan</t>
  </si>
  <si>
    <t>Milford</t>
  </si>
  <si>
    <t>Millington</t>
  </si>
  <si>
    <t>Montmorency</t>
  </si>
  <si>
    <t>Lexington</t>
  </si>
  <si>
    <t>Alger</t>
  </si>
  <si>
    <t>New Buffalo</t>
  </si>
  <si>
    <t>Niles</t>
  </si>
  <si>
    <t>North Branch</t>
  </si>
  <si>
    <t>Ogemaw</t>
  </si>
  <si>
    <t>Oscoda</t>
  </si>
  <si>
    <t>Otsego</t>
  </si>
  <si>
    <t>Ovid</t>
  </si>
  <si>
    <t>Oxford</t>
  </si>
  <si>
    <t>Jamestown</t>
  </si>
  <si>
    <t>Paw Paw</t>
  </si>
  <si>
    <t>Pentwater</t>
  </si>
  <si>
    <t>Pittsford</t>
  </si>
  <si>
    <t>Plymouth</t>
  </si>
  <si>
    <t>Port Austin</t>
  </si>
  <si>
    <t>Presque Isle</t>
  </si>
  <si>
    <t>Richland</t>
  </si>
  <si>
    <t>Ray</t>
  </si>
  <si>
    <t>Reading</t>
  </si>
  <si>
    <t>Redford</t>
  </si>
  <si>
    <t>Republic</t>
  </si>
  <si>
    <t>Richmond</t>
  </si>
  <si>
    <t>Chesaning</t>
  </si>
  <si>
    <t>Saint Charles</t>
  </si>
  <si>
    <t>Saint Clair</t>
  </si>
  <si>
    <t>Sebewaing</t>
  </si>
  <si>
    <t>Shelby</t>
  </si>
  <si>
    <t>Owosso</t>
  </si>
  <si>
    <t>South Haven</t>
  </si>
  <si>
    <t>Southgate</t>
  </si>
  <si>
    <t>Sparta</t>
  </si>
  <si>
    <t>Spring Lake</t>
  </si>
  <si>
    <t>Sturgis</t>
  </si>
  <si>
    <t>Sunfield</t>
  </si>
  <si>
    <t>Suttons Bay</t>
  </si>
  <si>
    <t>Luce</t>
  </si>
  <si>
    <t>Tecumseh</t>
  </si>
  <si>
    <t>Tekonsha</t>
  </si>
  <si>
    <t>Birch Run</t>
  </si>
  <si>
    <t>Three Oaks</t>
  </si>
  <si>
    <t>Decatur</t>
  </si>
  <si>
    <t>Vermontville</t>
  </si>
  <si>
    <t>Vernon</t>
  </si>
  <si>
    <t>Waterford</t>
  </si>
  <si>
    <t>Watervliet</t>
  </si>
  <si>
    <t>West Bloomfield</t>
  </si>
  <si>
    <t>White Lake</t>
  </si>
  <si>
    <t>White Pigeon</t>
  </si>
  <si>
    <t>Ypsilanti</t>
  </si>
  <si>
    <t>Subtotal Legal Service Area Population Served</t>
  </si>
  <si>
    <t>Subtotal Local Penal Fine Revenues</t>
  </si>
  <si>
    <t>Subtotal Income From Voted Millage</t>
  </si>
  <si>
    <t>Subtotal Appropriated Tax Income</t>
  </si>
  <si>
    <t>Subtotal Other Local Government Income</t>
  </si>
  <si>
    <t>Subtotal Total Local Government Income</t>
  </si>
  <si>
    <t>Subtotal Other Local Operating Income</t>
  </si>
  <si>
    <t>Contracted Municipality Population Served</t>
  </si>
  <si>
    <t>CM Penal Fine Revenues</t>
  </si>
  <si>
    <t>CM Income From Voted Millage</t>
  </si>
  <si>
    <t>CM Appropriated Tax Income</t>
  </si>
  <si>
    <t>Contract Fee Income</t>
  </si>
  <si>
    <t>CM Total Local Government Income</t>
  </si>
  <si>
    <t>Total Local Government Income</t>
  </si>
  <si>
    <t>Total Other Local Operating Income</t>
  </si>
  <si>
    <t>Total Local Operating Income</t>
  </si>
  <si>
    <t>State Government Operating Income</t>
  </si>
  <si>
    <t>Federal Government Operating Income</t>
  </si>
  <si>
    <t>Total Operating Income</t>
  </si>
  <si>
    <t>Print Materials Expenditure</t>
  </si>
  <si>
    <t>Other Materials Expenditure</t>
  </si>
  <si>
    <t>Electronic Materials Expenditure</t>
  </si>
  <si>
    <t>Total Collection Expenditures</t>
  </si>
  <si>
    <t>Salaries and Wages</t>
  </si>
  <si>
    <t>Employee Benefits</t>
  </si>
  <si>
    <t>Total Staff Expenditures</t>
  </si>
  <si>
    <t>Other Operating Expenditures</t>
  </si>
  <si>
    <t>Total Operating Expenditures</t>
  </si>
  <si>
    <t>Federal Capital Income</t>
  </si>
  <si>
    <t>State Capital Income</t>
  </si>
  <si>
    <t>Local Capital Icome</t>
  </si>
  <si>
    <t>Private Capital Income</t>
  </si>
  <si>
    <t>Total Capital Income</t>
  </si>
  <si>
    <t>Capital Expenditures for Electronic Access</t>
  </si>
  <si>
    <t>Furnishings and Equipment Expenditures</t>
  </si>
  <si>
    <t>Building Expenditures</t>
  </si>
  <si>
    <t>Other Capital Expenditures</t>
  </si>
  <si>
    <t>Total Capital Expenditures</t>
  </si>
  <si>
    <t>Cooperative</t>
  </si>
  <si>
    <t>Non-Resident Fee</t>
  </si>
  <si>
    <t>NR Fee Annual or One Time</t>
  </si>
  <si>
    <t>Fee schedule or non-resident rate (Example: $35/family;$25/individual)</t>
  </si>
  <si>
    <t>Full Library Service for Contracted Municipalities</t>
  </si>
  <si>
    <t>Lansing</t>
  </si>
  <si>
    <t>Pontiac</t>
  </si>
  <si>
    <t>The Library Network</t>
  </si>
  <si>
    <t>Leonard</t>
  </si>
  <si>
    <t>Adrian</t>
  </si>
  <si>
    <t>Woodlands Library Cooperative</t>
  </si>
  <si>
    <t>$90/family</t>
  </si>
  <si>
    <t>Croswell</t>
  </si>
  <si>
    <t>White Pine Library Cooperative</t>
  </si>
  <si>
    <t>Alanson</t>
  </si>
  <si>
    <t>Superiorland Library Cooperative</t>
  </si>
  <si>
    <t>$25 Individual/$15 Over Age 60</t>
  </si>
  <si>
    <t>Albion</t>
  </si>
  <si>
    <t>Northland Library Cooperative</t>
  </si>
  <si>
    <t>Alden</t>
  </si>
  <si>
    <t>Mid-Michigan Library League</t>
  </si>
  <si>
    <t>$5/individual; $10/family</t>
  </si>
  <si>
    <t>Southwest Michigan Library Cooperative</t>
  </si>
  <si>
    <t>Allen Park</t>
  </si>
  <si>
    <t>Alma</t>
  </si>
  <si>
    <t>40.00</t>
  </si>
  <si>
    <t>Mideastern Michigan Library Cooperative</t>
  </si>
  <si>
    <t>$25/Individual</t>
  </si>
  <si>
    <t>Belding</t>
  </si>
  <si>
    <t>$40/individual</t>
  </si>
  <si>
    <t>Ann Arbor</t>
  </si>
  <si>
    <t>Non-member</t>
  </si>
  <si>
    <t>$150/Family</t>
  </si>
  <si>
    <t>Suburban Library Cooperative</t>
  </si>
  <si>
    <t xml:space="preserve"> $200 / Full SLC / $100 / Armada Only</t>
  </si>
  <si>
    <t>Ashley</t>
  </si>
  <si>
    <t>Woodlands Library Co-Op</t>
  </si>
  <si>
    <t>$20/family</t>
  </si>
  <si>
    <t>Auburn Hills</t>
  </si>
  <si>
    <t>Augusta</t>
  </si>
  <si>
    <t>$15/Family</t>
  </si>
  <si>
    <t>Wyandotte</t>
  </si>
  <si>
    <t>$100/Family</t>
  </si>
  <si>
    <t>Bad Axe</t>
  </si>
  <si>
    <t>$40/Household</t>
  </si>
  <si>
    <t>Birmingham</t>
  </si>
  <si>
    <t>Barryton</t>
  </si>
  <si>
    <t>Bath</t>
  </si>
  <si>
    <t>Woodlands Cooperative</t>
  </si>
  <si>
    <t>Bay City</t>
  </si>
  <si>
    <t>Beaver Island</t>
  </si>
  <si>
    <t>Bellaire</t>
  </si>
  <si>
    <t>10.00</t>
  </si>
  <si>
    <t>Belleville</t>
  </si>
  <si>
    <t>Benton Harbor</t>
  </si>
  <si>
    <t>50/individual</t>
  </si>
  <si>
    <t>Frankfort</t>
  </si>
  <si>
    <t>Berkley</t>
  </si>
  <si>
    <t>125</t>
  </si>
  <si>
    <t>Berrien Springs</t>
  </si>
  <si>
    <t>$75/Individual</t>
  </si>
  <si>
    <t>Bessemer</t>
  </si>
  <si>
    <t>$20/person</t>
  </si>
  <si>
    <t>Thompsonville</t>
  </si>
  <si>
    <t>Big Rapids</t>
  </si>
  <si>
    <t>$25 individual, $50 household, $120 individual plus MeL</t>
  </si>
  <si>
    <t>Clawson</t>
  </si>
  <si>
    <t>Bloomfield Township</t>
  </si>
  <si>
    <t>Boyne City</t>
  </si>
  <si>
    <t>Ortonville</t>
  </si>
  <si>
    <t>$150/family; $100/individual; $6/student</t>
  </si>
  <si>
    <t>75.00/Individual</t>
  </si>
  <si>
    <t>Bridgman</t>
  </si>
  <si>
    <t>$20/individual</t>
  </si>
  <si>
    <t>Saint Johns</t>
  </si>
  <si>
    <t>$50 a household</t>
  </si>
  <si>
    <t>Brighton</t>
  </si>
  <si>
    <t>Brown City</t>
  </si>
  <si>
    <t>Buchanan</t>
  </si>
  <si>
    <t>50.00</t>
  </si>
  <si>
    <t>Vassar</t>
  </si>
  <si>
    <t>$0</t>
  </si>
  <si>
    <t>140</t>
  </si>
  <si>
    <t>$50/ind, $75/fam</t>
  </si>
  <si>
    <t>Caro</t>
  </si>
  <si>
    <t>$20 individual</t>
  </si>
  <si>
    <t>White Pine</t>
  </si>
  <si>
    <t>Carson City</t>
  </si>
  <si>
    <t>25/individual</t>
  </si>
  <si>
    <t>Cassopolis</t>
  </si>
  <si>
    <t xml:space="preserve"> MI $25 per family; non-MI $40 per family</t>
  </si>
  <si>
    <t>Cedar Springs</t>
  </si>
  <si>
    <t>Center Line</t>
  </si>
  <si>
    <t>1800/Banks Township</t>
  </si>
  <si>
    <t>Plainwell</t>
  </si>
  <si>
    <t>$50/Individual or Family</t>
  </si>
  <si>
    <t>100/year, $25/quarter</t>
  </si>
  <si>
    <t>Charlotte</t>
  </si>
  <si>
    <t>$60/family</t>
  </si>
  <si>
    <t>$50/household/year</t>
  </si>
  <si>
    <t>Chelsea</t>
  </si>
  <si>
    <t>125/individual</t>
  </si>
  <si>
    <t>$50/individual - local; $200/individual - cooperative wide</t>
  </si>
  <si>
    <t>Mount Pleasant</t>
  </si>
  <si>
    <t>130/household</t>
  </si>
  <si>
    <t>Clarkston</t>
  </si>
  <si>
    <t>$10/Family</t>
  </si>
  <si>
    <t>Clinton Township</t>
  </si>
  <si>
    <t>$200/Family/Coop-wide</t>
  </si>
  <si>
    <t>Coleman</t>
  </si>
  <si>
    <t>$50/individual; $75/family</t>
  </si>
  <si>
    <t>Unionville</t>
  </si>
  <si>
    <t>Commerce Township</t>
  </si>
  <si>
    <t>Corunna</t>
  </si>
  <si>
    <t>55/Family</t>
  </si>
  <si>
    <t>35/family</t>
  </si>
  <si>
    <t>Coopersville</t>
  </si>
  <si>
    <t>Grayling</t>
  </si>
  <si>
    <t>OneTime</t>
  </si>
  <si>
    <t>$150/household</t>
  </si>
  <si>
    <t>Walloon Lake</t>
  </si>
  <si>
    <t>$75/family</t>
  </si>
  <si>
    <t>Crystal Falls</t>
  </si>
  <si>
    <t>$30/Individual; $45/Family</t>
  </si>
  <si>
    <t>Glennie</t>
  </si>
  <si>
    <t>Beulah</t>
  </si>
  <si>
    <t>Dearborn</t>
  </si>
  <si>
    <t>100/family</t>
  </si>
  <si>
    <t>Deckerville</t>
  </si>
  <si>
    <t>Delton</t>
  </si>
  <si>
    <t>$50/family</t>
  </si>
  <si>
    <t>DeTour Village</t>
  </si>
  <si>
    <t>Detroit</t>
  </si>
  <si>
    <t>Detroit Library Cooperative</t>
  </si>
  <si>
    <t>$100/Iindividual</t>
  </si>
  <si>
    <t>$30/Indidivual $40/Family</t>
  </si>
  <si>
    <t>Dexter</t>
  </si>
  <si>
    <t>60/household</t>
  </si>
  <si>
    <t>Iron Mountain</t>
  </si>
  <si>
    <t>$35/ Family</t>
  </si>
  <si>
    <t>Dimondale</t>
  </si>
  <si>
    <t>Dowagiac</t>
  </si>
  <si>
    <t>$5/per individual</t>
  </si>
  <si>
    <t>Hastings</t>
  </si>
  <si>
    <t>East Lansing</t>
  </si>
  <si>
    <t>$30/individual/$40 family</t>
  </si>
  <si>
    <t>Eastpointe</t>
  </si>
  <si>
    <t>200.00</t>
  </si>
  <si>
    <t>Eaton Rapids</t>
  </si>
  <si>
    <t xml:space="preserve"> $45/family; $25/individual; $5/90-day, one per calendar year</t>
  </si>
  <si>
    <t>Eau Claire</t>
  </si>
  <si>
    <t>Ecorse</t>
  </si>
  <si>
    <t>Peck</t>
  </si>
  <si>
    <t>Elsie</t>
  </si>
  <si>
    <t>Escanaba</t>
  </si>
  <si>
    <t>35 Family</t>
  </si>
  <si>
    <t>Evart</t>
  </si>
  <si>
    <t>Farmington Hills</t>
  </si>
  <si>
    <t>Fennville</t>
  </si>
  <si>
    <t>$30.00</t>
  </si>
  <si>
    <t>Ferndale</t>
  </si>
  <si>
    <t>$100/family</t>
  </si>
  <si>
    <t>Greenville</t>
  </si>
  <si>
    <t>$25/year</t>
  </si>
  <si>
    <t>Flat Rock</t>
  </si>
  <si>
    <t>Gwinn</t>
  </si>
  <si>
    <t>Fowlerville</t>
  </si>
  <si>
    <t>$165/Individual</t>
  </si>
  <si>
    <t>Fraser</t>
  </si>
  <si>
    <t>200</t>
  </si>
  <si>
    <t>FREEPORT</t>
  </si>
  <si>
    <t>$48/Individual</t>
  </si>
  <si>
    <t>$75 / individual</t>
  </si>
  <si>
    <t>Galesburg</t>
  </si>
  <si>
    <t>$25/individual</t>
  </si>
  <si>
    <t>Garden City</t>
  </si>
  <si>
    <t>Hudsonville</t>
  </si>
  <si>
    <t>Jenison</t>
  </si>
  <si>
    <t>115</t>
  </si>
  <si>
    <t>Gladstone</t>
  </si>
  <si>
    <t>$35/family;$20 individual</t>
  </si>
  <si>
    <t>$50/person</t>
  </si>
  <si>
    <t>$10</t>
  </si>
  <si>
    <t>Imlay City</t>
  </si>
  <si>
    <t>Mideastern</t>
  </si>
  <si>
    <t>5.00 Individual</t>
  </si>
  <si>
    <t>$75/individual</t>
  </si>
  <si>
    <t>Grand Ledge</t>
  </si>
  <si>
    <t>Grand Rapids</t>
  </si>
  <si>
    <t>$60/family/6 mos - $115/family/yr</t>
  </si>
  <si>
    <t>Grant</t>
  </si>
  <si>
    <t>$50/Individual</t>
  </si>
  <si>
    <t>Grosse Pointe Farms</t>
  </si>
  <si>
    <t>Hamtramck</t>
  </si>
  <si>
    <t>30/indiviodual</t>
  </si>
  <si>
    <t>Hancock</t>
  </si>
  <si>
    <t>Harbor Beach</t>
  </si>
  <si>
    <t>$25 individual $5 additional family cards</t>
  </si>
  <si>
    <t>Harper Woods</t>
  </si>
  <si>
    <t>$75/Family</t>
  </si>
  <si>
    <t>Harrison</t>
  </si>
  <si>
    <t>200/family</t>
  </si>
  <si>
    <t>Hart</t>
  </si>
  <si>
    <t>Hartford</t>
  </si>
  <si>
    <t>$100/household</t>
  </si>
  <si>
    <t>Hazel Park</t>
  </si>
  <si>
    <t>$50/individual</t>
  </si>
  <si>
    <t>Wayland</t>
  </si>
  <si>
    <t>Holland</t>
  </si>
  <si>
    <t>50 individual print $100 print and AV</t>
  </si>
  <si>
    <t>Hesperia</t>
  </si>
  <si>
    <t>$48/household</t>
  </si>
  <si>
    <t>$35.00 family</t>
  </si>
  <si>
    <t>Edmore</t>
  </si>
  <si>
    <t>25/family</t>
  </si>
  <si>
    <t>Houghton Lake</t>
  </si>
  <si>
    <t>Zeeland, MI</t>
  </si>
  <si>
    <t>Breckenridge</t>
  </si>
  <si>
    <t>Howell</t>
  </si>
  <si>
    <t>$30 individual, $90 Family</t>
  </si>
  <si>
    <t>$35/Family</t>
  </si>
  <si>
    <t>Huntington Woods</t>
  </si>
  <si>
    <t>Indian River</t>
  </si>
  <si>
    <t>$25/family/individual</t>
  </si>
  <si>
    <t>Interlochen</t>
  </si>
  <si>
    <t>East Tawas</t>
  </si>
  <si>
    <t>$30 family</t>
  </si>
  <si>
    <t>Ishpeming</t>
  </si>
  <si>
    <t>75.00</t>
  </si>
  <si>
    <t>Jonesville</t>
  </si>
  <si>
    <t>East Jordan</t>
  </si>
  <si>
    <t>$55/individual</t>
  </si>
  <si>
    <t>190</t>
  </si>
  <si>
    <t>Comstock Park</t>
  </si>
  <si>
    <t>60.00</t>
  </si>
  <si>
    <t>Laingsburg</t>
  </si>
  <si>
    <t>Lake Linden</t>
  </si>
  <si>
    <t>Lake Odessa</t>
  </si>
  <si>
    <t>No Charge</t>
  </si>
  <si>
    <t>$45 household</t>
  </si>
  <si>
    <t>$24.00/individual or family</t>
  </si>
  <si>
    <t>Lawton</t>
  </si>
  <si>
    <t>Inkster</t>
  </si>
  <si>
    <t>Northport</t>
  </si>
  <si>
    <t>Moline</t>
  </si>
  <si>
    <t>$1/patron</t>
  </si>
  <si>
    <t>$30/household</t>
  </si>
  <si>
    <t>New Haven</t>
  </si>
  <si>
    <t>Lincoln Park</t>
  </si>
  <si>
    <t>Stevensville</t>
  </si>
  <si>
    <t>120.00</t>
  </si>
  <si>
    <t>Livonia</t>
  </si>
  <si>
    <t>100 Individual</t>
  </si>
  <si>
    <t>$70/family</t>
  </si>
  <si>
    <t>Luther</t>
  </si>
  <si>
    <t>South Lyon</t>
  </si>
  <si>
    <t>55/individual; 125 family</t>
  </si>
  <si>
    <t>New Baltimore</t>
  </si>
  <si>
    <t>$75-Individual, $200-Cooprative-Individual or Family</t>
  </si>
  <si>
    <t>Mackinac Island</t>
  </si>
  <si>
    <t>Mackinaw City</t>
  </si>
  <si>
    <t>$30</t>
  </si>
  <si>
    <t>Madison Heights</t>
  </si>
  <si>
    <t>20.00/household</t>
  </si>
  <si>
    <t>$125./family</t>
  </si>
  <si>
    <t>Manistique</t>
  </si>
  <si>
    <t>Maple Rapids</t>
  </si>
  <si>
    <t>20.00</t>
  </si>
  <si>
    <t>Marlette</t>
  </si>
  <si>
    <t>Marshall</t>
  </si>
  <si>
    <t>$100 Household; $50 Senior/Military Household</t>
  </si>
  <si>
    <t>Ludington</t>
  </si>
  <si>
    <t>$20/person or $50/family</t>
  </si>
  <si>
    <t>$75/year per Household</t>
  </si>
  <si>
    <t>Mayville</t>
  </si>
  <si>
    <t>McBain</t>
  </si>
  <si>
    <t>Ewen</t>
  </si>
  <si>
    <t>Melvindale</t>
  </si>
  <si>
    <t>Stephenson</t>
  </si>
  <si>
    <t>15.00</t>
  </si>
  <si>
    <t>MERRILL</t>
  </si>
  <si>
    <t>100/Family</t>
  </si>
  <si>
    <t>150/family</t>
  </si>
  <si>
    <t>Lake City</t>
  </si>
  <si>
    <t>Mid Michigan Library League</t>
  </si>
  <si>
    <t>Atlanta</t>
  </si>
  <si>
    <t>30/family</t>
  </si>
  <si>
    <t>Mount Clemens</t>
  </si>
  <si>
    <t>$200/Family</t>
  </si>
  <si>
    <t>Mulliken</t>
  </si>
  <si>
    <t>Munising</t>
  </si>
  <si>
    <t>$75/INDIVIDUAL</t>
  </si>
  <si>
    <t>Negaunee</t>
  </si>
  <si>
    <t>$80/family; $50/individual</t>
  </si>
  <si>
    <t>34.00</t>
  </si>
  <si>
    <t>$40/Individual</t>
  </si>
  <si>
    <t>North Adams</t>
  </si>
  <si>
    <t>$5/Individual</t>
  </si>
  <si>
    <t>Whitmore Lake</t>
  </si>
  <si>
    <t>Northville</t>
  </si>
  <si>
    <t>Centrevile</t>
  </si>
  <si>
    <t>Novi</t>
  </si>
  <si>
    <t>111</t>
  </si>
  <si>
    <t>Oak Park</t>
  </si>
  <si>
    <t>Rose City</t>
  </si>
  <si>
    <t>$10/individual</t>
  </si>
  <si>
    <t>Lake Orion</t>
  </si>
  <si>
    <t>Dollar Bay</t>
  </si>
  <si>
    <t>Mio</t>
  </si>
  <si>
    <t>Gaylord</t>
  </si>
  <si>
    <t>$75/family; $30/individual</t>
  </si>
  <si>
    <t>$80/individual</t>
  </si>
  <si>
    <t>Parchment</t>
  </si>
  <si>
    <t>$105/family</t>
  </si>
  <si>
    <t>Baldwin</t>
  </si>
  <si>
    <t>12.00</t>
  </si>
  <si>
    <t xml:space="preserve">25/indvidual </t>
  </si>
  <si>
    <t>50/Individual orFamily</t>
  </si>
  <si>
    <t>Traverse City</t>
  </si>
  <si>
    <t>Annual rate $10 family</t>
  </si>
  <si>
    <t xml:space="preserve"> $115/individual/12month; $60/individual/6month; $30/individual/3month or $175/family/12month; $90/family/6month; $45/family/3month</t>
  </si>
  <si>
    <t>Petoskey</t>
  </si>
  <si>
    <t>95/family</t>
  </si>
  <si>
    <t>Pigeon</t>
  </si>
  <si>
    <t>$40/card</t>
  </si>
  <si>
    <t>Pinckney</t>
  </si>
  <si>
    <t>5.00</t>
  </si>
  <si>
    <t>Portage</t>
  </si>
  <si>
    <t>$123/Household; $61.50/Senior Citizen</t>
  </si>
  <si>
    <t>$85/Individual; $130/Family</t>
  </si>
  <si>
    <t>Portland</t>
  </si>
  <si>
    <t>Potterville</t>
  </si>
  <si>
    <t>Rogers City</t>
  </si>
  <si>
    <t>Nashville</t>
  </si>
  <si>
    <t xml:space="preserve"> $35/Individual</t>
  </si>
  <si>
    <t>Hemlock</t>
  </si>
  <si>
    <t>$25/individual; $50 family</t>
  </si>
  <si>
    <t>Cass City</t>
  </si>
  <si>
    <t>10.00/family</t>
  </si>
  <si>
    <t>$125/Household</t>
  </si>
  <si>
    <t>Reed City</t>
  </si>
  <si>
    <t>Reese</t>
  </si>
  <si>
    <t>$10/Student; $15/Adult; $25 Family</t>
  </si>
  <si>
    <t>Saint Helen</t>
  </si>
  <si>
    <t>Vestaburg</t>
  </si>
  <si>
    <t>Palmer</t>
  </si>
  <si>
    <t>River Rouge</t>
  </si>
  <si>
    <t>Riverview</t>
  </si>
  <si>
    <t>Rochester</t>
  </si>
  <si>
    <t>Romeo</t>
  </si>
  <si>
    <t>$200/family</t>
  </si>
  <si>
    <t>Romulus</t>
  </si>
  <si>
    <t>Roseville</t>
  </si>
  <si>
    <t>$200/SLC</t>
  </si>
  <si>
    <t>Royal Oak</t>
  </si>
  <si>
    <t xml:space="preserve">$100/Individual </t>
  </si>
  <si>
    <t>1.00</t>
  </si>
  <si>
    <t>40/individual</t>
  </si>
  <si>
    <t>Port Huron</t>
  </si>
  <si>
    <t>65.00</t>
  </si>
  <si>
    <t>St. Clair Shores</t>
  </si>
  <si>
    <t>200/Family</t>
  </si>
  <si>
    <t>St. Ignace</t>
  </si>
  <si>
    <t>$40/Family, $20/summer resident</t>
  </si>
  <si>
    <t>Burnips</t>
  </si>
  <si>
    <t>130</t>
  </si>
  <si>
    <t>Saline</t>
  </si>
  <si>
    <t xml:space="preserve">$135 Individual/Fmaily </t>
  </si>
  <si>
    <t>Sandusky</t>
  </si>
  <si>
    <t>Port Sanilac</t>
  </si>
  <si>
    <t>Saranac</t>
  </si>
  <si>
    <t>Douglas</t>
  </si>
  <si>
    <t>$40/family</t>
  </si>
  <si>
    <t>$40/ Family</t>
  </si>
  <si>
    <t>Blissfield, MI</t>
  </si>
  <si>
    <t>Riverdale</t>
  </si>
  <si>
    <t>$35/individual, $50/family</t>
  </si>
  <si>
    <t>Shelby Township</t>
  </si>
  <si>
    <t>Weidman</t>
  </si>
  <si>
    <t>$20/address</t>
  </si>
  <si>
    <t>$82/Family</t>
  </si>
  <si>
    <t>Ubly</t>
  </si>
  <si>
    <t>$20/Family</t>
  </si>
  <si>
    <t>Sodus, MI</t>
  </si>
  <si>
    <t>$58/Individual;$29/Senior</t>
  </si>
  <si>
    <t>$15/Student;$25/Individual;$40/Family</t>
  </si>
  <si>
    <t>Davisburg</t>
  </si>
  <si>
    <t>Morenci</t>
  </si>
  <si>
    <t>Sterling Heights</t>
  </si>
  <si>
    <t>50/Family</t>
  </si>
  <si>
    <t>Sault Ste Marie</t>
  </si>
  <si>
    <t>80/individual</t>
  </si>
  <si>
    <t>Farwell</t>
  </si>
  <si>
    <t>100.00/Individual</t>
  </si>
  <si>
    <t>Newberry</t>
  </si>
  <si>
    <t>$10/Individual;$25/Family</t>
  </si>
  <si>
    <t>Lakeview</t>
  </si>
  <si>
    <t>36/individual</t>
  </si>
  <si>
    <t>Taylor</t>
  </si>
  <si>
    <t>Burt</t>
  </si>
  <si>
    <t>Saint Louis</t>
  </si>
  <si>
    <t>ITHACA</t>
  </si>
  <si>
    <t>Middleville</t>
  </si>
  <si>
    <t>Three Rivers</t>
  </si>
  <si>
    <t>$50 1 or 2 / $75 3 or more</t>
  </si>
  <si>
    <t>Howard City</t>
  </si>
  <si>
    <t>topinabee</t>
  </si>
  <si>
    <t>Trenton</t>
  </si>
  <si>
    <t>Troy</t>
  </si>
  <si>
    <t>$200/family outside Suburban Library Cooperative</t>
  </si>
  <si>
    <t>Utica</t>
  </si>
  <si>
    <t>45/household</t>
  </si>
  <si>
    <t>Vicksburg</t>
  </si>
  <si>
    <t>Wakefield</t>
  </si>
  <si>
    <t>$30/individual</t>
  </si>
  <si>
    <t>Waldron</t>
  </si>
  <si>
    <t>Walkerville</t>
  </si>
  <si>
    <t>Walled Lake</t>
  </si>
  <si>
    <t>Morley</t>
  </si>
  <si>
    <t>Warren</t>
  </si>
  <si>
    <t>$200 per family</t>
  </si>
  <si>
    <t>Fostoria</t>
  </si>
  <si>
    <t>West Branch</t>
  </si>
  <si>
    <t>$25 individual or family</t>
  </si>
  <si>
    <t>Iron River</t>
  </si>
  <si>
    <t>Remus</t>
  </si>
  <si>
    <t>White Cloud</t>
  </si>
  <si>
    <t>$35; $50 family</t>
  </si>
  <si>
    <t>Whitehall</t>
  </si>
  <si>
    <t>$42/individual annual (prorated by month ex. Sept. $14, etc.)</t>
  </si>
  <si>
    <t>Stanton</t>
  </si>
  <si>
    <t>Paradise</t>
  </si>
  <si>
    <t>Battle Creek</t>
  </si>
  <si>
    <t>Westland</t>
  </si>
  <si>
    <t>Wixom</t>
  </si>
  <si>
    <t>Wolverine</t>
  </si>
  <si>
    <t>150.00</t>
  </si>
  <si>
    <t>Number of ALA-MLS Librarians</t>
  </si>
  <si>
    <t>Total Hours per Week worked by ALA-MLS Librarians</t>
  </si>
  <si>
    <t>ALA-MLS FTE (40 Hours/wk)</t>
  </si>
  <si>
    <t>Number of Other Librarians</t>
  </si>
  <si>
    <t>Total Hours per Week worked by Other Librarians</t>
  </si>
  <si>
    <t>Other Librarians FTE (40 Hours/wk)</t>
  </si>
  <si>
    <t>Number of Total Librarians</t>
  </si>
  <si>
    <t>Total Hours per Week worked by Total Librarians</t>
  </si>
  <si>
    <t>Total Librarians FTE (40 Hours/wk)</t>
  </si>
  <si>
    <t>Number of All Other Paid Staff</t>
  </si>
  <si>
    <t>Total Hours per Week worked by All Other Paid Staff</t>
  </si>
  <si>
    <t>All Other Paid Staff FTE (40 Hours/wk)</t>
  </si>
  <si>
    <t>Number of Total Paid Employees</t>
  </si>
  <si>
    <t>Total Hours per Week worked by Total Paid Employees</t>
  </si>
  <si>
    <t>Total Paid Employees FTE (40 Hours/wk)</t>
  </si>
  <si>
    <t>Director's Certification Level (I, II, III, or IV)</t>
  </si>
  <si>
    <t>Director Minimum Salary</t>
  </si>
  <si>
    <t>Director Maximum Salary</t>
  </si>
  <si>
    <t>Director Average Hrs/Wk</t>
  </si>
  <si>
    <t>Health Insurance</t>
  </si>
  <si>
    <t>Dental Insurance</t>
  </si>
  <si>
    <t>Vision Insurance</t>
  </si>
  <si>
    <t>Life Insurance</t>
  </si>
  <si>
    <t>Pension</t>
  </si>
  <si>
    <t>Paid Sick Leave</t>
  </si>
  <si>
    <t>Paid Vacation</t>
  </si>
  <si>
    <t>Paid Personal Days</t>
  </si>
  <si>
    <t>Paid Holidays</t>
  </si>
  <si>
    <t>Deferred Compensation</t>
  </si>
  <si>
    <t>Disability</t>
  </si>
  <si>
    <t>Longevity</t>
  </si>
  <si>
    <t>I</t>
  </si>
  <si>
    <t>II</t>
  </si>
  <si>
    <t>IV</t>
  </si>
  <si>
    <t>Assistant Director Average Hrs/Wk</t>
  </si>
  <si>
    <t>Assistant Director Minimum Salary</t>
  </si>
  <si>
    <t>Assistant Director Maximum Salary</t>
  </si>
  <si>
    <t>Department/Branch Head Average Hrs/Wk</t>
  </si>
  <si>
    <t>Department/Branch Head Minimum Salary</t>
  </si>
  <si>
    <t>Department/Branch Head Maximum Salary</t>
  </si>
  <si>
    <t>Senior Level Librarian Average Hrs/Wk</t>
  </si>
  <si>
    <t>Senior Level Librarian Minimum Salary</t>
  </si>
  <si>
    <t>Senior Level Librarian Maximum Salary</t>
  </si>
  <si>
    <t>Entry Level Librarian Average Hrs/Wk</t>
  </si>
  <si>
    <t>Entry Level Librarian Minimum Salary</t>
  </si>
  <si>
    <t>Entry Level Librarian Maximum Salary</t>
  </si>
  <si>
    <t>Computer/Technology Specialist Average Hrs/Wk</t>
  </si>
  <si>
    <t>Computer/Technology Specialist Minimum Salary</t>
  </si>
  <si>
    <t>Computer/Technology Specialist Maximum Salary</t>
  </si>
  <si>
    <t>Library Clerk Average Hrs/Wk</t>
  </si>
  <si>
    <t>Library Clerk Minimum Salary</t>
  </si>
  <si>
    <t>Library Clerk Maximum Salary</t>
  </si>
  <si>
    <t>Return to Table of Contents</t>
  </si>
  <si>
    <t>Indicator</t>
  </si>
  <si>
    <t>Definition</t>
  </si>
  <si>
    <t>PUBLIC LIBRARY SURVEY </t>
  </si>
  <si>
    <t>PART I: ADMINISTRATIVE ENTITY INFORMATION </t>
  </si>
  <si>
    <t>1. Report Start Period</t>
  </si>
  <si>
    <t>2. Report End Period</t>
  </si>
  <si>
    <t>3. FSCS</t>
  </si>
  <si>
    <t>4. Current Legal Name of Main Library</t>
  </si>
  <si>
    <t>Provide the legal name of the main library that is current at the time of filing the annual report.</t>
  </si>
  <si>
    <t>5. Legal Name of Main Library at Reporting Year End</t>
  </si>
  <si>
    <t>6. Street Address</t>
  </si>
  <si>
    <t>The complete street address of the actual physical location of the main library. DO NOT report a post office box or general delivery.</t>
  </si>
  <si>
    <t>7. City</t>
  </si>
  <si>
    <t>The city or town in which the main library is located.</t>
  </si>
  <si>
    <t>8. Zip</t>
  </si>
  <si>
    <t>Include the five-digit postal zip code for the street address of the main library.</t>
  </si>
  <si>
    <t>9. Mailing Address</t>
  </si>
  <si>
    <t>The complete mailing address of the main library. DO NOT complete if this address is the same as the street address.</t>
  </si>
  <si>
    <t>10. Mailing City</t>
  </si>
  <si>
    <t>The city or town for the mailing address.</t>
  </si>
  <si>
    <t>11. Mailing ZIP Code</t>
  </si>
  <si>
    <t>Include the five-digit postal zip code for the mailing address of the main library.</t>
  </si>
  <si>
    <t>12. County</t>
  </si>
  <si>
    <t>The county in which the main library is located.</t>
  </si>
  <si>
    <t>13. Township</t>
  </si>
  <si>
    <t>The Township in which the main library is located.</t>
  </si>
  <si>
    <t>14. Cooperative</t>
  </si>
  <si>
    <t>Provide the name of the library cooperative if the library is a member at the time of filing the Annual Report. If the library is not a member at the time of filing, indicate "none."</t>
  </si>
  <si>
    <t>15. Phone Number</t>
  </si>
  <si>
    <t>Area code and telephone number of the main library.</t>
  </si>
  <si>
    <t>16. TDD Number</t>
  </si>
  <si>
    <t>Area code and telephone number to be used with a Telephone Device for the Deaf (TDD).</t>
  </si>
  <si>
    <t>17. Director's Name</t>
  </si>
  <si>
    <t>The name of the current official director of the main library. If the director position is vacant at the time of filing this report, provide the name and title for the acting or interim director and label as such.</t>
  </si>
  <si>
    <t>18. Email Address of Library Director</t>
  </si>
  <si>
    <t>The email address to be used to contact the library director.</t>
  </si>
  <si>
    <t>19. Fax</t>
  </si>
  <si>
    <t>Updated : 2015-12-21 13:11:35</t>
  </si>
  <si>
    <t>Area code and telephone number for the fax machine used for administrative purposes.</t>
  </si>
  <si>
    <t>20. Web Address</t>
  </si>
  <si>
    <t>If your library has a home page accessible over the Internet, please include the web address. (e.g. http://www.library.lib.mi.us/library.html)</t>
  </si>
  <si>
    <t>21. Has Friends Group?</t>
  </si>
  <si>
    <t>Updated : 2015-10-13 12:58:28</t>
  </si>
  <si>
    <t>Does the library have an active Friends' Group</t>
  </si>
  <si>
    <t>22. Library Class</t>
  </si>
  <si>
    <t>23. Administrative Structure Code</t>
  </si>
  <si>
    <t>Check the box that best identifies your library's administrative structure according to the described federal definitions. Administrative Entity with Multiple Direct Service Outlets where Administrative Offices are Separate: An administrative entity that serves the public directly with two or more service outlets, including some combination of central library(ies), branch(es), bookmobile(s), and/or books-by-mail only. The administrative offices are separate from the direct service outlets and do not provide direct library services. Administrative Entity with Multiple Direct Service Outlets where Administrative Offices are NOT Separate: An administrative entity that serves the public directly with two or more service outlets, including some combination of central library(ies), branch(es), bookmobile(s), and/or books-by-mail only. Administrative Entity with a Single Direct Service Outlet: An administrative entity that serves the public directly with one central library, books-by-mail only, or one bookmobile.</t>
  </si>
  <si>
    <t>24. ReEstablishDate</t>
  </si>
  <si>
    <t>If your library reorganized during the reporting year, please provide the reestablishment date.</t>
  </si>
  <si>
    <t>25. ReEstablishStatute</t>
  </si>
  <si>
    <t>If your library reorganized during the reporting year, please provide the reestablishment statute.</t>
  </si>
  <si>
    <t>26. Local Governance</t>
  </si>
  <si>
    <t>27. Type</t>
  </si>
  <si>
    <t>Check the "type name" reflecting the library's organizational structure according to establishment statutes at the end of your reporting year.</t>
  </si>
  <si>
    <t>Public Library Definition </t>
  </si>
  <si>
    <t>A public library is an entity that is established under state enabling laws or regulations to serve a community, district, or region, and that meets one or more of the listed criteria. Check all that apply based on the federal definition of a public library. </t>
  </si>
  <si>
    <t>28. Library has organized collection of printed or other library materials</t>
  </si>
  <si>
    <t>29. Library has paid staff</t>
  </si>
  <si>
    <t>30. Library has an established schedule in which services of the staff are available to the public</t>
  </si>
  <si>
    <t>31. Library facilities necessary to support collection, staff, and schedule</t>
  </si>
  <si>
    <t>32. Library is supported in whole or part with public funds</t>
  </si>
  <si>
    <t>33. Geographic Code</t>
  </si>
  <si>
    <t>34. Was there a legal service area boundary change during the reporting period?</t>
  </si>
  <si>
    <t>Answer Yes to this question, if there has been any change to the administrative entity's legal service area boundaries during the past year.</t>
  </si>
  <si>
    <t>Changes are likely to result, for example, when a municipality annexes land, when one municipality in a county becomes either an independent city or its own county necessitating its exclusion from the first county's geography, or when an administrative entity contracts to provide public library service for some additional geographic area other than the geographic area for which it was established (e.g., a municipality library contracts to serve county residents).</t>
  </si>
  <si>
    <t>PART II: OUTLETS </t>
  </si>
  <si>
    <t>Outlet Name </t>
  </si>
  <si>
    <t>State assigned identification number</t>
  </si>
  <si>
    <t>Updated : 2015-10-22 10:52:54</t>
  </si>
  <si>
    <t>Library System ID</t>
  </si>
  <si>
    <t>Outlet Name</t>
  </si>
  <si>
    <t>Outlet Address </t>
  </si>
  <si>
    <t>Physical Street Address</t>
  </si>
  <si>
    <t>The complete street address of the actual physical location of the outlet. DO NOT report a post office box or general delivery.</t>
  </si>
  <si>
    <t>The city or town in which the outlet is located.</t>
  </si>
  <si>
    <t>ZIP Code</t>
  </si>
  <si>
    <t>Include the five-digit postal zip code for the street address of the outlet.</t>
  </si>
  <si>
    <t>The county in which the outlet is located.</t>
  </si>
  <si>
    <t>Outlet Phone &amp; Codes </t>
  </si>
  <si>
    <t>Phone</t>
  </si>
  <si>
    <t>Outlet Type Code</t>
  </si>
  <si>
    <t>Metropolitan Status Code</t>
  </si>
  <si>
    <t>Outlet Counts </t>
  </si>
  <si>
    <t>Area in Square Feet of outlet</t>
  </si>
  <si>
    <t>Public Service Hours Per Year</t>
  </si>
  <si>
    <t>This is the number of annual public service hours for outlets (reported individually by central, branch, bookmobile) Note: Include the actual hours open for public service for centrals, branches, and bookmobiles. For each bookmobile, count only the hours during which the bookmobile is open to the public. Minor variations in public service hours need not be included. Extensive hours closed to the public due to natural disasters or other events should be excluded from the count.</t>
  </si>
  <si>
    <t>Number of Weeks Open</t>
  </si>
  <si>
    <t>This is the number of weeks during the year that an outlet was open to the public. Note: Include the number of weeks open for public service for Centrals, Branches, Bookmobiles. For each bookmobile, count only the weeks during which the bookmobile is open to the public. The count should be based on the number of weeks that a library outlet was open for half or more of its scheduled service hours. Extensive weeks closed to the public due to natural disasters or other events should be excluded from the count. Do not calculate based on total number of service hours per year at the outlet level. For example, by dividing total hours by 52 (weeks). Round to the nearest whole number of weeks. If the library was open half or more of its scheduled hours in a given week, round up to the next week. If the library was open less than half of its scheduled hours, round down.</t>
  </si>
  <si>
    <t>Contact </t>
  </si>
  <si>
    <t>Fax</t>
  </si>
  <si>
    <t>Updated : 2016-07-18 13:57:20</t>
  </si>
  <si>
    <t>Email</t>
  </si>
  <si>
    <t>The email address to be used to contact the head of library outlet.</t>
  </si>
  <si>
    <t>URL</t>
  </si>
  <si>
    <t>If your outlet has a home page accessible over the Internet, please include the web address. (e.g. http://www.library.lib.mi.us/library.html)</t>
  </si>
  <si>
    <t>Contact Name </t>
  </si>
  <si>
    <t>Director Name</t>
  </si>
  <si>
    <t>The name of the current official head of the outlet. If the position is vacant at the time of filing this report, provide the name and title for the acting or interim head and label as such.</t>
  </si>
  <si>
    <t>Title</t>
  </si>
  <si>
    <t>Current Library Schedule </t>
  </si>
  <si>
    <t>Current Open Time Monday</t>
  </si>
  <si>
    <t>Current Closed Time Monday</t>
  </si>
  <si>
    <t>Current Open Time Tuesday</t>
  </si>
  <si>
    <t>Current Closed Time Tuesday</t>
  </si>
  <si>
    <t>Current Open Time Wednesday</t>
  </si>
  <si>
    <t>Current Closed Time Wednesday</t>
  </si>
  <si>
    <t>Current Open Time Thursday</t>
  </si>
  <si>
    <t>Current Closed Time Thursday</t>
  </si>
  <si>
    <t>Current Open Time Friday</t>
  </si>
  <si>
    <t>Current Closed Time Friday</t>
  </si>
  <si>
    <t>Current Open Time Saturday</t>
  </si>
  <si>
    <t>Current Closed Time Saturday</t>
  </si>
  <si>
    <t>Current Open Time Sunday</t>
  </si>
  <si>
    <t>Current Closed Time Sunday</t>
  </si>
  <si>
    <t>Alternate Dates </t>
  </si>
  <si>
    <t>Alternate Start Date</t>
  </si>
  <si>
    <t>Alternate End Date</t>
  </si>
  <si>
    <t>Alternate Library Schedule </t>
  </si>
  <si>
    <t>Alternate Open Time Monday</t>
  </si>
  <si>
    <t>Alternate Closed Time Monday</t>
  </si>
  <si>
    <t>Alternate Open Time Tuesday</t>
  </si>
  <si>
    <t>Alternate Closed Time Tuesday</t>
  </si>
  <si>
    <t>Alternate Open Time Wednesday</t>
  </si>
  <si>
    <t>Alternate Closed Time Wednesday</t>
  </si>
  <si>
    <t>Alternate Open Time Thursday</t>
  </si>
  <si>
    <t>Alternate Closed Time Thursday</t>
  </si>
  <si>
    <t>Alternate Open Time Friday</t>
  </si>
  <si>
    <t>Alternate Closed Time Friday</t>
  </si>
  <si>
    <t>Alternate Open Time Saturday</t>
  </si>
  <si>
    <t>Alternate Closed Time Saturday</t>
  </si>
  <si>
    <t>Alternate Open Time Sunday</t>
  </si>
  <si>
    <t>Alternate Closed Time Sunday</t>
  </si>
  <si>
    <t>PART III: OPEN HOURS AND SQUARE FOOTAGE SUMMARY </t>
  </si>
  <si>
    <t>The information provided here is used to verify, for State Aid purposes, that the library (or the main library and its branches) met the minimum scheduled hours during the reporting year. </t>
  </si>
  <si>
    <t>1. Number of Central Libraries</t>
  </si>
  <si>
    <t>One type of single outlet library or the library that is the operational center of a multiple-outlet library and is synonymous with a main library. Usually all processing is centralized here, and the principal collections are housed here. Each administrative entity may report either no central library or one central library. No administrative entity may report more than one central library. If no Central Libraries were operated during the reporting year, enter "0" (zero).</t>
  </si>
  <si>
    <t>2. Unduplicated Average Hours per Week, Central(s)</t>
  </si>
  <si>
    <t>Unduplicated branch hours are hours when one or more branches are open when the main library is not. Do not count duplicate branch hours. For example: Main library: Open 9 AM - 4 PM, Mon - Fri = 35 unduplicated hours/week North Branch: Open Noon - 8 PM, Tues and Thurs = 8 unduplicated hours/week Open 10 AM - 4 PM Fri = no unduplicted hours. South Branch: Open 10 AM - 2 :M Sat = 4 unduplicated hours Open 10 AM - 6 PM Tues - Fri = 2 hours Fri + 2 hours Wed unduplicated Total unduplicated branch hours for the system is 16. Total unduplicated hours for State Aid is 51 per week NOTE: You must include a schedule showing main library and branch library hours for the reporting year if using unduplicated hours to qualify for state aid. If a public library has more than one branch, and if the hours for the main library building and each established branch library are different, the unduplicated hours may be added together to satisfy the minimum open hours requirement to qualify for state aid. The minimum open hours requirement must be maintained for not less than 9 months of the 12 month operating period. If a reduced hours schedule is implemented, the library must be open not less than 10 hours per week.</t>
  </si>
  <si>
    <t>3. Annual Scheduled Public Service Hours, Central(s)</t>
  </si>
  <si>
    <t>Updated : 2015-12-03 14:33:00</t>
  </si>
  <si>
    <t>The number of hours you planned to be open as opposed to Actual Annual Hours Open.</t>
  </si>
  <si>
    <t>4. Actual Annual Public Service Hours, Central(s)</t>
  </si>
  <si>
    <t>This is the number of annual public service hours for central libraries. Note: Include the actual hours open for public service for central libraries. Minor variations in public service hours need not be included. Extensive hours closed to the public due to natural disasters or other events should be excluded from the count.</t>
  </si>
  <si>
    <t>5. Central Library(ies) Weeks Open</t>
  </si>
  <si>
    <t>This is the number of weeks during the year that Central Libraries were open to the public. Note: Include the number of weeks open for public service for Central Libraries. The count should be based on the number of weeks that a library outlet was open for half or more of its scheduled service hours. Extensive weeks closed to the public due to natural disasters or other events should be excluded from the count. Do not calculate based on total number of service hours per year at the outlet level. For example, by dividing total hours by 52 (weeks). Round to the nearest whole number of weeks. If the library was open half or more of its scheduled hours in a given week, round up to the next week. If the library was open less than half of its scheduled hours, round down.</t>
  </si>
  <si>
    <t>6. Number of Branch Libraries</t>
  </si>
  <si>
    <t>A branch is defined as an auxiliary unit of an administrative entity that has at least all of the following: 1) separate quarters; 2) an organized collection of library materials; 3) paid staff; and 4) regularly scheduled hours for being open to the public. If no Branches were operated during the reporting year, enter "0" (zero).</t>
  </si>
  <si>
    <t>7. Unduplicated Average Hours per Week, Branch(es)</t>
  </si>
  <si>
    <t>Unduplicated branch hours are hours when one or more branches are open when the main library is not. Do not count duplicate branch hours. For example:</t>
  </si>
  <si>
    <t>Main library: Open 9 AM - 4 PM, Mon - Fri = 35 unduplicated hours/week</t>
  </si>
  <si>
    <t>North Branch: Open Noon - 8 PM, Tues and Thurs = 8 unduplicated hours/week. Open 10 AM - 4 PM Fri = no unduplicted hours</t>
  </si>
  <si>
    <t>South Branch: Open 10 AM - 2 :M Sat = 4 unduplicated hours. Open 10 AM - 6 PM Tues - Fri = 2 hours Fri + 2 hours Wed unduplicated</t>
  </si>
  <si>
    <t>Total unduplicated branch hours for the system is 16</t>
  </si>
  <si>
    <t>Total unduplicated hours for State Aid is 51 per week</t>
  </si>
  <si>
    <t>NOTE: You must include a schedule showing main library and branch library hours for the reporting year if using unduplicated hours to qualify for state aid. If a public library has more than one branch, and if the hours for the main library building and each established branch library are different, the unduplicated hours may be added together to satisfy the minimum open hours requirement to qualify for state aid. The minimum open hours requirement must be maintained for not less than 9 months of the 12 month operating period. If a reduced hours schedule is implemented, the library must be open not less than 10 hours per week.</t>
  </si>
  <si>
    <t>8. Annual Scheduled Public Service Hours, Branch(es)</t>
  </si>
  <si>
    <t>Updated : 2015-12-03 14:34:30</t>
  </si>
  <si>
    <t>9. Actual Annual Public Service Hours, Branch(es)</t>
  </si>
  <si>
    <t>This is the number of annual public service hours for branches. Note: Include the actual hours open for public service for branches. Minor variations in public service hours need not be included. Extensive hours closed to the public due to natural disasters or other events should be excluded from the count.</t>
  </si>
  <si>
    <t>10. Branch(es) Weeks Open</t>
  </si>
  <si>
    <t>11. Number of Bookmobiles</t>
  </si>
  <si>
    <t>A bookmobile is defined as a travelling branch library consisting of at least all of the following: 1) a truck or van that carries an organized collection of library materials; 2) paid staff; and 3) regularly scheduled hours (bookmobile stops) for being open to the public. Report the number of vehicles in use, not the number of stops the vehicle makes. If no Bookmobiles were operated during the reporting year, enter "0" (zero).</t>
  </si>
  <si>
    <t>12. Annual Scheduled Public Service Hours, Bookmobile(s)</t>
  </si>
  <si>
    <t>Updated : 2015-12-03 14:35:11</t>
  </si>
  <si>
    <t>13. Actual Annual Public Service Hours, Bookmobile(s)</t>
  </si>
  <si>
    <t>This is the number of annual public service hours for bookmobiles. Note: Include the actual hours open for public service for bookmobiles. For each bookmobile, count only the hours during which the bookmobile is open to the public. Minor variations in public service hours need not be included. Extensive hours closed to the public due to natural disasters or other events should be excluded from the count.</t>
  </si>
  <si>
    <t>14. Bookmobile(s) Weeks Open</t>
  </si>
  <si>
    <t>This is the number of weeks during the year that Bookmobiles were open to the public. Note: Include the number of weeks open for public service for Bookmobiles. For each bookmobile, count only the weeks during which the bookmobile is open to the public. The count should be based on the number of weeks that a library outlet was open for half or more of its scheduled service hours. Extensive weeks closed to the public due to natural disasters or other events should be excluded from the count. Do not calculate based on total number of service hours per year at the outlet level. For example, by dividing total hours by 52 (weeks). Round to the nearest whole number of weeks. If the library was open half or more of its scheduled hours in a given week, round up to the next week. If the library was open less than half of its scheduled hours, round down.</t>
  </si>
  <si>
    <t>15. Total Number of Outlets</t>
  </si>
  <si>
    <t>16. Total Unduplicated Average Hours per Week</t>
  </si>
  <si>
    <t>17. Total Annual Scheduled Public Service Hours</t>
  </si>
  <si>
    <t>Updated : 2015-12-03 14:35:32</t>
  </si>
  <si>
    <t>18. Total Annual Public Service Hours</t>
  </si>
  <si>
    <t>This is the total number of actual annual public service hours for outlets (reported individually by central, branch, bookmobile).</t>
  </si>
  <si>
    <t>19. Total Outlet Weeks Open</t>
  </si>
  <si>
    <t>This is the total number of weeks during the year that outlets were open to the public (reported individually by central, branch, bookmobile).</t>
  </si>
  <si>
    <t>20. Central Library(ies) Square Feet</t>
  </si>
  <si>
    <t>21. Branch(es) Square Feet</t>
  </si>
  <si>
    <t>22. Total Square Feet</t>
  </si>
  <si>
    <t>Report the total square footage of the facility used for library purposes.</t>
  </si>
  <si>
    <t>Legislative Districts </t>
  </si>
  <si>
    <t>MI Representative District #</t>
  </si>
  <si>
    <t>MI Representative Name</t>
  </si>
  <si>
    <t>MI Senate District #</t>
  </si>
  <si>
    <t>MI Senate Name</t>
  </si>
  <si>
    <t>US Representative District #</t>
  </si>
  <si>
    <t>US Representative Name</t>
  </si>
  <si>
    <t>PART IV: PAID STAFF </t>
  </si>
  <si>
    <t>Report figures as of the last day of the reporting year. Include all employees paid with library funds to do library work or to maintain the library building for the main library, all branches, bookmobiles, and other service outlets. All employees, whether or not they are certified by the Library of Michigan, are included. This should not include volunteers, since these figures may be used to determine average staff expenditures. To ensure comparable data, 40 hours per week has been set as the measure of full-time employment. The Full Time Equivalent (FTE) staff is automatically figured by adding the total number of hours worked by all employees in each category, then dividing the total staff hours by 40 and rounding to two decimal places. </t>
  </si>
  <si>
    <t>1. Number of ALA-MLS Librarians</t>
  </si>
  <si>
    <t>Librarians with Masters degrees from programs of library and information studies accredited by the American Library Association.</t>
  </si>
  <si>
    <t>2. Total Hours per Week worked by ALA-MLS Librarians</t>
  </si>
  <si>
    <t>3. ALA-MLS FTE (40 Hours/wk)</t>
  </si>
  <si>
    <t>4. Number of Other Librarians</t>
  </si>
  <si>
    <t>Persons with the title of librarian who do paid work that usually requires professional training and skill in the theoretical or scientific aspects of library work, or both, as distinct from its mechanical or clerical aspect who do not have an ALA-MLS.</t>
  </si>
  <si>
    <t>5. Total Hours per Week worked by Other Librarians</t>
  </si>
  <si>
    <t>6. Other Librarians FTE (40 Hours/wk)</t>
  </si>
  <si>
    <t>7. Number of Total Librarians</t>
  </si>
  <si>
    <t>The sum of "ALA-MLS Librarians" and "Other Librarians."</t>
  </si>
  <si>
    <t>8. Total Hours per Week worked by Total Librarians</t>
  </si>
  <si>
    <t>9. Total Librarians FTE (40 Hours/wk)</t>
  </si>
  <si>
    <t>10. Number of All Other Paid Staff</t>
  </si>
  <si>
    <t>Include all other library employees paid from the reporting unit budget, including plant operations, security, and maintenance staff.</t>
  </si>
  <si>
    <t>11. Total Hours per Week worked by All Other Paid Staff</t>
  </si>
  <si>
    <t>12. All Other Paid Staff FTE (40 Hours/wk)</t>
  </si>
  <si>
    <t>13. Number of Total Paid Employees</t>
  </si>
  <si>
    <t>14. Total Hours per Week worked by Total Paid Employees</t>
  </si>
  <si>
    <t>15. Total Paid Employees FTE (40 Hours/wk)</t>
  </si>
  <si>
    <t>PART V: OPERATING INCOME </t>
  </si>
  <si>
    <t>Report income used for operating expenditures as defined below. DO NOT include capital income, contributions to endowments, income passed through to another agency, or funds unspent in the previous fiscal year. This section provides detail of local, state and federal income for your library's reporting year. Include federal, state, or other grants, except for grants for capital expenditures. It is important to keep accurate financial records for each reporting year and to be able to track local, state, and federal funds separately. Although there must be a realistic relationship between total operating income and total operating expenditures, the figures will probably not balance exactly. It is important to report accurately, since the library must be able to verify any financial information with audited figures. For purposes of this report, INCOME is defined as actual cash or a documented monetary transfer to the library fund. Do not include in-kind services, pledges and grants not received. Total Local Operating Income is used to meet the 3/10 mill match requirement for State Aid. If your library's total service area does not meet this state aid standard, revenues from the total legal service area and the individual contracted municipalities will be reviewed. For this reason, the Operating Income section provides entry for each municipality served by your library. When completing the form: - If your legal service area is comprised of more than one municipality (for example, a whole county, a school district of two or more municipalities), the legal area income can be reported with the first service area data. - If you cannot break down miscellaneous "other public local income" by municipality, report it all in the first Legal Service Area listed. - Only local income needs to be broken down by municipality. </t>
  </si>
  <si>
    <t>A. Legal Service Area </t>
  </si>
  <si>
    <t>LSA Municipality</t>
  </si>
  <si>
    <t>Name of the municipality or other designated jurisdiction served under statue during the reporting year. Example: school district, name of county (if whole county).</t>
  </si>
  <si>
    <t>LSA Local Penal Fine Revenues</t>
  </si>
  <si>
    <t>Updated : 2015-09-29 13:00:17</t>
  </si>
  <si>
    <t>Report Penal Fine revenues received during the reporting year. If you do not know the amount received for each individual service area, calculate it by determining the total population your library serves in the county and dividing the penal fines received from that county by the population served to determine the per capita rate. Multiply the per capita rate by the population of each service area to determine penal fines received from each service area. If your library has service areas in two or more counties, you must determine each rate separately.</t>
  </si>
  <si>
    <t>LSA Income from Voted Millage</t>
  </si>
  <si>
    <t>Updated : 2015-09-29 13:00:31</t>
  </si>
  <si>
    <t>Enter only revenues received during the reporting year from a dedicated library millage that was approved by a vote of the people. If the millage is for a multi-municipality legal service area (whole county or district structure), complete millage information on the top line only.</t>
  </si>
  <si>
    <t>LSA Appropriated Tax Income</t>
  </si>
  <si>
    <t>Updated : 2015-09-29 13:00:42</t>
  </si>
  <si>
    <t>This revenue is received by the library directly from the municipal, county, district, or school governing body. This revenue is not the result of a dedicated voted library millage.</t>
  </si>
  <si>
    <t>LSA Other Local Government Income</t>
  </si>
  <si>
    <t>Updated : 2015-09-29 13:00:53</t>
  </si>
  <si>
    <t>Report miscellaneous income received from local government sources. (Do not include user fees) If the library received revenue from a Single Business Tax levied on local business, include the amount in this field.</t>
  </si>
  <si>
    <t>LSA Total Local Government Income</t>
  </si>
  <si>
    <t>Updated : 2016-01-26 13:51:56</t>
  </si>
  <si>
    <t>This subtotal field can be ignored, this subtotal will appear in line 17 of part A. The "Total Local Government Income" figure is determined by adding "Local Penal Fine Revenues," "Income from Voted Millage," "Appropriated Tax Income," and "Other Local Government Income." This should include all tax and non-tax receipts designated by the community, district or region and available for expenditures by the public library. This should not include the value of any contributed or in-kind services or the value of any gifts and donations, fines, or fees paid by individuals.</t>
  </si>
  <si>
    <t>LSA Fines, Fees, Donations</t>
  </si>
  <si>
    <t>Updated : 2015-09-29 17:06:18</t>
  </si>
  <si>
    <t>Report miscellaneous income from local non-government sources. This category includes user fines and fees, collections from coin-operated equipment, income from used book sales, fund-raisers, Library Friends events, etc. Non-capital cash contributions are included in this category. Include, for example, monetary gifts and donations received in the current year, interest, library fines, and fees for library services. Do not include the value of any contributed or in-kind services or the value of any non-monetary gifts and donations. If it is impossible for you to break down the miscellaneous income by individual municipality, report the "Other Local Operating Income" in the first Legal Service Area listed.</t>
  </si>
  <si>
    <t>LSA Verified Info</t>
  </si>
  <si>
    <t>Updated : 2015-09-29 12:52:28</t>
  </si>
  <si>
    <t>LSA Municipality ID</t>
  </si>
  <si>
    <t>Updated : 2015-09-29 12:56:03</t>
  </si>
  <si>
    <t>LSA Municipality County</t>
  </si>
  <si>
    <t>Updated : 2015-09-29 12:52:49</t>
  </si>
  <si>
    <t>LSA Population Served</t>
  </si>
  <si>
    <t>Updated : 2016-03-21 10:15:31</t>
  </si>
  <si>
    <t>LSA Population Percent</t>
  </si>
  <si>
    <t>Updated : 2015-09-29 12:53:02</t>
  </si>
  <si>
    <t>LSA Service Area ID</t>
  </si>
  <si>
    <t>Updated : 2015-09-29 12:53:13</t>
  </si>
  <si>
    <t>A. Legal Service Area Internal </t>
  </si>
  <si>
    <t>Subtotals </t>
  </si>
  <si>
    <t>1. Subtotal Legal Service Area Population Served</t>
  </si>
  <si>
    <t>Updated : 2016-08-15 14:27:30</t>
  </si>
  <si>
    <t>2. Subtotal Local Penal Fine Revenues</t>
  </si>
  <si>
    <t>Updated : 2016-08-15 14:27:45</t>
  </si>
  <si>
    <t>3. Subtotal Income From Voted Millage</t>
  </si>
  <si>
    <t>Updated : 2016-08-15 14:27:59</t>
  </si>
  <si>
    <t>4. Subtotal Appropriated Tax Income</t>
  </si>
  <si>
    <t>Updated : 2016-08-15 14:28:11</t>
  </si>
  <si>
    <t>5. Subtotal Other Local Government Income</t>
  </si>
  <si>
    <t>Updated : 2016-08-15 14:28:26</t>
  </si>
  <si>
    <t>6. Subtotal Total Local Government Income</t>
  </si>
  <si>
    <t>Updated : 2016-08-15 14:28:43</t>
  </si>
  <si>
    <t>7. Subtotal Other Local Operating Income</t>
  </si>
  <si>
    <t>Updated : 2016-08-15 14:29:11</t>
  </si>
  <si>
    <t>B. Contracted Municipality </t>
  </si>
  <si>
    <t>Contracted Municipality</t>
  </si>
  <si>
    <t>Updated : 2015-10-13 13:50:07</t>
  </si>
  <si>
    <t>Name of the municipality or other designated jurisdiction with which the library has a library service contract approved by the Library of Michigan.</t>
  </si>
  <si>
    <t>Contract Municipality Local Penal Fine Revenues</t>
  </si>
  <si>
    <t>Report Penal Fine revenues received during the reporting year. If you do not know the amount received for each reported contracted municipality area, calculate it by determining the local total population served by your library in the county as a result of service contracts and dividing the penal fines received from that county by the population served to determine the per capita rate. Multiply the per capita rate by the population of each contracted municipality to determine penal fines received for each municipality. Penal fines distribution rates are different for each county. If your library has service contracts in more than one county, you must determine each rate separately.</t>
  </si>
  <si>
    <t>Contract Municipality Income From Voted Millage</t>
  </si>
  <si>
    <t>Enter only revenues received during the reporting year from a dedicated library millage that was approved by a vote of the people. If the millage is for a multi-municipality contract service area (whole county or district structure), complete millage information in the first Contracted Municipality listed.</t>
  </si>
  <si>
    <t>Contract Municipality Appropriated Tax Income</t>
  </si>
  <si>
    <t>This revenue is received by the library directly from the municipal, county, district, or school governing body. This revenue is not the result of a dedicated library millage and does not include contract fee income.</t>
  </si>
  <si>
    <t>Contract Municipality Contract Fee Income</t>
  </si>
  <si>
    <t>Revenue received from the contracted municipalities as stated in the library service contract. Do not include penal fine income.</t>
  </si>
  <si>
    <t>Contract Municipality Total Local Government Income</t>
  </si>
  <si>
    <t>Updated : 2015-09-29 17:07:20</t>
  </si>
  <si>
    <t>Add "Local Penal Fine Revenues," "Income from Voted Millage," "Appropriated Tax Income," and "Contract Fee Income." This includes all tax and non-tax receipts designated by the community, district, or region and available for expenditures by the public library. Do not include the value of any contributed or in-kind services or the value of any gifts and donations, fines, or fees paid by individuals.</t>
  </si>
  <si>
    <t>Contract Municipality Fines, Fees, Donations</t>
  </si>
  <si>
    <t>Report miscellaneous income from local non-government sources. This category includes user fines and fees, collections from coin-operated equipment, income from used book sales, fund-raisers, library Friends events, etc. Non-capital cash contributions are included in this category. Include, for example, monetary gifts and donations received in the reporting year, interest, library fines, and fees for library services. Do not include the value of any contributed or in-kind services or the value of any non-monetary gifts and donations.</t>
  </si>
  <si>
    <t>Contracted Verified Info</t>
  </si>
  <si>
    <t>Contracted Municipality ID</t>
  </si>
  <si>
    <t>Updated : 2015-10-13 13:49:54</t>
  </si>
  <si>
    <t>Contracted Municipality County</t>
  </si>
  <si>
    <t>Updated : 2015-10-13 13:49:46</t>
  </si>
  <si>
    <t>Contract Municipality Population Served</t>
  </si>
  <si>
    <t>Updated : 2015-10-13 13:49:35</t>
  </si>
  <si>
    <t>Contract Population Percent</t>
  </si>
  <si>
    <t>Updated : 2015-10-13 13:49:26</t>
  </si>
  <si>
    <t>Service Area ID</t>
  </si>
  <si>
    <t>Updated : 2015-10-13 13:49:14</t>
  </si>
  <si>
    <t>B. Contracted Municipality Internal </t>
  </si>
  <si>
    <t>1. Contracted Municipality Population Served</t>
  </si>
  <si>
    <t>Updated : 2016-08-15 14:29:37</t>
  </si>
  <si>
    <t>2. CM Penal Fine Revenues</t>
  </si>
  <si>
    <t>Updated : 2016-08-15 14:29:52</t>
  </si>
  <si>
    <t>3. CM Income From Voted Millage</t>
  </si>
  <si>
    <t>Updated : 2016-08-15 14:30:05</t>
  </si>
  <si>
    <t>4. CM Appropriated Tax Income</t>
  </si>
  <si>
    <t>Updated : 2016-08-15 14:30:18</t>
  </si>
  <si>
    <t>5. Contract Fee Income</t>
  </si>
  <si>
    <t>Updated : 2016-08-15 14:30:31</t>
  </si>
  <si>
    <t>6. CM Total Local Government Income</t>
  </si>
  <si>
    <t>Updated : 2016-08-15 14:30:43</t>
  </si>
  <si>
    <t>7. Other Local Operating Income</t>
  </si>
  <si>
    <t>Updated : 2016-08-15 14:30:55</t>
  </si>
  <si>
    <t>C. Operating Income Summary </t>
  </si>
  <si>
    <t>1. Total Local Government Income</t>
  </si>
  <si>
    <t>Updated : 2016-08-15 14:31:16</t>
  </si>
  <si>
    <t>Sum of (Legal Service Area) "Total Local Government Income" and (Contracted Municipality) "Total Local Government Income."</t>
  </si>
  <si>
    <t>2. Total Other Local Operating Income</t>
  </si>
  <si>
    <t>Updated : 2016-08-15 14:31:29</t>
  </si>
  <si>
    <t>Sum of (Legal Service Area) "Other Local Operating Income" and (Contracted Municipality) "Other Local Operating Income."</t>
  </si>
  <si>
    <t>3. Total Local Operating Income</t>
  </si>
  <si>
    <t>Updated : 2016-08-15 14:31:44</t>
  </si>
  <si>
    <t>Sum of (Legal Service Area) "Total Local Government Income," (Contracted Municipality) "Total Local Government Income," (Legal Service Area) "Other Local Operating Income," and (Contracted Municipality) "Other Local Operating Income." This figure is used to assess the library's financial eligibility for State Aid.</t>
  </si>
  <si>
    <t>4. State Government Operating Income</t>
  </si>
  <si>
    <t>Updated : 2016-08-15 14:31:56</t>
  </si>
  <si>
    <t>Report all funds received by your library from the State government for operating expenditures, except for federal money distributed by the State. Include all State Aid payments received by your library during the reporting year.</t>
  </si>
  <si>
    <t>5. Federal Government Operating Income</t>
  </si>
  <si>
    <t>Updated : 2016-08-15 14:32:06</t>
  </si>
  <si>
    <t>Report all federal government funds received by your library for operating expenditures, including federal money distributed by the State. Report grant funds received for non-capital expenditures from LSTA. Do not include funds you received and passed through to another public library.</t>
  </si>
  <si>
    <t>6. Total Operating Income</t>
  </si>
  <si>
    <t>Updated : 2016-08-15 14:32:18</t>
  </si>
  <si>
    <t>Sum of "Total Local Government Income," "Other Local Operating Income," "State Government Operating Income," and "Federal Government Operating Income."</t>
  </si>
  <si>
    <t>PART VI: CAPITAL INCOME </t>
  </si>
  <si>
    <t>1. Federal Capital Income</t>
  </si>
  <si>
    <t>Report federal governmental funds, including federal funds distributed by the state or locality, and grants and aid received by the library for the purpose of major capital expenditures. Examples include funds received for construction, expansion and renovation of existing library facilities and funds received for the purchase of equipment, furniture, technology systems, and other one-time, extraordinary projects.</t>
  </si>
  <si>
    <t>2. State Capital Income</t>
  </si>
  <si>
    <t>Report all funds distributed to public libraries by state government for expenditure by the public libraries for the purpose of major capital expenditures, except for federal money distributed by the state. Examples include funds received for construction, expansion and renovation of existing library facilities and funds received for the purchase of equipment, furniture, technology systems, and other one-time, extraordinary projects.</t>
  </si>
  <si>
    <t>3. Local Capital Icome</t>
  </si>
  <si>
    <t>Report all governmental funds designated by the community, district, or region and available to the public library for the purpose of major capital expenditures, except for state and/or federal money distributed by the local government. Examples include funds received for furniture, technology systems, and other one-time, extraordinary projects. These funds may be used to meet the 3/10 mill local support financial requirement for State Aid.</t>
  </si>
  <si>
    <t>4. Private Capital Income</t>
  </si>
  <si>
    <t>Report private funds (non-governmental funds), including grants, received by your library for the purpose of capital expenditures. Examples include funds received for furniture, technology systems, and other one-time, extraordinary projects. These funds may be used to meet the 3/10 mill local support financial requirement for State Aid.</t>
  </si>
  <si>
    <t>5. Total Capital Income</t>
  </si>
  <si>
    <t>Sum of "Federal Capital Income," "State Capital Income," "Local Capital Income," and "Private Capital Income."</t>
  </si>
  <si>
    <t>6. Total Population Served</t>
  </si>
  <si>
    <t>Sum of "Legal Service Area Population Served" and "Contracted Municipality Population Served."</t>
  </si>
  <si>
    <t>PART VII: OPERATING EXPENDITURES </t>
  </si>
  <si>
    <t>Operating expenditures are the costs necessary to support the provision of library services. List only expenditures paid from library operating budgets for the fiscal year. </t>
  </si>
  <si>
    <t>A. Staff Expenditures </t>
  </si>
  <si>
    <t>1. Salaries and Wages</t>
  </si>
  <si>
    <t>Include salaries and wages for all library staff (including plant operations, security, and maintenenace staff) for the fiscal year. Include salaries and wages before deductions, but exclude employee benefits.</t>
  </si>
  <si>
    <t>2. Employee Benefits</t>
  </si>
  <si>
    <t>The benefits outside of salaries and wages paid and accruing to employees (including plant operations, security, and maintenance staff), regardless of whether the benefits or equivalent cash options are available to all employees. Include amounts for direct, paid employee benefits including Social Security, retirement, medical insurance, life insurance, guaranteed disability income protection, unemployment compensation, workmen's compensation, tuition, and housing benefits.</t>
  </si>
  <si>
    <t>3. Total Staff Expenditures</t>
  </si>
  <si>
    <t>Sum of "Salaries and Wages" and "Employee Benefits."</t>
  </si>
  <si>
    <t>B. Collection Expenditures </t>
  </si>
  <si>
    <t>4. Print Materials Expenditure</t>
  </si>
  <si>
    <t>Report all operating expenditures for the following print materials: books, serial backfiles, current serial subscriptions, government documents, and any other print acquisitions.</t>
  </si>
  <si>
    <t>5. Other Materials Expenditure</t>
  </si>
  <si>
    <t>Report all operating expenditures for other materials, such as microform, audio, video, DVD, and materials in new forms.</t>
  </si>
  <si>
    <t>6. Electronic Materials Expenditure</t>
  </si>
  <si>
    <t>Report all operating expenditures for electronic (digital) materials. Types of electronic materials include e-books, e-series (including journals), government documents, databases (including locally mounted, full text or not), electronic files, reference tools, scores, maps, or pictures in electronic or digital format, including magazines digitized by the library. Electronic materials can be distributed on magnetic tape, diskettes, computer software, CD-ROM, or other portable digital carrier, and can be accessed via a computer, via access to the internet, or by using an ebook reader. Include equipment expenditures that are inseparably bundled into the price of the information service product. Include expenditures for materials held locally and for remote electronic materials for which permanent or temporary access rights have been acquired. Include expenditures for database licenses. [NOTE: Based on ISO 2789 definition.]</t>
  </si>
  <si>
    <t>7. Total Collection Expenditures</t>
  </si>
  <si>
    <t>Report the sum of all expenditures for print materials, electronic materials, and other materials.</t>
  </si>
  <si>
    <t>C. Other Operating Expenditures </t>
  </si>
  <si>
    <t>8. Other Operating Expenditures</t>
  </si>
  <si>
    <t>Include all expenditures other than those for staff and collection. Include expenses such as binding supplies, repair or replacement of existing furnishings and equipment, and costs incurred in the operation and maintenance of physical facilities. DO NOT report items included as capital expenditures in Part VIII.</t>
  </si>
  <si>
    <t>D. Total Operating Expenditures </t>
  </si>
  <si>
    <t>9. Total Operating Expenditures</t>
  </si>
  <si>
    <t>Sum of "Total Staff Expenditures," "Total Collection Expenditures," and "Other Operating Expenditures."</t>
  </si>
  <si>
    <t>PART VIII: CAPITAL OUTLAY </t>
  </si>
  <si>
    <t>Include expenditures paid from your library capital budget for the acquisition of or additions to fixed assets such as building sites, new building additions, equipment, initial book stock, furnishings for new or expanded buildings, or vehicles, and other onetime, extraordinary projects. This excludes replacement and repair of existing furnishings and equipment, regular purchase of library materials, and investments for capital appreciation. </t>
  </si>
  <si>
    <t>1. Capital Expenditures for Electronic Access</t>
  </si>
  <si>
    <t>Report capital expenditures associated with access to electronic materials and services. Include computer hardware and software used to support library operations, whether purchased or leased, mainframe or microcomputer. DO NOT report items included as operating expenditures in Part VII.</t>
  </si>
  <si>
    <t>2. Furnishings and Equipment Expenditures</t>
  </si>
  <si>
    <t>Report major expenditures for all furniture and equipment other than for electronic access. Examples include shelving, patron tables and chairs, photocopiers, etc. DO NOT report items included as operating expenditures in Part VII.</t>
  </si>
  <si>
    <t>3. Building Expenditures</t>
  </si>
  <si>
    <t>Report expenditures for the acquisition of or additions to building sites, new building additions, and library facilities. DO NOT report items included as operating expenditures in Part VII.</t>
  </si>
  <si>
    <t>4. Other Capital Expenditures</t>
  </si>
  <si>
    <t>Report expenditures for capital items other than for electronic access, furnishings and equipment, or building.</t>
  </si>
  <si>
    <t>5. Total Capital Expenditures</t>
  </si>
  <si>
    <t>Sum of "Capital Expenditures for Electronic Access," "Furnishings and Equipment Expenditures," "Building Expenditures," and "Other Capital Expenditures."</t>
  </si>
  <si>
    <t>PART IX: LIBRARY COLLECTION </t>
  </si>
  <si>
    <t>For each category, report the number of units (items) owned at the end of the reporting year. Items which are packaged together as a unit, e.g. two compact disks, two films, or two videocassettes, and which are generally checked out as a unit, should be counted as one physical unit. Subscriptions should be counted by number of subscriptions and not the number of issues. </t>
  </si>
  <si>
    <t>1. Number of Print Materials</t>
  </si>
  <si>
    <t>Report a single figure that includes both of the following:</t>
  </si>
  <si>
    <t>Books in print. Books are non-serial printed publications (including music and maps) that are bound in hard or soft covers, or in loose-leaf format. Include non-serial government documents. Report the number of physical units, including duplicates. For smaller libraries, if volume data are not available, count the number of titles. Books packaged together as a unit (e.g., a 2-volume set) and checked out as a unit are counted as one physical unit.</t>
  </si>
  <si>
    <t>Serial backfiles in print. Serials are publications issued in successive parts, usually at regular intervals and intended to be continued indefinitely. Serials include periodicals (magazines), newspapers, annuals (reports, yearbooks, etc.), journals, memoirs, proceedings, transactions of societies, and numbered monographic series. Government documents and reference tools are often issued as serials. Except for the current volume, count unbound serials as a volume when the library has at least half of the issues in a publisher's volume. Report the number of physical units, including duplicates. For smaller libraries, if volume data are not available, count the number of titles. Serials packaged together as a unit (e.g., a 2-volume serial monograph) and checked out as a unit are counted as one physical unit.</t>
  </si>
  <si>
    <t>2. Audio (Physical Units)</t>
  </si>
  <si>
    <t>Materials on which sounds (only) are stored (recorded) and that can be reproduced (played back) mechanically or electronically, or both. Included are records, audiocassettes, audio cartridges, audio disks, audio reels, talking books, and other sound recordings.</t>
  </si>
  <si>
    <t>3. Audio (Downloadable Units)</t>
  </si>
  <si>
    <t>These are downloadable electronic files on which sounds (only) are stored (recorded) and that can be reproduced (played back) electronically. Audio ��“ Downloadable Units may be loaned to users on portable devices or by transmitting the contents to the user’s personal computer for a limited time. Include Audio ��“ Downloadable Units held locally and remote Audio ��“ Downloadable Units for which permanent or temporary access rights have been acquired.</t>
  </si>
  <si>
    <t>Report the number of units. Report only items that have been purchased, leased or licensed by the library, a consortium, the state library, a donor or other person or entity. Included items must only be accessible with a valid library card or at a physical library location; inclusion in the catalog is not required. Do not include items freely available without monetary exchange. Do not include items that are permanently retained by the patron; count only items that have a set circulation period where it is available for their use. Count electronic materials at the administrative entity level; do not duplicate numbers at each branch.</t>
  </si>
  <si>
    <t>NOTE: For purposes of this survey, units are defined as “units of acquisition or purchase”. The “unit” is determined by considering whether the item is restricted to a finite number of simultaneous users or an unlimited number of simultaneous users.</t>
  </si>
  <si>
    <t>Finite simultaneous use: units of acquisition or purchase is based on the number of simultaneous usages acquired (equivalent to purchasing multiple copies of a single title). For example, if a library acquires a title with rights to a single user at a time, then that item is counted as 1 “unit”; if the library acquires rights to a single title for 10 simultaneous users, then that item is counted as 10 “units. For smaller libraries, if volume data are not available, the number of titles may be counted.</t>
  </si>
  <si>
    <t>Unlimited simultaneous use: units of acquisition or purchase is based on the number of titles acquired. For example, if a library acquires a collection of 100 books with unlimited simultaneous users, then that collection would be counted as 100 “units”.</t>
  </si>
  <si>
    <t>NOTE: If your patrons have access to eAudio materials through your library's membership in a digital consortium include the number of items available in this count.</t>
  </si>
  <si>
    <t>4. Video (Physical Units)</t>
  </si>
  <si>
    <t>Materials on which pictures are recorded, with or without sound. Electronic playback reproduces pictures, with or without sound, using a television receiver or monitor.</t>
  </si>
  <si>
    <t>5. Video (Downloadable Units)</t>
  </si>
  <si>
    <t>These are downloadable electronic files on which moving pictures are recorded, with or without sound. Electronic playback reproduces pictures, with or without sound, using a television receiver, computer monitor or video-enabled mobile device. Video ��“ Downloadable Units may be loaned to users on portable devices or by transmitting the contents to the user’s personal computer for a limited time. Include Video ��“ Downloadable Units held locally and remote Video ��“ Downloadable Units for which permanent or temporary access rights have been acquired.</t>
  </si>
  <si>
    <t>Finite simultaneous use: units of acquisition or purchase is based on the number of simultaneous usages acquired (equivalent to purchasing multiple copies of a single title). For example, if a library acquires a title with rights to a single user at a time, then that item is counted as 1 “unit”; if the library acquires rights to a single title for 10 simultaneous users, then that item is counted as 10 “units.” For smaller libraries, if volume data are not available, the number of titles may be counted.</t>
  </si>
  <si>
    <t>NOTE: If your patrons have access to eVideo materials through your library's membership in a digital consortium include the number of items available in this count.</t>
  </si>
  <si>
    <t>6. Subscriptions (Non-electronic)</t>
  </si>
  <si>
    <t>Refers to the arrangements by which, in return for a sum paid in advance, periodicals, newspapers, or other serials are provided for a specified number of issues. These are print and microfilm subscriptions only; not electronic or digital subscriptions. Count subscriptions purchased from the library's budget and those donated to the library as gifts. Count titles, including duplicates, not individual issues.</t>
  </si>
  <si>
    <t>7. Electronic Books (E-Books)</t>
  </si>
  <si>
    <t>E-books are digital documents (including those digitized by the library), licensed or not, where searchable text is prevalent, and which can be seen in analogy to a printed book (monograph). E-books are loaned to users on portable devices (e-book readers) or by transmitting the contents to the user’s personal computer for a limited time. Include e-books held locally and remote e-books for which permanent or temporary access rights have been acquired. Report the number of electronic units, including duplicates, at the administrative entity level; do not duplicate unit count for each branch. E-books packaged together as a unit (e.g., multiple titles on a single ebook reader) and checked out as a unit are counted as one unit.</t>
  </si>
  <si>
    <t>Finite simultaneous use: units of acquisition or purchase is based on the number of simultaneous usages acquired (equivalent to purchasing multiple copies of a single title). For example, if a library acquires a title with rights to a single user at a time, then that item is counted as 1 “unit”; if the library acquires rights to a single title for 10 simultaneous users, then that item is counted as 10 “units”. For smaller libraries, if volume data are not available, the number of titles may be counted.</t>
  </si>
  <si>
    <t>NOTE: If your patrons have access to eBooks through your library's membership in a digital consortium include the number of items available in this count.</t>
  </si>
  <si>
    <t>8. Total Collection (Physical / Electronic Units)</t>
  </si>
  <si>
    <t>Databases </t>
  </si>
  <si>
    <t>9. Local Electronic Collections</t>
  </si>
  <si>
    <t>Formerly collected as databases an electronic collection is a collection of electronically stored data or unit records (facts, bibliographic data, abstracts, texts, photographs, music, video, etc.) with a common user interface and software for the retrieval and use of the data. An electronic collection may be organized, curated and electronically shared by the library, or rights may be provided by a third party vendor. An electronic collection may be funded by the library, or provided through cooperative agreement with other libraries, or through the State Library. Do not include electronic collections that are provided by third parties and freely linked to on the web.</t>
  </si>
  <si>
    <t>DO NOT COUNT MeL RESOURCES. No formal agreements or charges are associated with MeL databases provided by Library of Michigan to public libraries.</t>
  </si>
  <si>
    <t>10. State Electronic Collections</t>
  </si>
  <si>
    <t>Updated : 2015-10-30 11:34:03</t>
  </si>
  <si>
    <t>11. Other Electronic Collections</t>
  </si>
  <si>
    <t>Formerly collected as databases, an electronic collection is a collection of electronically stored data or unit records (facts, bibliographic data, abstracts, texts, photographs, music, video, etc.) with a common user interface and software for the retrieval and use of the data. An electronic collection may be organized, curated and electronically shared by the library, or rights may be provided by a third party vendor. An electronic collection may be funded by the library, or provided through cooperative agreement with other libraries, or through the State Library. Do not include electronic collections that are provided by third parties and freely linked to on the web.</t>
  </si>
  <si>
    <t>12. Total Electronic Collections</t>
  </si>
  <si>
    <t>Updated : 2015-10-13 14:01:41</t>
  </si>
  <si>
    <t>PART X: LIBRARY SERVICES </t>
  </si>
  <si>
    <t>If exact amount is unknown, enter an estimate. If an actual count of the data element is unavailable, determine an annual estimate by an actual count during a typical week in October and multiplying the count by 52. A "Typical week" is a time that is neither unusually busy nor unusually slow. Avoid holiday times, vacation periods for key staff, or days when unusual events are taking place in the community or the library. Choose a week in which the library is open its regular hours. Include seven consecutive calendar days, from Sunday through Saturday (or whenever the library is usually open). This technique can be used to estimate library visits, circulation transactions, reference transactions, interlibrary loans and number of users of electronic resources. </t>
  </si>
  <si>
    <t>A. Library Visits </t>
  </si>
  <si>
    <t>1. Library Visits</t>
  </si>
  <si>
    <t>The total number of persons entering the library for whatever purpose during the year.</t>
  </si>
  <si>
    <t>2. Virtual Visits to the Library's Website</t>
  </si>
  <si>
    <t>Updated : 2016-01-29 10:32:30</t>
  </si>
  <si>
    <t>The number of engagements initiated by all visitors from inside or outside the library to the library's web resources.</t>
  </si>
  <si>
    <t>B. Summer Reading Participation </t>
  </si>
  <si>
    <t>1. Do You Offer a Structured Summer Education and Enrichment Program for Children?</t>
  </si>
  <si>
    <t>Updated : 2015-10-13 13:27:31</t>
  </si>
  <si>
    <t>A structured summer reading program, meaning the program has a beginning and end as well as the ability to track continued participant participation though the program. (e.g. are they still actively participating at some level at the end of the program).</t>
  </si>
  <si>
    <t>2. How Many Children Signed Up For This Program</t>
  </si>
  <si>
    <t>Updated : 2015-09-10 12:25:22</t>
  </si>
  <si>
    <t>The number of children ages 0-12 signed up for this program.</t>
  </si>
  <si>
    <t>3. How Many Children Completed This Program</t>
  </si>
  <si>
    <t>Updated : 2015-09-10 12:25:36</t>
  </si>
  <si>
    <t>The number of children ages 0-12 completing this program.</t>
  </si>
  <si>
    <t>4. Do You Offer a Structured Summer Education and Enrichment Program for Teens?</t>
  </si>
  <si>
    <t>Updated : 2015-10-13 13:27:42</t>
  </si>
  <si>
    <t>5. How Many Teens Signed Up For This Program?</t>
  </si>
  <si>
    <t>Updated : 2015-09-10 12:26:15</t>
  </si>
  <si>
    <t>The number of children ages 13-18 signed up for this program.</t>
  </si>
  <si>
    <t>6. How Many Teens Completed This Program</t>
  </si>
  <si>
    <t>Updated : 2015-09-10 12:27:41</t>
  </si>
  <si>
    <t>The number of teens ages 13-18 completing this program.</t>
  </si>
  <si>
    <t>Updated : 2015-09-10 12:35:53</t>
  </si>
  <si>
    <t>C. Program Attendance </t>
  </si>
  <si>
    <t>1. Summer Reading Events Children Programs</t>
  </si>
  <si>
    <t>Updated : 2016-02-10 15:27:21</t>
  </si>
  <si>
    <t>The number of programs (a program being defined as: a single event on a single data at a single location. Please count staff run events such as lapsit, bookclub, etc...) offered specifically as a part of the library's Summer Reading Program intended primarily for persons 12 years old or younger, followed by the count of the audience at these events. Include all persons who attend, whether adults or children.</t>
  </si>
  <si>
    <t>2. Summer Reading Events Children Attendance</t>
  </si>
  <si>
    <t>Updated : 2016-02-10 15:27:47</t>
  </si>
  <si>
    <t>The count of all participants 12 and under who have signed up for the summer reading program.</t>
  </si>
  <si>
    <t>3. Summer Reading Events Teens Programs</t>
  </si>
  <si>
    <t>Updated : 2016-02-10 15:25:07</t>
  </si>
  <si>
    <t>The number of programs (a program being defined as: a single event on a single date at a single location--please count staff run events, such as lapsit, bookclub, etc...) offered specifically as part of the library's Summer Reading Program intended primarily for persons 13 and over, up to and including those of 18 years of age, followed by the count of the audience at these events. Include all persons who attend, whether adults or children.</t>
  </si>
  <si>
    <t>4. Summer Reading Events Teens Attendance</t>
  </si>
  <si>
    <t>Updated : 2016-02-10 15:25:41</t>
  </si>
  <si>
    <t>The count of all participants 13 and over, up to and including those of 18 years of age who have signed up for the summer reading program.</t>
  </si>
  <si>
    <t>5. Children's Programs</t>
  </si>
  <si>
    <t>Updated : 2016-08-15 13:48:43</t>
  </si>
  <si>
    <t>6. Children's Program Attendance</t>
  </si>
  <si>
    <t>Updated : 2016-08-15 13:48:59</t>
  </si>
  <si>
    <t>The count of the audience at all programs intended primarily for persons 12 years old or younger (excluding all summer reading program events). Include all persons who attend, whether adults or children.</t>
  </si>
  <si>
    <t>7. Do any of your programs focus on early literacy for ages 0-5?</t>
  </si>
  <si>
    <t>Updated : 2016-08-15 13:49:21</t>
  </si>
  <si>
    <t>Does this library offer early literacy programming for children 0 to 5 years of age? This can include programs aimed at children or programs aimed at parents &amp; caregivers.</t>
  </si>
  <si>
    <t>8. How many of the Children's Programs reported in #1 &amp; #5 were focused on Early Literacy?</t>
  </si>
  <si>
    <t>Updated : 2016-08-15 14:34:33</t>
  </si>
  <si>
    <t>Record the number of Early Literacy enrichment programs offered. This total WILL NOT be added to the total programs offered. Please continue to record children's summer reading programs in #1 and all other children's programs in question #5. This also includes programs offered to caregivers in support of early literacy</t>
  </si>
  <si>
    <t>9. Report Total Early Literacy Program Attendance for the programs reported in #8.</t>
  </si>
  <si>
    <t>Updated : 2016-08-15 13:55:02</t>
  </si>
  <si>
    <t>Record the number of Early Literacy enrichment programs attended. This total will not be added to the total children's program attendance, please continue to record total summer reading events attendance in #2 &amp; children's program attendance in question #6. Include adult caregivers attendance in addition to 0-5 year old attendees.</t>
  </si>
  <si>
    <t>10. Teen Programs</t>
  </si>
  <si>
    <t>Updated : 2015-12-21 11:56:45</t>
  </si>
  <si>
    <t>11. Teen Program Attendance</t>
  </si>
  <si>
    <t>Updated : 2016-02-10 15:22:12</t>
  </si>
  <si>
    <t>The count of the audience at all programs intended primarily for young adult persons (approximately 13-18 years old), excluding all summer reading program events. Include all persons who attend, whether adults or children.</t>
  </si>
  <si>
    <t>12. Adult Programs</t>
  </si>
  <si>
    <t>Updated : 2015-09-10 13:12:04</t>
  </si>
  <si>
    <t>13. Adult Program Attendance</t>
  </si>
  <si>
    <t>Updated : 2015-09-10 13:12:17</t>
  </si>
  <si>
    <t>The count of the audience at all programs intended primarily for persons 19 years old or older. Include all persons who attend, whether adults or children.</t>
  </si>
  <si>
    <t>14. General Programs</t>
  </si>
  <si>
    <t>Updated : 2015-09-10 13:12:30</t>
  </si>
  <si>
    <t>15. General Program Attendance</t>
  </si>
  <si>
    <t>Updated : 2015-09-10 13:12:45</t>
  </si>
  <si>
    <t>The count of the audience at all programs not included in the above categories. Include all persons who attend, whether adults or children.</t>
  </si>
  <si>
    <t>Updated : 2015-09-10 13:12:57</t>
  </si>
  <si>
    <t>Sum of "Summer Reading Event Children," "Summer Reading Event Teens," "Children's Program," "Young Adult Program," "Adult Program," and "General Program."</t>
  </si>
  <si>
    <t>Updated : 2015-09-10 13:13:13</t>
  </si>
  <si>
    <t>D. Circulation Transactions </t>
  </si>
  <si>
    <t>1. Circulation of Children's Materials</t>
  </si>
  <si>
    <t>Updated : 2016-08-15 14:36:27</t>
  </si>
  <si>
    <t>The total annual circulation of all children's materials in all formats to all users, including renewals but excluding electronic materials. Physical Materials Only</t>
  </si>
  <si>
    <t>2. Circulation of Non-Children's Materials</t>
  </si>
  <si>
    <t>Updated : 2016-08-15 14:36:38</t>
  </si>
  <si>
    <t>The total annual circulation of all non-children's materials in all formats to all users, including renewals but excluding electronic materials. Physical Materials Only</t>
  </si>
  <si>
    <t>3. Circulation of Electronic Materials</t>
  </si>
  <si>
    <t>Updated : 2016-08-15 14:36:49</t>
  </si>
  <si>
    <t>Electronic Materials are materials that are distributed digitally and can be accessed via a computer, the Internet, or a portable device such as an e-book reader. Types of electronic materials include e-books and downloadable electronic video and audio files. Electronic Materials packaged together as a unit and checked out as a unit are counted as one unit. Include circulation only for items counted under Electronic Books (E-Books), Audio-Downloadable Units and Video-Downloadable Units in the LIBRARY COLLECTION data elements 450-460. Do not include items not specified under those definitions.</t>
  </si>
  <si>
    <t>DO NOT INCLUDE DATABASES (Now known as electronic collections) IN THIS COUNT!!!</t>
  </si>
  <si>
    <t>4. Electronic Collection (Dbase) Use</t>
  </si>
  <si>
    <t>Updated : 2016-08-15 15:07:27</t>
  </si>
  <si>
    <t>The number of full-content units or descriptive records examined, downloaded, or otherwise supplied to user, from online library resources that the library provides that require user authentication but do not have a circulation period (DO NOT INCLUDE MeL RESOURCES). Examining documents is defined as having the full text of a digital document or electronic resource downloaded or fully displayed. Some electronic services do not require downloading as simply viewing documents is normally sufficient for user needs. </t>
  </si>
  <si>
    <t>Include use both inside and outside the library. Do not include use of the OPAC or website. [based on NISO Standard Z39.7 (2013) #7.7, p. 43] </t>
  </si>
  <si>
    <t>Rationale: This proposed new element is designed to capture the use of online content provided by libraries, but does not require a traditional circulation. Primarily, this element will capture the use of paid, commercial databases. The definition borrowed heavily from NISO standards.</t>
  </si>
  <si>
    <t>DO NOT INCLUDE RESOURCES ACCESSED THROUGH MeL.</t>
  </si>
  <si>
    <t>5. Total Physical Circulation</t>
  </si>
  <si>
    <t>Updated : 2016-08-15 14:43:28</t>
  </si>
  <si>
    <t>Calculated field combining Circulation of Children's Materials and Non-Children's Materials</t>
  </si>
  <si>
    <t>6. Total Electronic Content Use</t>
  </si>
  <si>
    <t>Updated : 2016-08-15 14:43:39</t>
  </si>
  <si>
    <t>This proposed new element would be a calculated field: the total of Circulation of Electronic Material AND Local Database Use.</t>
  </si>
  <si>
    <t>7. Total Circulation</t>
  </si>
  <si>
    <t>Updated : 2016-08-15 14:37:42</t>
  </si>
  <si>
    <t>The total annual circulation of all library materials of all types, including renewals and electronic materials. Count all materials in all formats that are charged out for use outside the library. Interlibrary loan transactions included are only items borrowed that are then circulated to users. Do not include items checked out to another library.</t>
  </si>
  <si>
    <t>This total will also include Local Database Use</t>
  </si>
  <si>
    <t>E. Reference Transactions </t>
  </si>
  <si>
    <t>8. Reference Transactions</t>
  </si>
  <si>
    <t>Updated : 2016-08-15 14:37:56</t>
  </si>
  <si>
    <t>Reference Transactions are information consultations in which library staff recommend, interpret, evaluate, and/or use information resources to help others to meet particular information needs.</t>
  </si>
  <si>
    <t>A reference transaction includes information and referral service as well as unscheduled individual instruction and assistance in using information sources (including web sites and computer-assisted instruction).Count Readers Advisory questions as reference transactions.</t>
  </si>
  <si>
    <t>Information sources include (a) printed and non-printed material; (b) machine-readable databases (including computer-assisted instruction); (c) the library's own catalogs and other holdings records; (d) other libraries and institutions through communication or referral; and (e) persons both inside and outside the library.</t>
  </si>
  <si>
    <t>When a staff member uses information gained from previous use of information sources to answer a question, the transaction is reported as a reference transaction even if the source is not consulted again.</t>
  </si>
  <si>
    <t>If a contact includes both reference and directional services, it should be reported as one reference transaction. Duration should not be an element in determining whether a transaction is a reference transaction.</t>
  </si>
  <si>
    <t>NOTE: It is essential that libraries do not include directional transactions in the report of reference transactions. Directional transactions include giving instruction for locating staff, library users, or physical features within the library. Examples of directional transactions include, “Where is the reference librarian? Where is Susan Smith? Where is the rest room? Where are the 600s? Can you help me make a photocopy?”</t>
  </si>
  <si>
    <t>If an annual count of reference transactions is unavailable, count reference transactions during a typical week or weeks, and multiply the count to represent an annual estimate. [If the sample is done four times a year, multiply totals by 13, if done twice a year multiply by 26, if done only annually, multiply by 52.] A "typical week" is a time that is neither unusually busy nor unusually slow. Avoid holiday times, vacation periods for key staff, or days when unusual events are taking place in the community or in the library. Choose a week in which the library is open its regular hours.</t>
  </si>
  <si>
    <t>F. Interlibrary Loans </t>
  </si>
  <si>
    <t>9. Number of items loaned to other libraries</t>
  </si>
  <si>
    <t>Updated : 2016-08-15 14:38:09</t>
  </si>
  <si>
    <t>These are library materials, or copies of the materials, provided by one library to another upon request. The libraries involved in interlibrary loans are not under the same library administration. These data are reported as annual figures.</t>
  </si>
  <si>
    <t>10. Number of items borrowed from other libraries</t>
  </si>
  <si>
    <t>Updated : 2016-08-15 14:38:20</t>
  </si>
  <si>
    <t>These are library materials, or copies of the materials, received by one library from another upon request. The libraries involved in the interlibrary loans are not under the same library administration. These data are reported as annual figures.</t>
  </si>
  <si>
    <t>G. Uses (Sessions) of Public Internet Computers Per Year </t>
  </si>
  <si>
    <t>11. Uses (Sessions) of Public Internet Computers Per Year</t>
  </si>
  <si>
    <t>Updated : 2016-08-15 14:38:32</t>
  </si>
  <si>
    <t>Report the total number of uses (sessions) for Internet computers in the library during the last year. If the computer is used for multiple purposes (Internet access, word-processing, OPAC, etc.) and Internet uses (sessions) cannot be isolated, report all usage. A typical week or other reliable estimate may be used to determine the annual number. Sign-up forms or Web-log tracking software also may provide a reliable count of uses (sessions). Note: The number of uses (sessions) may be counted manually, using registration logs. Count each use (session) for public internet computers, regardless of the amount of time spent on the computer. A use (session) on the library's public internet computer(s)three times a year would count as three uses (sessions). Software such as "Historian" can also be used to track the number of uses (sessions) at each public internet computer. If the data element is collected as a weekly figure, multiply that figure by 52 to annualize it.</t>
  </si>
  <si>
    <t>H. Uses of Wireless Logins Per Year </t>
  </si>
  <si>
    <t>12. Uses of Wireless Logins Per Year</t>
  </si>
  <si>
    <t>Updated : 2016-08-15 14:38:48</t>
  </si>
  <si>
    <t>Report the number of wireless sessions provided by the library wireless service annually. If the data element is collected as a weekly figure, multiply that figure by 50 to annualize it.</t>
  </si>
  <si>
    <t>I. Number of active registered borrowers </t>
  </si>
  <si>
    <t>13. Number of active registered borrowers</t>
  </si>
  <si>
    <t>Updated : 2016-08-15 14:39:01</t>
  </si>
  <si>
    <t>A registered borrower is a library user who has applied for and received an identification number or card from the public library that has established conditions under which the user may borrow library materials and gain access to other library resources. Note: Files should have been purged within the past three (3) years.</t>
  </si>
  <si>
    <t>J. Internet Terminals </t>
  </si>
  <si>
    <t>Click on Outlet's name to enter internet information for each outlet. Do not include service outlets that are not administered by the library system. </t>
  </si>
  <si>
    <t>Library Name</t>
  </si>
  <si>
    <t>Verified</t>
  </si>
  <si>
    <t>Total </t>
  </si>
  <si>
    <t>14. Total Staff Terminals</t>
  </si>
  <si>
    <t>Updated : 2016-08-15 14:39:18</t>
  </si>
  <si>
    <t>Include computers used for all purposes, including OPAC, word processing, Internet, etc.</t>
  </si>
  <si>
    <t>15. Total Public Terminals</t>
  </si>
  <si>
    <t>Updated : 2016-08-15 14:39:29</t>
  </si>
  <si>
    <t>Include computers used for all purposes including OPAC, word processing, Internet, etc.</t>
  </si>
  <si>
    <t>PART XI: CERTIFICATION OF PUBLIC LIBRARY PERSONNEL </t>
  </si>
  <si>
    <t>This section verifies that appropriate numbers and levels of staff worked at the library during the reporting year to meet the minimum standards for State Aid. Only staff that are CERTIFIED by the Library of Michigan and worked during the REPORTING YEAR need to be listed on this page. If a new CERTIFIED staff member was hired during the reporting year, please provide a hire date. If a certified staff member (including the director) left during the reporting year, please provide a departure date. For example, if the directorship changed during the reporting year, list the previous director with his or her departure date and the current director immediately below with his or her date of hire. </t>
  </si>
  <si>
    <t>A. Director Certification Information </t>
  </si>
  <si>
    <t>Please enter the information for your current director. </t>
  </si>
  <si>
    <t>1. Director's Name</t>
  </si>
  <si>
    <t>Updated : 2015-10-07 10:28:49</t>
  </si>
  <si>
    <t>2. Title</t>
  </si>
  <si>
    <t>Updated : 2015-10-07 10:28:55</t>
  </si>
  <si>
    <t>3. Director's SSN (last 4 digits)</t>
  </si>
  <si>
    <t>Updated : 2016-02-26 15:16:01</t>
  </si>
  <si>
    <t>4. Director's Avg Hrs Worked/Week</t>
  </si>
  <si>
    <t>Updated : 2015-10-07 10:29:33</t>
  </si>
  <si>
    <t>5. Director's Certification Level (I, II, III, or IV)</t>
  </si>
  <si>
    <t>Updated : 2015-10-07 10:29:39</t>
  </si>
  <si>
    <t>Level Certificate:</t>
  </si>
  <si>
    <t>I Librarian's Permanent Professional Certificate</t>
  </si>
  <si>
    <t>II Librarian's Professional Certificate</t>
  </si>
  <si>
    <t>III Limited Professional</t>
  </si>
  <si>
    <t>IV Paraprofessional</t>
  </si>
  <si>
    <t>6. Director's Hire Date</t>
  </si>
  <si>
    <t>Updated : 2015-10-07 10:29:45</t>
  </si>
  <si>
    <t>7. Director's Departure Date</t>
  </si>
  <si>
    <t>Updated : 2015-10-07 10:29:51</t>
  </si>
  <si>
    <t>B. Library Personnel Certification Information </t>
  </si>
  <si>
    <t>Name</t>
  </si>
  <si>
    <t>Last 4 Digits Social Security Number</t>
  </si>
  <si>
    <t>Updated : 2016-02-26 15:16:23</t>
  </si>
  <si>
    <t>Avg. Hours Worked Per Week</t>
  </si>
  <si>
    <t>Certification Level RECEIVED from Library of Michigan</t>
  </si>
  <si>
    <t>Hire Date if New in Reporting Year</t>
  </si>
  <si>
    <t>Departure Date in Reporting Year</t>
  </si>
  <si>
    <t>Head of Entity</t>
  </si>
  <si>
    <t>Verified Information?</t>
  </si>
  <si>
    <t>Certification Expiration Date</t>
  </si>
  <si>
    <t>PART XII: NONRESIDENT FEES INFORMATION </t>
  </si>
  <si>
    <t>1. Non-Resident Fee</t>
  </si>
  <si>
    <t>Updated : 2015-10-13 13:00:01</t>
  </si>
  <si>
    <t>Do you charge a nonresident fee to any person living outside of your service area?</t>
  </si>
  <si>
    <t>2. NR Fee Annual or One Time</t>
  </si>
  <si>
    <t>Updated : 2015-10-13 13:00:13</t>
  </si>
  <si>
    <t>Is your fee annual or one-time (choose one)</t>
  </si>
  <si>
    <t>3. Fee schedule or non-resident rate (Example: $35/family;$25/individual)</t>
  </si>
  <si>
    <t>Fee Schedule or NonResident rate (e.g. $35/family; $35/individual)</t>
  </si>
  <si>
    <t>4. Full Library Service for Contracted Municipalities</t>
  </si>
  <si>
    <t>Updated : 2015-10-13 13:00:24</t>
  </si>
  <si>
    <t>The same array of library services you provided for your jurisdictional population and the rest of your legal service population.</t>
  </si>
  <si>
    <t>PART XIII: TECHNOLOGY </t>
  </si>
  <si>
    <t>1. Total number of computers that the library provides for use by staff only</t>
  </si>
  <si>
    <t>2. Total number of computers that the library provides for public use</t>
  </si>
  <si>
    <t>3. Is your library circulation system automated?</t>
  </si>
  <si>
    <t>Updated : 2015-10-13 12:57:45</t>
  </si>
  <si>
    <t>4. Total income budgeted for the library's Integrated Library System</t>
  </si>
  <si>
    <t>Enter the total amount spent per year on the integrated library system or ILS.</t>
  </si>
  <si>
    <t>5. Circulation System Vendor Name</t>
  </si>
  <si>
    <t>6. Is your card catalog automated?</t>
  </si>
  <si>
    <t>Updated : 2015-10-13 12:53:11</t>
  </si>
  <si>
    <t>7. Card Catalog Vendor Name</t>
  </si>
  <si>
    <t>8. Patron Initiated ILL</t>
  </si>
  <si>
    <t>Updated : 2015-10-13 12:53:25</t>
  </si>
  <si>
    <t>9. Do you offer a Remote Catalog?</t>
  </si>
  <si>
    <t>Updated : 2015-10-13 12:54:04</t>
  </si>
  <si>
    <t>10. Do you provide Self Checkout?</t>
  </si>
  <si>
    <t>Updated : 2015-10-13 12:54:14</t>
  </si>
  <si>
    <t>11. Is your Circulation System Shared?</t>
  </si>
  <si>
    <t>Updated : 2015-10-13 12:54:27</t>
  </si>
  <si>
    <t>12. Do you provide Wireless Internet Access to Patrons?</t>
  </si>
  <si>
    <t>Updated : 2015-10-13 12:54:37</t>
  </si>
  <si>
    <t>PART XIV: SALARY AND BENEFIT INFORMATION </t>
  </si>
  <si>
    <t>Using the library's current pay scale for each position, indicate the average hours worked per week, and the minimum and maximum salary range for one year for the classifications listed for the main library. Report salary information for filled and vacant positions. Position titles may not reflect exact titles used at your library; use the closest match. </t>
  </si>
  <si>
    <t>1. Director Average Hrs/Wk</t>
  </si>
  <si>
    <t>2. Director Minimum Salary</t>
  </si>
  <si>
    <t>3. Director Maximum Salary</t>
  </si>
  <si>
    <t>4. Assistant Director Average Hrs/Wk</t>
  </si>
  <si>
    <t>5. Assistant Director Minimum Salary</t>
  </si>
  <si>
    <t>6. Assistant Director Maximum Salary</t>
  </si>
  <si>
    <t>7. Department/Branch Head Average Hrs/Wk</t>
  </si>
  <si>
    <t>8. Department/Branch Head Minimum Salary</t>
  </si>
  <si>
    <t>9. Department/Branch Head Maximum Salary</t>
  </si>
  <si>
    <t>10. Senior Level Librarian Average Hrs/Wk</t>
  </si>
  <si>
    <t>11. Senior Level Librarian Minimum Salary</t>
  </si>
  <si>
    <t>12. Senior Level Librarian Maximum Salary</t>
  </si>
  <si>
    <t>13. Entry Level Librarian Average Hrs/Wk</t>
  </si>
  <si>
    <t>14. Entry Level Librarian Minimum Salary</t>
  </si>
  <si>
    <t>15. Entry Level Librarian Maximum Salary</t>
  </si>
  <si>
    <t>16. Computer/Technology Specialist Average Hrs/Wk</t>
  </si>
  <si>
    <t>17. Computer/Technology Specialist Minimum Salary</t>
  </si>
  <si>
    <t>18. Computer/Technology Specialist Maximum Salary</t>
  </si>
  <si>
    <t>19. Library Clerk Average Hrs/Wk</t>
  </si>
  <si>
    <t>20. Library Clerk Minimum Salary</t>
  </si>
  <si>
    <t>21. Library Clerk Maximum Salary</t>
  </si>
  <si>
    <t>Director Benefit Information </t>
  </si>
  <si>
    <t>22. Health Insurance</t>
  </si>
  <si>
    <t>Updated : 2015-10-13 12:43:46</t>
  </si>
  <si>
    <t>23. Dental Insurance</t>
  </si>
  <si>
    <t>Updated : 2015-10-13 12:44:06</t>
  </si>
  <si>
    <t>24. Life Insurance</t>
  </si>
  <si>
    <t>Updated : 2015-10-13 12:44:20</t>
  </si>
  <si>
    <t>25. Pension</t>
  </si>
  <si>
    <t>Updated : 2015-10-13 12:44:35</t>
  </si>
  <si>
    <t>26. Vision Insurance</t>
  </si>
  <si>
    <t>Updated : 2015-10-13 12:44:48</t>
  </si>
  <si>
    <t>27. Paid Sick Leave</t>
  </si>
  <si>
    <t>Updated : 2015-10-13 12:45:04</t>
  </si>
  <si>
    <t>28. Paid Vacation</t>
  </si>
  <si>
    <t>Updated : 2015-10-13 12:45:31</t>
  </si>
  <si>
    <t>29. Paid Holidays</t>
  </si>
  <si>
    <t>Updated : 2015-10-13 12:45:47</t>
  </si>
  <si>
    <t>30. Deferred Compensation</t>
  </si>
  <si>
    <t>Updated : 2015-10-13 12:46:10</t>
  </si>
  <si>
    <t>31. Disability</t>
  </si>
  <si>
    <t>Updated : 2015-10-13 12:46:32</t>
  </si>
  <si>
    <t>32. Paid Personal Days</t>
  </si>
  <si>
    <t>Updated : 2015-10-13 12:46:44</t>
  </si>
  <si>
    <t>33. Longevity</t>
  </si>
  <si>
    <t>Updated : 2015-10-13 12:47:07</t>
  </si>
  <si>
    <t>34. Other Benefits</t>
  </si>
  <si>
    <t>PART XV: CURRENT MILLAGE INFORMATION </t>
  </si>
  <si>
    <t>1. Millage Rate</t>
  </si>
  <si>
    <t>Enter the rate approved by the voters in your service area. This is the maximum that the library may levy.</t>
  </si>
  <si>
    <t>2. Millage Authorization Date</t>
  </si>
  <si>
    <t>Enter the month and year when the voters in your service area approved the millage.</t>
  </si>
  <si>
    <t>3. Millage Rate Levied</t>
  </si>
  <si>
    <t>Enter the rate levied for library services. This is the rate that actually was used in determining property taxes.</t>
  </si>
  <si>
    <t>4. Millage Expiration Date</t>
  </si>
  <si>
    <t>Enter the month and year when the millage will expire. If the millage was voted "in perpetuity," leave date blank and indicate this by checking the box in the "Millage Voted in Perpetuity" field.</t>
  </si>
  <si>
    <t>5. Millage Voted in Perpetuity</t>
  </si>
  <si>
    <t>Updated : 2015-10-13 13:02:00</t>
  </si>
  <si>
    <t>If the millage was voted "in perpetuity," leave "Millage Expiration Date" blank and check this box.</t>
  </si>
  <si>
    <t>6. Millage is for Operating, Debt, or Both?</t>
  </si>
  <si>
    <t>Please indicate whether the millage is for operating, debt, or both.</t>
  </si>
  <si>
    <t>7. Millage Rate (2)</t>
  </si>
  <si>
    <t>8. Millage Authorization Date (2)</t>
  </si>
  <si>
    <t>9. Millage Rate Levied (2)</t>
  </si>
  <si>
    <t>10. Millage Expiration Date (2)</t>
  </si>
  <si>
    <t>Enter the month and year when the millage will expire. If the millage was voted "in perpetuity," leave date blank and indicate this by checking the box in the "Millage Voted in Perpetuity (2)" field.</t>
  </si>
  <si>
    <t>11. Millage Voted in Perpetuity (2)</t>
  </si>
  <si>
    <t>Updated : 2015-10-13 13:02:11</t>
  </si>
  <si>
    <t>If the millage was voted "in perpetuity," leave "Millage Expiration Date (2)" blank and check this box.</t>
  </si>
  <si>
    <t>12. Millage is for Operating, Debt, or Both? (2)</t>
  </si>
  <si>
    <t>13. Millage Rate (3)</t>
  </si>
  <si>
    <t>14. Millage Authorization Date (3)</t>
  </si>
  <si>
    <t>15. Millage Rate Levied (3)</t>
  </si>
  <si>
    <t>16. Millage Expiration Date (3)</t>
  </si>
  <si>
    <t>Enter the month and year when the millage will expire. If the millage was voted "in perpetuity," leave date blank and indicate this by checking the box in the "Millage Voted in Perpetuity (3)" field.</t>
  </si>
  <si>
    <t>17. Millage Voted in Perpetuity (3)</t>
  </si>
  <si>
    <t>Updated : 2015-10-13 13:02:25</t>
  </si>
  <si>
    <t>If the millage was voted "in perpetuity," leave "Millage Expiration Date (3)" blank and check this box.</t>
  </si>
  <si>
    <t>18. Millage is for Operating, Debt, or Both? (3)</t>
  </si>
  <si>
    <t>PART XVI: TRUSTEES REPORT </t>
  </si>
  <si>
    <t>List the names of the Trustees who are serving at the time this report is filed. Be sure to complete the "Term Expires" column. DO NOT LIST TRUSTEES WHOSE TERMS HAVE EXPIRED AT THE TIME OF FILING THIS REPORT. Library Staff Members may not be voting members of the Board of Trustees. School District Libraries organized under Public Act 451, 1976, must report both their legal School Board and their Library Advisory Board. If a Board position is vacant at the time of filing, make an entry for the vacant position to verify that your Board will have the appropriate number of Trustees. When the position is filled, contact Kathy Webb to report the new Board member and term at webbk1@michigan.gov or (517) 373-1303. </t>
  </si>
  <si>
    <t>Trustee Title</t>
  </si>
  <si>
    <t>Current title of the Board member.</t>
  </si>
  <si>
    <t>Trustee Name</t>
  </si>
  <si>
    <t>List the legal name for each current Board of Trustees member, beginning with officers. Enter "vacant" for vacancies, then contact the Library of Michigan when the positions are filled. Include School Board and Advisory Board, if applicable.</t>
  </si>
  <si>
    <t>Trustee Email</t>
  </si>
  <si>
    <t>Trustee Voting Member?</t>
  </si>
  <si>
    <t>Indicate if trustee is a voting member of your Board.</t>
  </si>
  <si>
    <t>Trustee Address 1</t>
  </si>
  <si>
    <t>Provide a current street address for each Board member. Include street number and street name.</t>
  </si>
  <si>
    <t>Trustee Address 2</t>
  </si>
  <si>
    <t>Provide a current PO Box, if appropriate, for each Board Member.</t>
  </si>
  <si>
    <t>Trustee City</t>
  </si>
  <si>
    <t>The city or town in which the Board Member resides.</t>
  </si>
  <si>
    <t>Trustee State</t>
  </si>
  <si>
    <t>The state in which the Board Member currently resides.</t>
  </si>
  <si>
    <t>Trustee Zip Code</t>
  </si>
  <si>
    <t>The five-digit postal zip code.</t>
  </si>
  <si>
    <t>Trustee Phone</t>
  </si>
  <si>
    <t>Provide the phone number at which each individual can be reached during the day.</t>
  </si>
  <si>
    <t>Trustee Term Expires</t>
  </si>
  <si>
    <t>List the month and year the term for each Board member will expire. If an individual serves on the Board as a function of his municipal office, write "ex officio" in this space.</t>
  </si>
  <si>
    <t>Trustee Verified Info</t>
  </si>
  <si>
    <t>Select the option which describes how your library Board members are designated </t>
  </si>
  <si>
    <t>The Library Trustees are:</t>
  </si>
  <si>
    <t>Updated : 2016-08-15 14:45:46</t>
  </si>
  <si>
    <t>Check the box which describes how your library board members are designated. Only one box should be checked.</t>
  </si>
  <si>
    <t>PART XVII: CERTIFICATION OF INFORMATION </t>
  </si>
  <si>
    <t>Please complete the fields below </t>
  </si>
  <si>
    <t>1. Authorized Official Name</t>
  </si>
  <si>
    <t>2. Authorized Official Title</t>
  </si>
  <si>
    <t>3. Authorized Official Phone Number</t>
  </si>
  <si>
    <t>4. Authorized Official Email</t>
  </si>
  <si>
    <t>5. Authorized Official Sign Date</t>
  </si>
  <si>
    <t>6. Contact Person Name</t>
  </si>
  <si>
    <t>7. Contact Person Title</t>
  </si>
  <si>
    <t>8. Contact Person Phone Number</t>
  </si>
  <si>
    <t>9. Contact Person Email</t>
  </si>
  <si>
    <t>10. Contact Person Sign Date</t>
  </si>
  <si>
    <t>11. Director Name</t>
  </si>
  <si>
    <t>12. Director Phone Number</t>
  </si>
  <si>
    <t>13. Director Email</t>
  </si>
  <si>
    <t>14. Director Sign Date</t>
  </si>
  <si>
    <t>I certify that the information provided on this application truly represents the library’s activities and that the financial information can be verified by audit.</t>
  </si>
  <si>
    <t>Updated : 2015-09-09 09:42:40</t>
  </si>
  <si>
    <t>To be completed by the library director or other authorized library official that can certify that this information is correct and can be verified by audit.</t>
  </si>
  <si>
    <t>I certify that state aid funds were used for expenses that are consistent with at LEAST ONE of the purposes AND ONE of the priorities of the Library Services &amp; Technology Act (20 USC Chapter 72 Subchapter II). Click on this text to see the full list of Pur</t>
  </si>
  <si>
    <t>Updated : 2015-09-09 09:43:15</t>
  </si>
  <si>
    <t>Purposes (Sec. 9121.) </t>
  </si>
  <si>
    <t>(1) To enhance coordination among Federal programs that relate to library and information services; </t>
  </si>
  <si>
    <t>(2) To promote continuous improvement in library services in all types of libraries in order to better serve the people of the United States; </t>
  </si>
  <si>
    <t>(3) To facilitate access to resources in all types of libraries for the purpose of cultivating an educated and informed citizenry; </t>
  </si>
  <si>
    <t>(4) To encourage resource sharing among all types of libraries for the purpose of achieving economical and efficient delivery of library services to the public; </t>
  </si>
  <si>
    <t>(5) To promote literacy, education, and lifelong learning and to enhance and expand the services and resources provided by libraries, including those services and resources relating to workforce development, 21st century skills, and digital literacy skills; </t>
  </si>
  <si>
    <t>(6) To enhance the skills of the current library workforce and to recruit future professionals to the field of library and information services; </t>
  </si>
  <si>
    <t>(7) To ensure the preservation of knowledge and library collections in all formats and to enable libraries to serve their communities during disasters; </t>
  </si>
  <si>
    <t>(8) To enhance the role of libraries within the information infrastructure of the United States in order to support research, education, and innovation; and national, State, regional, and international collaborations and networks.</t>
  </si>
  <si>
    <t>Priorities (Sec. 9141.) </t>
  </si>
  <si>
    <t>(1) Expanding services for learning and access to information and educational resources in a variety of formats, in all types of libraries, for individuals of all ages in order to support such individuals’ needs for education, life-long learning, workforce development, and digital literacy skills; </t>
  </si>
  <si>
    <t>(2) Establishing or enhancing electronic and other linkages and improved coordination among and between libraries and entities, as described in 9134(b)(6), for the purpose of improving the quality of and access to library and information services; </t>
  </si>
  <si>
    <t>(3) (A) Providing training and professional development, including continuing education, to enhance the skills of the current library workforce and leadership, and advance the delivery of library and information services; and (B) enhancing efforts to recruit future professionals to the field of library and information services; </t>
  </si>
  <si>
    <t>(4) Developing public and private partnerships with other agencies and community-based organizations; </t>
  </si>
  <si>
    <t>(5) Targeting library services to individuals of diverse geographic, cultural and socioeconomic backgrounds, to individuals with disabilities, and to individuals with limited functional literacy or information skills; </t>
  </si>
  <si>
    <t>(6) Targeting library and information services to persons having difficulty using a library and to underserved urban and rural communities, including children (from birth through age 17) from families with incomes below the poverty line…; </t>
  </si>
  <si>
    <t>(7) Developing library services that provide all users access to information through local, State, regional, national, and international collaborations and networks; and </t>
  </si>
  <si>
    <t>(8) Carrying out other activities consistent with the purposes set forth in section 9121, as described in the State library administrative agency’s plan.</t>
  </si>
  <si>
    <t>Summary and Definitions</t>
  </si>
  <si>
    <t>Outlets, Hours, SqFt</t>
  </si>
  <si>
    <t>Collections</t>
  </si>
  <si>
    <t>Services</t>
  </si>
  <si>
    <t>Programs</t>
  </si>
  <si>
    <t>Technology</t>
  </si>
  <si>
    <t>Millages</t>
  </si>
  <si>
    <t>Operating Income</t>
  </si>
  <si>
    <t>Operating Expenditures</t>
  </si>
  <si>
    <t>Capital Income and Expenditure</t>
  </si>
  <si>
    <t>Nonresident Fees</t>
  </si>
  <si>
    <t>Staffing</t>
  </si>
  <si>
    <t>Directors Salary</t>
  </si>
  <si>
    <t>Other Employee Salary</t>
  </si>
  <si>
    <t>AVERAGE</t>
  </si>
  <si>
    <t>TOTAL</t>
  </si>
  <si>
    <t>Total Libraries Reporting (N)</t>
  </si>
  <si>
    <t>Total</t>
  </si>
  <si>
    <t>Average</t>
  </si>
  <si>
    <t>Column1</t>
  </si>
  <si>
    <t>Circulation Per Capita</t>
  </si>
  <si>
    <t>Circulation Per Cardholder</t>
  </si>
  <si>
    <t>eMaterials per capita</t>
  </si>
  <si>
    <t>Reference Transactions Per Capita</t>
  </si>
  <si>
    <t>Physical Library Visits</t>
  </si>
  <si>
    <t>DNR</t>
  </si>
  <si>
    <t>Physical Visits Per Capita</t>
  </si>
  <si>
    <t>Physical Visits Per Cardholder</t>
  </si>
  <si>
    <t>Children's Events (Non Summer Reading)</t>
  </si>
  <si>
    <t>Children's Events Attendance (Non Summer Reading)</t>
  </si>
  <si>
    <t>Teen Events (Non Summer Reading)</t>
  </si>
  <si>
    <t>Teen  Events Attendance(Non Summer Reading)</t>
  </si>
  <si>
    <t>Total Summer Reading Program Participation</t>
  </si>
  <si>
    <t>How Many Children Signed Up For The Summer Reading  Program</t>
  </si>
  <si>
    <t>How Many Teens Signed Up For The Summer Reading Program?</t>
  </si>
  <si>
    <t>Total Children's Events</t>
  </si>
  <si>
    <t>Total Children's Event Attendance</t>
  </si>
  <si>
    <t>Adult Events</t>
  </si>
  <si>
    <t>Adult Event Attendance</t>
  </si>
  <si>
    <t>General Events</t>
  </si>
  <si>
    <t>General Event Attendance</t>
  </si>
  <si>
    <t>Total Events</t>
  </si>
  <si>
    <r>
      <t xml:space="preserve"> Early Literacy Programs (</t>
    </r>
    <r>
      <rPr>
        <b/>
        <sz val="8"/>
        <rFont val="Arial"/>
        <family val="2"/>
      </rPr>
      <t>Subset of Children's programming)</t>
    </r>
  </si>
  <si>
    <r>
      <t xml:space="preserve"> Early Literacy Program Attendance (</t>
    </r>
    <r>
      <rPr>
        <b/>
        <sz val="8"/>
        <rFont val="Arial"/>
        <family val="2"/>
      </rPr>
      <t>Subset of Children's programming)</t>
    </r>
  </si>
  <si>
    <t>Class 1</t>
  </si>
  <si>
    <t>Class 2</t>
  </si>
  <si>
    <t>Class 3</t>
  </si>
  <si>
    <t>Class 4</t>
  </si>
  <si>
    <t>Class 5</t>
  </si>
  <si>
    <t>Class 6</t>
  </si>
  <si>
    <t>Children's Circ Per Capita</t>
  </si>
  <si>
    <t>eMaterials Circ Per capita</t>
  </si>
  <si>
    <t>attend percapita</t>
  </si>
  <si>
    <t>CM Other Local Operating Income</t>
  </si>
  <si>
    <t>Total Operating Income Per Capita</t>
  </si>
  <si>
    <t>Total Operating Expenditures Per Capita</t>
  </si>
  <si>
    <t>Director Benefits by Class</t>
  </si>
  <si>
    <t>Township</t>
  </si>
  <si>
    <t>Type</t>
  </si>
  <si>
    <t>Millage Rate</t>
  </si>
  <si>
    <t>Millage Authorization Date</t>
  </si>
  <si>
    <t>Millage Rate Levied</t>
  </si>
  <si>
    <t>Millage Expiration Date</t>
  </si>
  <si>
    <t>Millage Voted in Perpetuity</t>
  </si>
  <si>
    <t>Millage is for Operating, Debt, or Both?</t>
  </si>
  <si>
    <t>Millage Rate (2)</t>
  </si>
  <si>
    <t>Millage Authorization Date (2)</t>
  </si>
  <si>
    <t>Millage Rate Levied (2)</t>
  </si>
  <si>
    <t>Millage Expiration Date (2)</t>
  </si>
  <si>
    <t>Millage Voted in Perpetuity (2)</t>
  </si>
  <si>
    <t>Millage is for Operating, Debt, or Both? (2)</t>
  </si>
  <si>
    <t>Millage Rate (3)</t>
  </si>
  <si>
    <t>Millage Authorization Date (3)</t>
  </si>
  <si>
    <t>Millage Rate Levied (3)</t>
  </si>
  <si>
    <t>Millage Expiration Date (3)</t>
  </si>
  <si>
    <t>Millage Voted in Perpetuity (3)</t>
  </si>
  <si>
    <t>Millage is for Operating, Debt, or Both? (3)</t>
  </si>
  <si>
    <t>Addison</t>
  </si>
  <si>
    <t>Nov 1984</t>
  </si>
  <si>
    <t>None</t>
  </si>
  <si>
    <t>Both</t>
  </si>
  <si>
    <t>2014-11-04</t>
  </si>
  <si>
    <t>12/30/23</t>
  </si>
  <si>
    <t>City of Adrian</t>
  </si>
  <si>
    <t>District</t>
  </si>
  <si>
    <t>05/2015</t>
  </si>
  <si>
    <t>2025</t>
  </si>
  <si>
    <t>Operating</t>
  </si>
  <si>
    <t>City of Croswell</t>
  </si>
  <si>
    <t>2016-08-02</t>
  </si>
  <si>
    <t>2020-12-31</t>
  </si>
  <si>
    <t>2026-12-31</t>
  </si>
  <si>
    <t>Littlefield</t>
  </si>
  <si>
    <t>City of Albion</t>
  </si>
  <si>
    <t>Apr 2007</t>
  </si>
  <si>
    <t>Dec 2016</t>
  </si>
  <si>
    <t>Jan 2010</t>
  </si>
  <si>
    <t>Dec 2018</t>
  </si>
  <si>
    <t>both</t>
  </si>
  <si>
    <t>112000</t>
  </si>
  <si>
    <t>122010</t>
  </si>
  <si>
    <t>Helena</t>
  </si>
  <si>
    <t>Aug-13</t>
  </si>
  <si>
    <t>Aug-24</t>
  </si>
  <si>
    <t>City of Allegan</t>
  </si>
  <si>
    <t>Aug 10</t>
  </si>
  <si>
    <t>Dec 19</t>
  </si>
  <si>
    <t>Aug 16</t>
  </si>
  <si>
    <t>Dec 2045</t>
  </si>
  <si>
    <t>Aug- 2016</t>
  </si>
  <si>
    <t>Aug - 2021</t>
  </si>
  <si>
    <t>Arcada</t>
  </si>
  <si>
    <t>aug 2004</t>
  </si>
  <si>
    <t>2024-08-30</t>
  </si>
  <si>
    <t>debt</t>
  </si>
  <si>
    <t>july 2011</t>
  </si>
  <si>
    <t>operating</t>
  </si>
  <si>
    <t>2026-08-02</t>
  </si>
  <si>
    <t>January 2015</t>
  </si>
  <si>
    <t>December 2024</t>
  </si>
  <si>
    <t>December 2019</t>
  </si>
  <si>
    <t>City of Belding</t>
  </si>
  <si>
    <t>August 1998</t>
  </si>
  <si>
    <t>December 2018</t>
  </si>
  <si>
    <t>City of Ann Arbor</t>
  </si>
  <si>
    <t>Jun-96</t>
  </si>
  <si>
    <t>Aug 66</t>
  </si>
  <si>
    <t>Aug 92</t>
  </si>
  <si>
    <t>Elba</t>
  </si>
  <si>
    <t>8-5-14</t>
  </si>
  <si>
    <t>8-5-2022</t>
  </si>
  <si>
    <t>Oct.-2017</t>
  </si>
  <si>
    <t>Oct.-2018</t>
  </si>
  <si>
    <t>City of Auburn Hills</t>
  </si>
  <si>
    <t>November 1984</t>
  </si>
  <si>
    <t>Ross</t>
  </si>
  <si>
    <t>Aug-18</t>
  </si>
  <si>
    <t>Aug-28</t>
  </si>
  <si>
    <t>City of Wyandotte</t>
  </si>
  <si>
    <t>Jun-94</t>
  </si>
  <si>
    <t>City of Bad Axe</t>
  </si>
  <si>
    <t>May 2007</t>
  </si>
  <si>
    <t>Never</t>
  </si>
  <si>
    <t>City of Birmingham</t>
  </si>
  <si>
    <t>Nov-98</t>
  </si>
  <si>
    <t>Fork</t>
  </si>
  <si>
    <t>November 2016</t>
  </si>
  <si>
    <t>December 2021</t>
  </si>
  <si>
    <t>Nov-12</t>
  </si>
  <si>
    <t>Dec-16</t>
  </si>
  <si>
    <t>Bath Township</t>
  </si>
  <si>
    <t>2018-11-11</t>
  </si>
  <si>
    <t>2021-01-01</t>
  </si>
  <si>
    <t>Nov-14</t>
  </si>
  <si>
    <t>Dec-19</t>
  </si>
  <si>
    <t>Aug-00</t>
  </si>
  <si>
    <t>Saint James / Peaine</t>
  </si>
  <si>
    <t>Nov-15</t>
  </si>
  <si>
    <t>Kearney</t>
  </si>
  <si>
    <t>Mar-97</t>
  </si>
  <si>
    <t>City of Belleville</t>
  </si>
  <si>
    <t>11-2010</t>
  </si>
  <si>
    <t>12-2021</t>
  </si>
  <si>
    <t>2016-11-08</t>
  </si>
  <si>
    <t>12-2036</t>
  </si>
  <si>
    <t>Debt</t>
  </si>
  <si>
    <t>Benton</t>
  </si>
  <si>
    <t>Nov-11</t>
  </si>
  <si>
    <t>Dec-22</t>
  </si>
  <si>
    <t>Apr-45</t>
  </si>
  <si>
    <t>City of Frankfort</t>
  </si>
  <si>
    <t>5/2014</t>
  </si>
  <si>
    <t>Dec-09</t>
  </si>
  <si>
    <t>Dec-12</t>
  </si>
  <si>
    <t>Village</t>
  </si>
  <si>
    <t>2016</t>
  </si>
  <si>
    <t>May 2027</t>
  </si>
  <si>
    <t>City of Berkley</t>
  </si>
  <si>
    <t>Oronoko</t>
  </si>
  <si>
    <t>2017-08-08</t>
  </si>
  <si>
    <t>City of Bessemer</t>
  </si>
  <si>
    <t>Weldon</t>
  </si>
  <si>
    <t>2018-08-07</t>
  </si>
  <si>
    <t>2023-08-07</t>
  </si>
  <si>
    <t>City of Clawson</t>
  </si>
  <si>
    <t>May-11</t>
  </si>
  <si>
    <t>May-09</t>
  </si>
  <si>
    <t>July-20</t>
  </si>
  <si>
    <t>Bloomfield</t>
  </si>
  <si>
    <t>April 1982</t>
  </si>
  <si>
    <t>August 2002</t>
  </si>
  <si>
    <t>November 2014</t>
  </si>
  <si>
    <t>November 2024</t>
  </si>
  <si>
    <t>City of Boyne City, Evangeline, Eveline, Wilson and Bay</t>
  </si>
  <si>
    <t>Aug 96</t>
  </si>
  <si>
    <t>Aug 04</t>
  </si>
  <si>
    <t>Aug-91</t>
  </si>
  <si>
    <t>in perpetuity</t>
  </si>
  <si>
    <t>Aug-2014</t>
  </si>
  <si>
    <t>Aug-2023</t>
  </si>
  <si>
    <t>Brandon</t>
  </si>
  <si>
    <t>Sept 1987</t>
  </si>
  <si>
    <t>1996</t>
  </si>
  <si>
    <t>June 1996</t>
  </si>
  <si>
    <t>Bridgeport</t>
  </si>
  <si>
    <t>8/5/2014</t>
  </si>
  <si>
    <t>12/2019</t>
  </si>
  <si>
    <t>City of Bridgman</t>
  </si>
  <si>
    <t>Apr 1966</t>
  </si>
  <si>
    <t>Aug 2016</t>
  </si>
  <si>
    <t>2022-12-31</t>
  </si>
  <si>
    <t>Bingham</t>
  </si>
  <si>
    <t>Dec. 2016</t>
  </si>
  <si>
    <t>Dec. 2025</t>
  </si>
  <si>
    <t>City of Brighton</t>
  </si>
  <si>
    <t>May 1994</t>
  </si>
  <si>
    <t>November 2015</t>
  </si>
  <si>
    <t>November 2035</t>
  </si>
  <si>
    <t>Maple Valley</t>
  </si>
  <si>
    <t>Sept-16</t>
  </si>
  <si>
    <t>Aug-20</t>
  </si>
  <si>
    <t>Sep-16</t>
  </si>
  <si>
    <t>City of Buchanan</t>
  </si>
  <si>
    <t>Aug-10</t>
  </si>
  <si>
    <t>Aug-15</t>
  </si>
  <si>
    <t>City of Vassar</t>
  </si>
  <si>
    <t>November 2018</t>
  </si>
  <si>
    <t>November 2022</t>
  </si>
  <si>
    <t>January 2022</t>
  </si>
  <si>
    <t>School District</t>
  </si>
  <si>
    <t>Aug-03</t>
  </si>
  <si>
    <t>08/1986</t>
  </si>
  <si>
    <t>City of Lansing</t>
  </si>
  <si>
    <t>8/2018</t>
  </si>
  <si>
    <t>12/2021</t>
  </si>
  <si>
    <t>Indianfields</t>
  </si>
  <si>
    <t>May 2010</t>
  </si>
  <si>
    <t>May 2019</t>
  </si>
  <si>
    <t>Jun-02</t>
  </si>
  <si>
    <t>Jun-10</t>
  </si>
  <si>
    <t>Carp Lake</t>
  </si>
  <si>
    <t>Aug-14</t>
  </si>
  <si>
    <t>Dec-18</t>
  </si>
  <si>
    <t>Bloomer</t>
  </si>
  <si>
    <t>August 2010</t>
  </si>
  <si>
    <t>December 2020</t>
  </si>
  <si>
    <t>LaGrange</t>
  </si>
  <si>
    <t>Jan. 1993</t>
  </si>
  <si>
    <t>City of Cedar Springs</t>
  </si>
  <si>
    <t>Nov-36</t>
  </si>
  <si>
    <t>June-04</t>
  </si>
  <si>
    <t>City of Center Line</t>
  </si>
  <si>
    <t>Oct-99</t>
  </si>
  <si>
    <t>Oct-18</t>
  </si>
  <si>
    <t>Gun Plain, Cooper, Plainwell</t>
  </si>
  <si>
    <t>Feb-1991</t>
  </si>
  <si>
    <t>Aug-2024</t>
  </si>
  <si>
    <t>Aug-2019</t>
  </si>
  <si>
    <t>2043</t>
  </si>
  <si>
    <t>City of Charlevoix</t>
  </si>
  <si>
    <t>June 97</t>
  </si>
  <si>
    <t>June 04</t>
  </si>
  <si>
    <t>12/31/24</t>
  </si>
  <si>
    <t>June 24</t>
  </si>
  <si>
    <t>City of Charlotte</t>
  </si>
  <si>
    <t>Aug-06</t>
  </si>
  <si>
    <t>Dec-17</t>
  </si>
  <si>
    <t>12/2015</t>
  </si>
  <si>
    <t>City of Cheboygan</t>
  </si>
  <si>
    <t>Feb 95</t>
  </si>
  <si>
    <t>Jun 04</t>
  </si>
  <si>
    <t>Jun 23</t>
  </si>
  <si>
    <t>May 10</t>
  </si>
  <si>
    <t>10-1999</t>
  </si>
  <si>
    <t>May-04</t>
  </si>
  <si>
    <t>Dec-23</t>
  </si>
  <si>
    <t>11/1994</t>
  </si>
  <si>
    <t>City of Mount Pleasant</t>
  </si>
  <si>
    <t>August 2018</t>
  </si>
  <si>
    <t>December 2038</t>
  </si>
  <si>
    <t>Independence</t>
  </si>
  <si>
    <t>Dec-21</t>
  </si>
  <si>
    <t>Aug 1934</t>
  </si>
  <si>
    <t>Aug-98</t>
  </si>
  <si>
    <t>City of Coleman</t>
  </si>
  <si>
    <t>August 2008</t>
  </si>
  <si>
    <t>5-31-02</t>
  </si>
  <si>
    <t>2021</t>
  </si>
  <si>
    <t>Dec 2017</t>
  </si>
  <si>
    <t>Aug 2003</t>
  </si>
  <si>
    <t>Dec 2023</t>
  </si>
  <si>
    <t>Columbia</t>
  </si>
  <si>
    <t>September 2016</t>
  </si>
  <si>
    <t>September 2020</t>
  </si>
  <si>
    <t>Commerce</t>
  </si>
  <si>
    <t>nov 94</t>
  </si>
  <si>
    <t>nov 16</t>
  </si>
  <si>
    <t>Nov 22</t>
  </si>
  <si>
    <t>Caledonia</t>
  </si>
  <si>
    <t>08/16</t>
  </si>
  <si>
    <t>08/20</t>
  </si>
  <si>
    <t>11/94</t>
  </si>
  <si>
    <t>MAR 1993</t>
  </si>
  <si>
    <t>City of Coopersville</t>
  </si>
  <si>
    <t>Nov. 1994</t>
  </si>
  <si>
    <t>Perpituity</t>
  </si>
  <si>
    <t>10/03/2015</t>
  </si>
  <si>
    <t>2032</t>
  </si>
  <si>
    <t>City of Grayling</t>
  </si>
  <si>
    <t>Aug-12</t>
  </si>
  <si>
    <t>Dec 2022</t>
  </si>
  <si>
    <t>Melrose</t>
  </si>
  <si>
    <t>Croton</t>
  </si>
  <si>
    <t>Nov-2012</t>
  </si>
  <si>
    <t>Nov-2018</t>
  </si>
  <si>
    <t>City of Crystal Falls</t>
  </si>
  <si>
    <t>12/2020</t>
  </si>
  <si>
    <t>0.0000</t>
  </si>
  <si>
    <t>Curtis</t>
  </si>
  <si>
    <t>08/2016</t>
  </si>
  <si>
    <t>12/2024</t>
  </si>
  <si>
    <t>Aug-16</t>
  </si>
  <si>
    <t>Aug-27</t>
  </si>
  <si>
    <t>Nov 1999</t>
  </si>
  <si>
    <t>Nov 2013</t>
  </si>
  <si>
    <t>City of Dearborn</t>
  </si>
  <si>
    <t>Nov. 2011</t>
  </si>
  <si>
    <t>Nov. 2021</t>
  </si>
  <si>
    <t>July 2018</t>
  </si>
  <si>
    <t>2019-06-01</t>
  </si>
  <si>
    <t>Aug 2020</t>
  </si>
  <si>
    <t>12/2006</t>
  </si>
  <si>
    <t>Barry, Hope, Prairieville</t>
  </si>
  <si>
    <t>De Tour</t>
  </si>
  <si>
    <t>City of Detroit</t>
  </si>
  <si>
    <t>July 1994</t>
  </si>
  <si>
    <t>August 2014</t>
  </si>
  <si>
    <t>June 2025</t>
  </si>
  <si>
    <t>Aug 2014</t>
  </si>
  <si>
    <t>Dec 2029</t>
  </si>
  <si>
    <t>Scio</t>
  </si>
  <si>
    <t>June 1994</t>
  </si>
  <si>
    <t>2016-11-07</t>
  </si>
  <si>
    <t>2023-01-01</t>
  </si>
  <si>
    <t>Nov 2005</t>
  </si>
  <si>
    <t>Dec 2024</t>
  </si>
  <si>
    <t>City of Iron Mountain</t>
  </si>
  <si>
    <t>Windsor</t>
  </si>
  <si>
    <t>11/2010</t>
  </si>
  <si>
    <t>2019-12-31</t>
  </si>
  <si>
    <t>City of Dowagiac</t>
  </si>
  <si>
    <t>Mar-04</t>
  </si>
  <si>
    <t>2018-11-06</t>
  </si>
  <si>
    <t>12/31/2037</t>
  </si>
  <si>
    <t>Baltimore</t>
  </si>
  <si>
    <t>Nov-74</t>
  </si>
  <si>
    <t>City of East Lansing</t>
  </si>
  <si>
    <t>7/2013</t>
  </si>
  <si>
    <t>7/2023</t>
  </si>
  <si>
    <t>City of Eastpointe</t>
  </si>
  <si>
    <t>jul-17</t>
  </si>
  <si>
    <t>jun-18</t>
  </si>
  <si>
    <t>Nov-16</t>
  </si>
  <si>
    <t>Nov-20</t>
  </si>
  <si>
    <t>City of Eaton Rapids</t>
  </si>
  <si>
    <t>11/2018</t>
  </si>
  <si>
    <t>2027</t>
  </si>
  <si>
    <t>Aug 2035</t>
  </si>
  <si>
    <t>1990</t>
  </si>
  <si>
    <t>2015</t>
  </si>
  <si>
    <t>08/2001</t>
  </si>
  <si>
    <t>Elk</t>
  </si>
  <si>
    <t>08/2020</t>
  </si>
  <si>
    <t>Duplain</t>
  </si>
  <si>
    <t>Nov. 2012</t>
  </si>
  <si>
    <t>City of Escanaba</t>
  </si>
  <si>
    <t>City of Evart</t>
  </si>
  <si>
    <t>April 1952</t>
  </si>
  <si>
    <t>perpetuity</t>
  </si>
  <si>
    <t>April-52</t>
  </si>
  <si>
    <t>June 2000</t>
  </si>
  <si>
    <t>00/00/0000</t>
  </si>
  <si>
    <t>May 2006</t>
  </si>
  <si>
    <t>City of Farmington Hills</t>
  </si>
  <si>
    <t>Nov 2011</t>
  </si>
  <si>
    <t>Dec 2032</t>
  </si>
  <si>
    <t>May 2005</t>
  </si>
  <si>
    <t>Manlius</t>
  </si>
  <si>
    <t>Aug 12</t>
  </si>
  <si>
    <t>Dec 21</t>
  </si>
  <si>
    <t>City of Ferndale</t>
  </si>
  <si>
    <t>August 2016</t>
  </si>
  <si>
    <t>2027-06-30</t>
  </si>
  <si>
    <t>5/6/1997</t>
  </si>
  <si>
    <t>PERP</t>
  </si>
  <si>
    <t>DEBT</t>
  </si>
  <si>
    <t>08/2010</t>
  </si>
  <si>
    <t>City of Flat Rock</t>
  </si>
  <si>
    <t>12/1994</t>
  </si>
  <si>
    <t>07/01/2014</t>
  </si>
  <si>
    <t>6/30/2019</t>
  </si>
  <si>
    <t>City of Flint</t>
  </si>
  <si>
    <t>AUG 2002</t>
  </si>
  <si>
    <t>AUG 2010</t>
  </si>
  <si>
    <t>DEC 2021</t>
  </si>
  <si>
    <t>NOV 2015</t>
  </si>
  <si>
    <t>Forsyth</t>
  </si>
  <si>
    <t>Handy</t>
  </si>
  <si>
    <t>Nov-22</t>
  </si>
  <si>
    <t>Jul-94</t>
  </si>
  <si>
    <t>November 2008</t>
  </si>
  <si>
    <t>Mar-73</t>
  </si>
  <si>
    <t>Jun-05</t>
  </si>
  <si>
    <t>Jun-06</t>
  </si>
  <si>
    <t>Jun-04</t>
  </si>
  <si>
    <t>City of Fraser</t>
  </si>
  <si>
    <t>4/1963</t>
  </si>
  <si>
    <t>Irving</t>
  </si>
  <si>
    <t xml:space="preserve"> 2016</t>
  </si>
  <si>
    <t>Dec 2026</t>
  </si>
  <si>
    <t>City of Fremont</t>
  </si>
  <si>
    <t>Sep-97</t>
  </si>
  <si>
    <t>11/2016</t>
  </si>
  <si>
    <t>Charleston</t>
  </si>
  <si>
    <t>08-06-2014</t>
  </si>
  <si>
    <t>12-31-2018</t>
  </si>
  <si>
    <t>11/98</t>
  </si>
  <si>
    <t>11/24</t>
  </si>
  <si>
    <t>11/62</t>
  </si>
  <si>
    <t>City of Garden City</t>
  </si>
  <si>
    <t>July 2012</t>
  </si>
  <si>
    <t>July 2031</t>
  </si>
  <si>
    <t>City of Hudsonville</t>
  </si>
  <si>
    <t>Aug-04</t>
  </si>
  <si>
    <t>July-26</t>
  </si>
  <si>
    <t>2016-04-01</t>
  </si>
  <si>
    <t>2017-03-31</t>
  </si>
  <si>
    <t>Georgetown</t>
  </si>
  <si>
    <t>City of Gladstone</t>
  </si>
  <si>
    <t>2016-08</t>
  </si>
  <si>
    <t>8/2016</t>
  </si>
  <si>
    <t>Goodland</t>
  </si>
  <si>
    <t>8/2/16</t>
  </si>
  <si>
    <t>2020</t>
  </si>
  <si>
    <t>City of Midland</t>
  </si>
  <si>
    <t>City of Grand Ledge</t>
  </si>
  <si>
    <t>8/2010</t>
  </si>
  <si>
    <t>City of Grand Rapids</t>
  </si>
  <si>
    <t>Jan 1994</t>
  </si>
  <si>
    <t>Jul 1998</t>
  </si>
  <si>
    <t>Jun 2018</t>
  </si>
  <si>
    <t>City of Grant</t>
  </si>
  <si>
    <t>06/2002</t>
  </si>
  <si>
    <t>06/02</t>
  </si>
  <si>
    <t>12/2026</t>
  </si>
  <si>
    <t>12/2027</t>
  </si>
  <si>
    <t>City of Grosse Pointe Farms</t>
  </si>
  <si>
    <t>September 1994</t>
  </si>
  <si>
    <t>11/06/2018</t>
  </si>
  <si>
    <t>12/31/2027</t>
  </si>
  <si>
    <t>City of Muskegon</t>
  </si>
  <si>
    <t>June 2001</t>
  </si>
  <si>
    <t>June 2021</t>
  </si>
  <si>
    <t>Nov. 2014</t>
  </si>
  <si>
    <t>2030</t>
  </si>
  <si>
    <t>August 2021</t>
  </si>
  <si>
    <t>Feb-00</t>
  </si>
  <si>
    <t>Feb-09</t>
  </si>
  <si>
    <t>City of Hamtramck</t>
  </si>
  <si>
    <t>1991</t>
  </si>
  <si>
    <t>permanent</t>
  </si>
  <si>
    <t>sept 2003</t>
  </si>
  <si>
    <t>City of Harbor Beach</t>
  </si>
  <si>
    <t>Sep-94</t>
  </si>
  <si>
    <t>City of Harper Woods</t>
  </si>
  <si>
    <t>01/1965</t>
  </si>
  <si>
    <t>11/2003</t>
  </si>
  <si>
    <t>01/2024</t>
  </si>
  <si>
    <t>11/2023</t>
  </si>
  <si>
    <t>City of Harrison</t>
  </si>
  <si>
    <t>August 2020</t>
  </si>
  <si>
    <t>08/05/2014</t>
  </si>
  <si>
    <t>08/04/2024</t>
  </si>
  <si>
    <t>City of Hart</t>
  </si>
  <si>
    <t>Apr-99</t>
  </si>
  <si>
    <t>City of Hartford</t>
  </si>
  <si>
    <t>Nov.94</t>
  </si>
  <si>
    <t>Aug.00</t>
  </si>
  <si>
    <t>City of Hastings</t>
  </si>
  <si>
    <t>Aug-09</t>
  </si>
  <si>
    <t>City of Hazel Park</t>
  </si>
  <si>
    <t>Aug-94</t>
  </si>
  <si>
    <t>Wayland Township</t>
  </si>
  <si>
    <t>July 1999</t>
  </si>
  <si>
    <t>City of Holland</t>
  </si>
  <si>
    <t>AUGUST 2016</t>
  </si>
  <si>
    <t>DEC 2030</t>
  </si>
  <si>
    <t>Denver</t>
  </si>
  <si>
    <t>March 2000</t>
  </si>
  <si>
    <t>charter and Aug. 1994 renewal</t>
  </si>
  <si>
    <t>August 1994</t>
  </si>
  <si>
    <t>Nov. 2010</t>
  </si>
  <si>
    <t>after 2018 tax collections</t>
  </si>
  <si>
    <t>City of Hillsdale</t>
  </si>
  <si>
    <t>09/2001</t>
  </si>
  <si>
    <t>08/02/2016</t>
  </si>
  <si>
    <t>12/31/2021</t>
  </si>
  <si>
    <t>Home</t>
  </si>
  <si>
    <t>Aug-19</t>
  </si>
  <si>
    <t>Denton</t>
  </si>
  <si>
    <t>City of Zeeland</t>
  </si>
  <si>
    <t>Wheeler</t>
  </si>
  <si>
    <t>11/2014</t>
  </si>
  <si>
    <t>11/2022</t>
  </si>
  <si>
    <t>City of Howell</t>
  </si>
  <si>
    <t>Oct 1988</t>
  </si>
  <si>
    <t>August 2013</t>
  </si>
  <si>
    <t>August 2032</t>
  </si>
  <si>
    <t>City of Huntington Woods</t>
  </si>
  <si>
    <t>Tuscarora</t>
  </si>
  <si>
    <t>Aug. 2006</t>
  </si>
  <si>
    <t>Green Lake</t>
  </si>
  <si>
    <t>City of Ionia</t>
  </si>
  <si>
    <t>2027-12-01</t>
  </si>
  <si>
    <t>City of East Tawas</t>
  </si>
  <si>
    <t>11/08/94</t>
  </si>
  <si>
    <t>never</t>
  </si>
  <si>
    <t>City of Ishpeming</t>
  </si>
  <si>
    <t>City of Jackson</t>
  </si>
  <si>
    <t>Fayette</t>
  </si>
  <si>
    <t>May 1999</t>
  </si>
  <si>
    <t>City of East Jordan</t>
  </si>
  <si>
    <t>Apr 1994</t>
  </si>
  <si>
    <t>City of Kalamazoo</t>
  </si>
  <si>
    <t>5/5/2009</t>
  </si>
  <si>
    <t>12/29/2029</t>
  </si>
  <si>
    <t>5/6/2014</t>
  </si>
  <si>
    <t>12/31/2033</t>
  </si>
  <si>
    <t>11-2014</t>
  </si>
  <si>
    <t>Plainfield</t>
  </si>
  <si>
    <t>Aug - 2014</t>
  </si>
  <si>
    <t>Dec - 2023</t>
  </si>
  <si>
    <t>City of Laingsburg</t>
  </si>
  <si>
    <t>Torch Lake</t>
  </si>
  <si>
    <t>Odessa</t>
  </si>
  <si>
    <t>Nov-96</t>
  </si>
  <si>
    <t>Perpetuity</t>
  </si>
  <si>
    <t>City of Lapeer</t>
  </si>
  <si>
    <t>August 2012</t>
  </si>
  <si>
    <t>December 2022</t>
  </si>
  <si>
    <t>Antwerp</t>
  </si>
  <si>
    <t>2008</t>
  </si>
  <si>
    <t>May-99</t>
  </si>
  <si>
    <t>City of Inkster</t>
  </si>
  <si>
    <t>November 2010</t>
  </si>
  <si>
    <t>Leighton</t>
  </si>
  <si>
    <t>Sep 1996</t>
  </si>
  <si>
    <t>2023-12-31</t>
  </si>
  <si>
    <t>Adrian City</t>
  </si>
  <si>
    <t>August 6, 2013</t>
  </si>
  <si>
    <t>2022</t>
  </si>
  <si>
    <t>Lenox</t>
  </si>
  <si>
    <t>AUG 88</t>
  </si>
  <si>
    <t>Nov 94</t>
  </si>
  <si>
    <t>Jul-12</t>
  </si>
  <si>
    <t>July 1, 2014</t>
  </si>
  <si>
    <t>Lincoln</t>
  </si>
  <si>
    <t>Oct. 59</t>
  </si>
  <si>
    <t>Aug. 90</t>
  </si>
  <si>
    <t>Nov. 12</t>
  </si>
  <si>
    <t>Nov-95</t>
  </si>
  <si>
    <t>opearting</t>
  </si>
  <si>
    <t>City of Livonia</t>
  </si>
  <si>
    <t>Aug. 1984</t>
  </si>
  <si>
    <t>04/2000</t>
  </si>
  <si>
    <t>Jun-99</t>
  </si>
  <si>
    <t>05/2007</t>
  </si>
  <si>
    <t>05/2027</t>
  </si>
  <si>
    <t>Aug-90</t>
  </si>
  <si>
    <t>Jun-00</t>
  </si>
  <si>
    <t>Newkirk</t>
  </si>
  <si>
    <t>8/5/2019</t>
  </si>
  <si>
    <t>Lyon</t>
  </si>
  <si>
    <t>May 2017</t>
  </si>
  <si>
    <t>2026</t>
  </si>
  <si>
    <t>2018-12-01</t>
  </si>
  <si>
    <t>March 1969</t>
  </si>
  <si>
    <t>City of New Baltimore</t>
  </si>
  <si>
    <t>NOVEMBER, 1987</t>
  </si>
  <si>
    <t>OPERATING</t>
  </si>
  <si>
    <t>City of Mackinac Island</t>
  </si>
  <si>
    <t>Wawatam</t>
  </si>
  <si>
    <t>Mar-86</t>
  </si>
  <si>
    <t>City of Madison Heights</t>
  </si>
  <si>
    <t>May 2011</t>
  </si>
  <si>
    <t>May 2021</t>
  </si>
  <si>
    <t>City of Manistee</t>
  </si>
  <si>
    <t>122003</t>
  </si>
  <si>
    <t>City of Manistique</t>
  </si>
  <si>
    <t>Essex</t>
  </si>
  <si>
    <t>March 1964</t>
  </si>
  <si>
    <t>Sept. 12</t>
  </si>
  <si>
    <t>2024-11-06</t>
  </si>
  <si>
    <t>City of Marlette</t>
  </si>
  <si>
    <t>City of Marshall</t>
  </si>
  <si>
    <t>Jul-95</t>
  </si>
  <si>
    <t>City of Ludington</t>
  </si>
  <si>
    <t>City Charter</t>
  </si>
  <si>
    <t>08/2012</t>
  </si>
  <si>
    <t>08/2021</t>
  </si>
  <si>
    <t>City of McBain</t>
  </si>
  <si>
    <t>McMillan</t>
  </si>
  <si>
    <t>012016</t>
  </si>
  <si>
    <t>012021</t>
  </si>
  <si>
    <t>Jonesfield</t>
  </si>
  <si>
    <t>Aug - 16</t>
  </si>
  <si>
    <t>Aug-26</t>
  </si>
  <si>
    <t>Nov 1947</t>
  </si>
  <si>
    <t>November 2012</t>
  </si>
  <si>
    <t>January 2019</t>
  </si>
  <si>
    <t>January 2023</t>
  </si>
  <si>
    <t>4/1979</t>
  </si>
  <si>
    <t>2014</t>
  </si>
  <si>
    <t>2023</t>
  </si>
  <si>
    <t>City of Lake City</t>
  </si>
  <si>
    <t>Aug - 96</t>
  </si>
  <si>
    <t>Briley</t>
  </si>
  <si>
    <t>aug 16</t>
  </si>
  <si>
    <t>dec 19</t>
  </si>
  <si>
    <t>Nov 2014</t>
  </si>
  <si>
    <t>Dec 2025</t>
  </si>
  <si>
    <t>Morton</t>
  </si>
  <si>
    <t>8/1994</t>
  </si>
  <si>
    <t>8/2040</t>
  </si>
  <si>
    <t>8/2/2016</t>
  </si>
  <si>
    <t>City of Mount Clemens</t>
  </si>
  <si>
    <t>June 2004</t>
  </si>
  <si>
    <t>Roxand</t>
  </si>
  <si>
    <t>82012</t>
  </si>
  <si>
    <t>Jan 75</t>
  </si>
  <si>
    <t>Munising City</t>
  </si>
  <si>
    <t>12/31/2025</t>
  </si>
  <si>
    <t>City of Negaunee</t>
  </si>
  <si>
    <t>9/1995</t>
  </si>
  <si>
    <t>yes</t>
  </si>
  <si>
    <t>11/06/2012</t>
  </si>
  <si>
    <t>2035</t>
  </si>
  <si>
    <t>00</t>
  </si>
  <si>
    <t>City of Newaygo</t>
  </si>
  <si>
    <t>Aug 2010</t>
  </si>
  <si>
    <t>Operating.</t>
  </si>
  <si>
    <t>Aug 2002</t>
  </si>
  <si>
    <t>Capital Projects</t>
  </si>
  <si>
    <t>Adams</t>
  </si>
  <si>
    <t>2026-08-04</t>
  </si>
  <si>
    <t>September 2028</t>
  </si>
  <si>
    <t>Northfield</t>
  </si>
  <si>
    <t>Aug 1994</t>
  </si>
  <si>
    <t>Aug 1996</t>
  </si>
  <si>
    <t>Nov 1994</t>
  </si>
  <si>
    <t>11/2/2010</t>
  </si>
  <si>
    <t>11/20/2022</t>
  </si>
  <si>
    <t>Nottawa</t>
  </si>
  <si>
    <t>08-2014</t>
  </si>
  <si>
    <t>12-31-2019</t>
  </si>
  <si>
    <t>City of Novi</t>
  </si>
  <si>
    <t>November -77</t>
  </si>
  <si>
    <t>0.</t>
  </si>
  <si>
    <t>City of Oak Park</t>
  </si>
  <si>
    <t>apr-05</t>
  </si>
  <si>
    <t>Jul-11</t>
  </si>
  <si>
    <t>jul-21</t>
  </si>
  <si>
    <t>City of Rose City</t>
  </si>
  <si>
    <t>November 2020</t>
  </si>
  <si>
    <t>08/14</t>
  </si>
  <si>
    <t>12/31/23</t>
  </si>
  <si>
    <t>Orion</t>
  </si>
  <si>
    <t>Big Creek</t>
  </si>
  <si>
    <t>12/31/2019</t>
  </si>
  <si>
    <t>City of Gaylord</t>
  </si>
  <si>
    <t>City of Otsego</t>
  </si>
  <si>
    <t>March 1996</t>
  </si>
  <si>
    <t>August 2007</t>
  </si>
  <si>
    <t>January 2027</t>
  </si>
  <si>
    <t>Nov of 1992</t>
  </si>
  <si>
    <t>Aug-84</t>
  </si>
  <si>
    <t>City of Parchment</t>
  </si>
  <si>
    <t>62004</t>
  </si>
  <si>
    <t>101987</t>
  </si>
  <si>
    <t>37530</t>
  </si>
  <si>
    <t>Pleasant Plains</t>
  </si>
  <si>
    <t>Jsn 1953</t>
  </si>
  <si>
    <t>Jan 2019</t>
  </si>
  <si>
    <t>Jan 2023</t>
  </si>
  <si>
    <t>Dec-13</t>
  </si>
  <si>
    <t>May 07</t>
  </si>
  <si>
    <t>Dec 27</t>
  </si>
  <si>
    <t>Jun 94</t>
  </si>
  <si>
    <t>Jun 97</t>
  </si>
  <si>
    <t>Peninsula</t>
  </si>
  <si>
    <t>August 1993</t>
  </si>
  <si>
    <t>City of Clare</t>
  </si>
  <si>
    <t>May 05</t>
  </si>
  <si>
    <t>City of Marquette</t>
  </si>
  <si>
    <t>1-29-1891</t>
  </si>
  <si>
    <t>8/8/2017</t>
  </si>
  <si>
    <t>2033</t>
  </si>
  <si>
    <t>City of Petoskey</t>
  </si>
  <si>
    <t>12/1995</t>
  </si>
  <si>
    <t>8/2000</t>
  </si>
  <si>
    <t>12/2016</t>
  </si>
  <si>
    <t>Winsor</t>
  </si>
  <si>
    <t>08-14</t>
  </si>
  <si>
    <t>12-18</t>
  </si>
  <si>
    <t>Putnam</t>
  </si>
  <si>
    <t>February 2011</t>
  </si>
  <si>
    <t>December 2040</t>
  </si>
  <si>
    <t>OperatingBoth</t>
  </si>
  <si>
    <t>Jan. 08</t>
  </si>
  <si>
    <t>Jan. 2028</t>
  </si>
  <si>
    <t>Nov-94</t>
  </si>
  <si>
    <t>Nov-87</t>
  </si>
  <si>
    <t>Nov-85</t>
  </si>
  <si>
    <t>City of Pontiac</t>
  </si>
  <si>
    <t>Nov. 03</t>
  </si>
  <si>
    <t>dec 2017</t>
  </si>
  <si>
    <t>Nov 2012</t>
  </si>
  <si>
    <t>Nov 2023</t>
  </si>
  <si>
    <t>Nov 2032</t>
  </si>
  <si>
    <t>City of Portage</t>
  </si>
  <si>
    <t>Jun-98</t>
  </si>
  <si>
    <t>City of Houghton</t>
  </si>
  <si>
    <t>Jan-18</t>
  </si>
  <si>
    <t>Dec-24</t>
  </si>
  <si>
    <t>City of Portland</t>
  </si>
  <si>
    <t>Aug 98</t>
  </si>
  <si>
    <t>Dec 17</t>
  </si>
  <si>
    <t>May 03</t>
  </si>
  <si>
    <t>Jun 24</t>
  </si>
  <si>
    <t>Nov. 1996</t>
  </si>
  <si>
    <t>City of Rogers City</t>
  </si>
  <si>
    <t>8/2014</t>
  </si>
  <si>
    <t>City of Saginaw</t>
  </si>
  <si>
    <t>11/2013</t>
  </si>
  <si>
    <t>11/2024</t>
  </si>
  <si>
    <t>Castleton</t>
  </si>
  <si>
    <t>Jan 2016</t>
  </si>
  <si>
    <t>November 1988</t>
  </si>
  <si>
    <t>Elkland</t>
  </si>
  <si>
    <t>Aug 2012</t>
  </si>
  <si>
    <t>Aug 18</t>
  </si>
  <si>
    <t>Dec 22</t>
  </si>
  <si>
    <t>11/2006</t>
  </si>
  <si>
    <t>July 2023</t>
  </si>
  <si>
    <t>Dec-94</t>
  </si>
  <si>
    <t>Nov-02</t>
  </si>
  <si>
    <t>City of Reed City</t>
  </si>
  <si>
    <t>11/4/14</t>
  </si>
  <si>
    <t>Denmark</t>
  </si>
  <si>
    <t>Nov - 24</t>
  </si>
  <si>
    <t>Jun-14</t>
  </si>
  <si>
    <t>Richfield</t>
  </si>
  <si>
    <t>Aug-81</t>
  </si>
  <si>
    <t>Sept-01</t>
  </si>
  <si>
    <t>Sept-21</t>
  </si>
  <si>
    <t>Aug-2010</t>
  </si>
  <si>
    <t>Aug-11</t>
  </si>
  <si>
    <t>Dec-20</t>
  </si>
  <si>
    <t>Nov-</t>
  </si>
  <si>
    <t>7/1/09</t>
  </si>
  <si>
    <t>City of Riverview</t>
  </si>
  <si>
    <t>2017-06-05</t>
  </si>
  <si>
    <t>2018-06-04</t>
  </si>
  <si>
    <t>City of Rochester</t>
  </si>
  <si>
    <t>April 1924</t>
  </si>
  <si>
    <t>Washington</t>
  </si>
  <si>
    <t>November / 1996</t>
  </si>
  <si>
    <t>Nov-08</t>
  </si>
  <si>
    <t>Higgins</t>
  </si>
  <si>
    <t>Aug 2029</t>
  </si>
  <si>
    <t>January 2012</t>
  </si>
  <si>
    <t>2016-08-03</t>
  </si>
  <si>
    <t>City of Royal Oak</t>
  </si>
  <si>
    <t>Nov. 2003</t>
  </si>
  <si>
    <t>Nov. 2023</t>
  </si>
  <si>
    <t>Royal Oak Township</t>
  </si>
  <si>
    <t>Dec-06</t>
  </si>
  <si>
    <t>De-06</t>
  </si>
  <si>
    <t>dec-06</t>
  </si>
  <si>
    <t>Imlay</t>
  </si>
  <si>
    <t>Dec 18</t>
  </si>
  <si>
    <t>na</t>
  </si>
  <si>
    <t>November 1990</t>
  </si>
  <si>
    <t>Unlimited</t>
  </si>
  <si>
    <t>City of Port Huron</t>
  </si>
  <si>
    <t>City of Saint Clair Shores</t>
  </si>
  <si>
    <t>City of Saint Ignace</t>
  </si>
  <si>
    <t>August /16</t>
  </si>
  <si>
    <t>Dec/26</t>
  </si>
  <si>
    <t>August/16</t>
  </si>
  <si>
    <t>Aug./26</t>
  </si>
  <si>
    <t>Salem</t>
  </si>
  <si>
    <t>May-95</t>
  </si>
  <si>
    <t>2/25/14</t>
  </si>
  <si>
    <t>12/2033</t>
  </si>
  <si>
    <t>City of Saline</t>
  </si>
  <si>
    <t>09/1991</t>
  </si>
  <si>
    <t>08/2006</t>
  </si>
  <si>
    <t>08/2026</t>
  </si>
  <si>
    <t>City of Sandusky</t>
  </si>
  <si>
    <t>June 1998</t>
  </si>
  <si>
    <t>August 2019</t>
  </si>
  <si>
    <t>05/2008</t>
  </si>
  <si>
    <t>12/2018</t>
  </si>
  <si>
    <t>Boston</t>
  </si>
  <si>
    <t>Mar-74</t>
  </si>
  <si>
    <t>2027-12-31</t>
  </si>
  <si>
    <t>Feb 1998</t>
  </si>
  <si>
    <t>Saugatuck</t>
  </si>
  <si>
    <t>Nov 1995</t>
  </si>
  <si>
    <t>Mar-94</t>
  </si>
  <si>
    <t>May-96</t>
  </si>
  <si>
    <t>Jul-02</t>
  </si>
  <si>
    <t>Blissfield</t>
  </si>
  <si>
    <t>Aug 14</t>
  </si>
  <si>
    <t>Aug 22</t>
  </si>
  <si>
    <t>Aug 24</t>
  </si>
  <si>
    <t>Aug 20</t>
  </si>
  <si>
    <t>Seville</t>
  </si>
  <si>
    <t>April 1994</t>
  </si>
  <si>
    <t>Sherman</t>
  </si>
  <si>
    <t>11/2020</t>
  </si>
  <si>
    <t>Aug 2011</t>
  </si>
  <si>
    <t>Dec 2021</t>
  </si>
  <si>
    <t>82001</t>
  </si>
  <si>
    <t>122011</t>
  </si>
  <si>
    <t>Sep-14</t>
  </si>
  <si>
    <t>Aug-2018</t>
  </si>
  <si>
    <t>Sodus</t>
  </si>
  <si>
    <t>11/9/16</t>
  </si>
  <si>
    <t>Somerset Township Library</t>
  </si>
  <si>
    <t>Somerset</t>
  </si>
  <si>
    <t>MI0313</t>
  </si>
  <si>
    <t>Jan-59</t>
  </si>
  <si>
    <t>May-2017</t>
  </si>
  <si>
    <t>May-2057</t>
  </si>
  <si>
    <t>Building Project</t>
  </si>
  <si>
    <t>City of Southfield</t>
  </si>
  <si>
    <t>05/2011</t>
  </si>
  <si>
    <t>07/2011</t>
  </si>
  <si>
    <t>Aug 2025</t>
  </si>
  <si>
    <t>May 2018</t>
  </si>
  <si>
    <t>June 2019</t>
  </si>
  <si>
    <t>Sept. 1</t>
  </si>
  <si>
    <t>12/30/20</t>
  </si>
  <si>
    <t>August 94</t>
  </si>
  <si>
    <t>May 2001</t>
  </si>
  <si>
    <t>Springfield</t>
  </si>
  <si>
    <t>Nov. 1990</t>
  </si>
  <si>
    <t>City of Morenci</t>
  </si>
  <si>
    <t>8.4.2015</t>
  </si>
  <si>
    <t>12.31.2024</t>
  </si>
  <si>
    <t>City of Sterling Heights</t>
  </si>
  <si>
    <t>Aug-2016</t>
  </si>
  <si>
    <t>Dec-2025</t>
  </si>
  <si>
    <t>Dec. 2027</t>
  </si>
  <si>
    <t>City of Sault Ste. Marie</t>
  </si>
  <si>
    <t>12/2025</t>
  </si>
  <si>
    <t>01/2016</t>
  </si>
  <si>
    <t>Surrey</t>
  </si>
  <si>
    <t>9/11/2001</t>
  </si>
  <si>
    <t>Sep-01</t>
  </si>
  <si>
    <t>8/2021</t>
  </si>
  <si>
    <t>2021-08-01</t>
  </si>
  <si>
    <t>Cato</t>
  </si>
  <si>
    <t>2010</t>
  </si>
  <si>
    <t>2006</t>
  </si>
  <si>
    <t>2037</t>
  </si>
  <si>
    <t>Taymouth</t>
  </si>
  <si>
    <t>May 2013</t>
  </si>
  <si>
    <t>December 2023</t>
  </si>
  <si>
    <t>August 18</t>
  </si>
  <si>
    <t>12/31/38</t>
  </si>
  <si>
    <t>City of Saint Louis</t>
  </si>
  <si>
    <t>Jul 2022</t>
  </si>
  <si>
    <t>Thomas</t>
  </si>
  <si>
    <t>8-2008</t>
  </si>
  <si>
    <t>1-1-2028</t>
  </si>
  <si>
    <t>8-2012</t>
  </si>
  <si>
    <t>1-1-2022</t>
  </si>
  <si>
    <t>City of Ithaca</t>
  </si>
  <si>
    <t>Thornapple</t>
  </si>
  <si>
    <t>May 2008</t>
  </si>
  <si>
    <t>Nov 2027</t>
  </si>
  <si>
    <t>May-08</t>
  </si>
  <si>
    <t>Nov-17</t>
  </si>
  <si>
    <t>City of Three Rivers</t>
  </si>
  <si>
    <t>Jan 93</t>
  </si>
  <si>
    <t>Reynolds</t>
  </si>
  <si>
    <t>Apr 1955</t>
  </si>
  <si>
    <t>Dec 2019</t>
  </si>
  <si>
    <t>Mullett</t>
  </si>
  <si>
    <t>City of Traverse City</t>
  </si>
  <si>
    <t>Dec-25</t>
  </si>
  <si>
    <t>City of Troy</t>
  </si>
  <si>
    <t>City of Utica</t>
  </si>
  <si>
    <t>April 1949</t>
  </si>
  <si>
    <t>August 2026</t>
  </si>
  <si>
    <t>04/1991</t>
  </si>
  <si>
    <t>08/2015</t>
  </si>
  <si>
    <t>08/2025</t>
  </si>
  <si>
    <t>2022-08-01</t>
  </si>
  <si>
    <t>05/2005</t>
  </si>
  <si>
    <t>8/2002</t>
  </si>
  <si>
    <t>Operation</t>
  </si>
  <si>
    <t>City of Wakefield</t>
  </si>
  <si>
    <t>2019</t>
  </si>
  <si>
    <t>Wright</t>
  </si>
  <si>
    <t>08/2005</t>
  </si>
  <si>
    <t>Leavitt</t>
  </si>
  <si>
    <t>City of Walled Lake</t>
  </si>
  <si>
    <t>11/1962</t>
  </si>
  <si>
    <t>08/2014</t>
  </si>
  <si>
    <t>Deerfield</t>
  </si>
  <si>
    <t>City of Warren</t>
  </si>
  <si>
    <t>10/1957</t>
  </si>
  <si>
    <t>08/2030</t>
  </si>
  <si>
    <t>August 2022</t>
  </si>
  <si>
    <t>Watertown</t>
  </si>
  <si>
    <t>2024</t>
  </si>
  <si>
    <t>City of Wayne</t>
  </si>
  <si>
    <t>2028-08-07</t>
  </si>
  <si>
    <t>09/1949</t>
  </si>
  <si>
    <t>12/20/26</t>
  </si>
  <si>
    <t>City of West Branch</t>
  </si>
  <si>
    <t>2021-12-31</t>
  </si>
  <si>
    <t>City of Iron River</t>
  </si>
  <si>
    <t>FEB. 14</t>
  </si>
  <si>
    <t>dec.19</t>
  </si>
  <si>
    <t>Wheatland</t>
  </si>
  <si>
    <t>Aug-2020</t>
  </si>
  <si>
    <t>Aug-2000</t>
  </si>
  <si>
    <t>Nov2030</t>
  </si>
  <si>
    <t>City of White Cloud</t>
  </si>
  <si>
    <t>Jan-99</t>
  </si>
  <si>
    <t>City of Whitehall</t>
  </si>
  <si>
    <t>Apr 99</t>
  </si>
  <si>
    <t>May 2020</t>
  </si>
  <si>
    <t>nov-2022</t>
  </si>
  <si>
    <t>apr-75</t>
  </si>
  <si>
    <t>Aug-97</t>
  </si>
  <si>
    <t>Sidney</t>
  </si>
  <si>
    <t>Aug. 2010</t>
  </si>
  <si>
    <t>Aug. 2020</t>
  </si>
  <si>
    <t>Whitefish</t>
  </si>
  <si>
    <t>May2022</t>
  </si>
  <si>
    <t>May 2022</t>
  </si>
  <si>
    <t>City of Battle Creek</t>
  </si>
  <si>
    <t>City of Westland</t>
  </si>
  <si>
    <t>Operations</t>
  </si>
  <si>
    <t>June 2022</t>
  </si>
  <si>
    <t>City of Wixom</t>
  </si>
  <si>
    <t>June 2027</t>
  </si>
  <si>
    <t>Nunda</t>
  </si>
  <si>
    <t>2/15/93</t>
  </si>
  <si>
    <t>11/02/10</t>
  </si>
  <si>
    <t>11/06/18</t>
  </si>
  <si>
    <t>12/31/29</t>
  </si>
  <si>
    <t>Outlets, Hours and SqFt</t>
  </si>
  <si>
    <t>2018/2019 Annual Report/State Aid Application</t>
  </si>
  <si>
    <t>Capital Income &amp; Expenditure</t>
  </si>
  <si>
    <t>Director's Salary</t>
  </si>
  <si>
    <t>Most recent fiscal year completed prior to October 1, 2018, even if that means reporting less than 12 months of data. The reason for reporting less than 12 months of data could be due to a change in legal status, change in fiscal year, etc. If your reporting year has changed, please mail documentation authorizing the change (such as board minutes) to the Library of Michigan.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</si>
</sst>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6" formatCode="&quot;$&quot;#,##0_);[Red]\(&quot;$&quot;#,##0\)"/>
    <numFmt numFmtId="8" formatCode="&quot;$&quot;#,##0.00_);[Red]\(&quot;$&quot;#,##0.00\)"/>
    <numFmt numFmtId="164" formatCode="[&lt;=9999999]###\-####;\(###\)\ ###\-####"/>
    <numFmt numFmtId="165" formatCode="[&lt;=999999999999999]###\-####;\(###\)\ ###\-####\ \x#####"/>
    <numFmt numFmtId="166" formatCode="[&lt;=99999]00000;[&lt;=999999999]00000\-0000"/>
    <numFmt numFmtId="167" formatCode="#,##0.0000"/>
    <numFmt numFmtId="168" formatCode="&quot;$&quot;#,##0"/>
    <numFmt numFmtId="169" formatCode="0.0%"/>
    <numFmt numFmtId="170" formatCode="&quot;$&quot;#,##0.00"/>
    <numFmt numFmtId="171" formatCode="0.0"/>
  </numFmts>
  <fonts count="43" x14ac:knownFonts="1">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b/>
      <sz val="10"/>
      <name val="Arial"/>
      <family val="2"/>
    </font>
    <font>
      <sz val="10"/>
      <name val="Arial"/>
      <family val="2"/>
    </font>
    <font>
      <u/>
      <sz val="10"/>
      <color indexed="12"/>
      <name val="Arial"/>
    </font>
    <font>
      <u/>
      <sz val="14"/>
      <color indexed="12"/>
      <name val="Calibri"/>
      <family val="2"/>
      <scheme val="minor"/>
    </font>
    <font>
      <b/>
      <sz val="7"/>
      <color rgb="FFD3B12C"/>
      <name val="Arial"/>
      <family val="2"/>
    </font>
    <font>
      <b/>
      <sz val="12"/>
      <color rgb="FF003366"/>
      <name val="Verdana"/>
      <family val="2"/>
    </font>
    <font>
      <b/>
      <sz val="10.050000000000001"/>
      <color theme="1"/>
      <name val="Arial"/>
      <family val="2"/>
    </font>
    <font>
      <b/>
      <sz val="10.050000000000001"/>
      <color rgb="FF808080"/>
      <name val="Arial"/>
      <family val="2"/>
    </font>
    <font>
      <b/>
      <i/>
      <sz val="10.050000000000001"/>
      <color theme="1"/>
      <name val="Arial"/>
      <family val="2"/>
    </font>
    <font>
      <b/>
      <sz val="12"/>
      <color theme="1"/>
      <name val="Arial"/>
      <family val="2"/>
    </font>
    <font>
      <b/>
      <i/>
      <sz val="12.8"/>
      <color rgb="FF003399"/>
      <name val="Arial"/>
      <family val="2"/>
    </font>
    <font>
      <u/>
      <sz val="10"/>
      <color theme="8" tint="-0.249977111117893"/>
      <name val="Arial"/>
      <family val="2"/>
    </font>
    <font>
      <sz val="10"/>
      <color theme="8" tint="-0.249977111117893"/>
      <name val="Arial"/>
      <family val="2"/>
    </font>
    <font>
      <b/>
      <sz val="10"/>
      <color theme="1"/>
      <name val="Arial"/>
      <family val="2"/>
    </font>
    <font>
      <sz val="12"/>
      <color theme="1"/>
      <name val="Arial"/>
      <family val="2"/>
    </font>
    <font>
      <sz val="8"/>
      <name val="Arial"/>
      <family val="2"/>
    </font>
    <font>
      <sz val="14"/>
      <name val="Arial"/>
      <family val="2"/>
    </font>
    <font>
      <b/>
      <sz val="14"/>
      <name val="Arial"/>
      <family val="2"/>
    </font>
    <font>
      <b/>
      <sz val="14"/>
      <color theme="1"/>
      <name val="Arial"/>
      <family val="2"/>
    </font>
    <font>
      <b/>
      <sz val="12"/>
      <name val="Arial"/>
      <family val="2"/>
    </font>
    <font>
      <sz val="12"/>
      <name val="Arial"/>
      <family val="2"/>
    </font>
    <font>
      <b/>
      <sz val="8"/>
      <name val="Arial"/>
      <family val="2"/>
    </font>
    <font>
      <b/>
      <sz val="11"/>
      <name val="Calibri"/>
      <family val="2"/>
      <scheme val="minor"/>
    </font>
    <font>
      <b/>
      <sz val="11"/>
      <name val="Aria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00"/>
        <bgColor indexed="64"/>
      </patternFill>
    </fill>
    <fill>
      <patternFill patternType="solid">
        <fgColor rgb="FFE6F0FA"/>
        <bgColor indexed="64"/>
      </patternFill>
    </fill>
    <fill>
      <patternFill patternType="solid">
        <fgColor rgb="FFFFFFFF"/>
        <bgColor indexed="64"/>
      </patternFill>
    </fill>
    <fill>
      <patternFill patternType="solid">
        <fgColor rgb="FFF0FAE6"/>
        <bgColor indexed="64"/>
      </patternFill>
    </fill>
    <fill>
      <patternFill patternType="solid">
        <fgColor rgb="FFCCCCCC"/>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CDFF5"/>
        <bgColor indexed="64"/>
      </patternFill>
    </fill>
    <fill>
      <patternFill patternType="solid">
        <fgColor rgb="FFD5B8EA"/>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rgb="FFA06927"/>
      </left>
      <right style="medium">
        <color rgb="FFA06927"/>
      </right>
      <top style="medium">
        <color rgb="FFA06927"/>
      </top>
      <bottom style="medium">
        <color rgb="FFA06927"/>
      </bottom>
      <diagonal/>
    </border>
    <border>
      <left style="medium">
        <color rgb="FFEEEEEE"/>
      </left>
      <right/>
      <top style="medium">
        <color rgb="FFA06927"/>
      </top>
      <bottom style="medium">
        <color rgb="FFEEEEEE"/>
      </bottom>
      <diagonal/>
    </border>
    <border>
      <left/>
      <right/>
      <top style="medium">
        <color rgb="FFA06927"/>
      </top>
      <bottom style="medium">
        <color rgb="FFEEEEEE"/>
      </bottom>
      <diagonal/>
    </border>
    <border>
      <left style="medium">
        <color rgb="FFEEEEEE"/>
      </left>
      <right/>
      <top style="medium">
        <color rgb="FFEEEEEE"/>
      </top>
      <bottom style="medium">
        <color rgb="FFA06927"/>
      </bottom>
      <diagonal/>
    </border>
    <border>
      <left/>
      <right/>
      <top style="medium">
        <color rgb="FFEEEEEE"/>
      </top>
      <bottom style="medium">
        <color rgb="FFA06927"/>
      </bottom>
      <diagonal/>
    </border>
    <border>
      <left style="medium">
        <color rgb="FFA06927"/>
      </left>
      <right style="medium">
        <color rgb="FFA06927"/>
      </right>
      <top style="medium">
        <color rgb="FFA06927"/>
      </top>
      <bottom/>
      <diagonal/>
    </border>
    <border>
      <left style="medium">
        <color rgb="FFA06927"/>
      </left>
      <right style="medium">
        <color rgb="FFA06927"/>
      </right>
      <top/>
      <bottom style="medium">
        <color rgb="FFA06927"/>
      </bottom>
      <diagonal/>
    </border>
    <border>
      <left style="medium">
        <color rgb="FFA06927"/>
      </left>
      <right/>
      <top style="medium">
        <color rgb="FFA06927"/>
      </top>
      <bottom style="medium">
        <color rgb="FFA06927"/>
      </bottom>
      <diagonal/>
    </border>
    <border>
      <left/>
      <right/>
      <top style="medium">
        <color rgb="FFA06927"/>
      </top>
      <bottom style="medium">
        <color rgb="FFA06927"/>
      </bottom>
      <diagonal/>
    </border>
    <border>
      <left style="medium">
        <color rgb="FFA06927"/>
      </left>
      <right style="medium">
        <color rgb="FFA06927"/>
      </right>
      <top/>
      <bottom/>
      <diagonal/>
    </border>
    <border>
      <left style="medium">
        <color rgb="FFEEEEEE"/>
      </left>
      <right/>
      <top style="medium">
        <color rgb="FFA06927"/>
      </top>
      <bottom style="medium">
        <color rgb="FFA06927"/>
      </bottom>
      <diagonal/>
    </border>
    <border>
      <left style="medium">
        <color auto="1"/>
      </left>
      <right style="medium">
        <color auto="1"/>
      </right>
      <top/>
      <bottom style="medium">
        <color auto="1"/>
      </bottom>
      <diagonal/>
    </border>
    <border>
      <left/>
      <right/>
      <top style="double">
        <color theme="6"/>
      </top>
      <bottom style="thin">
        <color theme="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indexed="64"/>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style="thin">
        <color auto="1"/>
      </left>
      <right style="medium">
        <color auto="1"/>
      </right>
      <top style="medium">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indexed="64"/>
      </left>
      <right style="thin">
        <color auto="1"/>
      </right>
      <top/>
      <bottom/>
      <diagonal/>
    </border>
    <border>
      <left style="thin">
        <color auto="1"/>
      </left>
      <right style="medium">
        <color indexed="64"/>
      </right>
      <top/>
      <bottom/>
      <diagonal/>
    </border>
    <border>
      <left style="thin">
        <color auto="1"/>
      </left>
      <right style="thin">
        <color auto="1"/>
      </right>
      <top style="medium">
        <color indexed="64"/>
      </top>
      <bottom style="medium">
        <color indexed="64"/>
      </bottom>
      <diagonal/>
    </border>
    <border>
      <left style="medium">
        <color auto="1"/>
      </left>
      <right style="medium">
        <color auto="1"/>
      </right>
      <top style="medium">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thin">
        <color auto="1"/>
      </top>
      <bottom/>
      <diagonal/>
    </border>
  </borders>
  <cellStyleXfs count="6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Font="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8" fontId="18" fillId="0" borderId="0" applyFont="0" applyFill="0" applyBorder="0" applyAlignment="0" applyProtection="0"/>
    <xf numFmtId="10" fontId="18" fillId="0" borderId="0" applyFont="0" applyFill="0" applyBorder="0" applyAlignment="0" applyProtection="0"/>
    <xf numFmtId="4" fontId="18" fillId="0" borderId="0" applyFont="0" applyFill="0" applyBorder="0" applyAlignment="0" applyProtection="0"/>
    <xf numFmtId="14" fontId="18" fillId="0" borderId="0" applyFont="0" applyFill="0" applyBorder="0" applyAlignment="0" applyProtection="0"/>
    <xf numFmtId="20" fontId="18" fillId="0" borderId="0" applyFont="0" applyFill="0" applyBorder="0" applyAlignment="0" applyProtection="0"/>
    <xf numFmtId="22" fontId="18" fillId="0" borderId="0" applyFont="0" applyFill="0" applyBorder="0" applyAlignment="0" applyProtection="0"/>
    <xf numFmtId="15" fontId="18" fillId="0" borderId="0" applyFont="0" applyFill="0" applyBorder="0" applyAlignment="0" applyProtection="0"/>
    <xf numFmtId="15" fontId="18" fillId="0" borderId="0" applyFont="0" applyFill="0" applyBorder="0" applyAlignment="0" applyProtection="0"/>
    <xf numFmtId="19" fontId="18" fillId="0" borderId="0" applyFont="0" applyFill="0" applyBorder="0" applyAlignment="0" applyProtection="0"/>
    <xf numFmtId="18" fontId="18" fillId="0" borderId="0" applyFont="0" applyFill="0" applyBorder="0" applyAlignment="0" applyProtection="0"/>
    <xf numFmtId="0" fontId="18" fillId="0" borderId="0" applyNumberFormat="0" applyFont="0" applyFill="0" applyBorder="0" applyProtection="0">
      <alignment horizontal="left" vertical="center"/>
    </xf>
    <xf numFmtId="0" fontId="18" fillId="0" borderId="0" applyNumberFormat="0" applyFont="0" applyFill="0" applyBorder="0" applyProtection="0">
      <alignment horizontal="left" vertical="center"/>
    </xf>
    <xf numFmtId="0" fontId="21" fillId="0" borderId="0" applyNumberForma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6" fontId="18" fillId="0" borderId="0" applyFont="0" applyFill="0" applyBorder="0" applyAlignment="0" applyProtection="0"/>
    <xf numFmtId="3" fontId="18" fillId="0" borderId="0" applyBorder="0"/>
    <xf numFmtId="0" fontId="20" fillId="0" borderId="0"/>
  </cellStyleXfs>
  <cellXfs count="317">
    <xf numFmtId="0" fontId="0" fillId="0" borderId="0" xfId="0"/>
    <xf numFmtId="0" fontId="19" fillId="33" borderId="10" xfId="0" applyFont="1" applyFill="1" applyBorder="1" applyAlignment="1">
      <alignment horizontal="left"/>
    </xf>
    <xf numFmtId="0" fontId="0" fillId="0" borderId="0" xfId="55" applyFont="1">
      <alignment horizontal="left" vertical="center"/>
    </xf>
    <xf numFmtId="14" fontId="0" fillId="0" borderId="0" xfId="48" applyFont="1"/>
    <xf numFmtId="3" fontId="0" fillId="0" borderId="0" xfId="44" applyFont="1"/>
    <xf numFmtId="0" fontId="0" fillId="0" borderId="0" xfId="0" applyAlignment="1">
      <alignment wrapText="1"/>
    </xf>
    <xf numFmtId="168" fontId="0" fillId="0" borderId="0" xfId="0" applyNumberFormat="1"/>
    <xf numFmtId="4" fontId="0" fillId="0" borderId="0" xfId="0" applyNumberFormat="1"/>
    <xf numFmtId="0" fontId="22" fillId="0" borderId="0" xfId="57" applyFont="1"/>
    <xf numFmtId="0" fontId="23" fillId="0" borderId="12" xfId="0" applyFont="1" applyBorder="1" applyAlignment="1">
      <alignment horizontal="center" vertical="center" wrapText="1"/>
    </xf>
    <xf numFmtId="0" fontId="24" fillId="35" borderId="13" xfId="0" applyFont="1" applyFill="1" applyBorder="1" applyAlignment="1">
      <alignment horizontal="left" vertical="center" wrapText="1"/>
    </xf>
    <xf numFmtId="0" fontId="24" fillId="35" borderId="14" xfId="0" applyFont="1" applyFill="1" applyBorder="1" applyAlignment="1">
      <alignment horizontal="left" vertical="center" wrapText="1"/>
    </xf>
    <xf numFmtId="0" fontId="24" fillId="35" borderId="15" xfId="0" applyFont="1" applyFill="1" applyBorder="1" applyAlignment="1">
      <alignment horizontal="left" vertical="center" wrapText="1"/>
    </xf>
    <xf numFmtId="0" fontId="24" fillId="35" borderId="16" xfId="0" applyFont="1" applyFill="1" applyBorder="1" applyAlignment="1">
      <alignment horizontal="left" vertical="center" wrapText="1"/>
    </xf>
    <xf numFmtId="0" fontId="25" fillId="36" borderId="17" xfId="0" applyFont="1" applyFill="1" applyBorder="1" applyAlignment="1">
      <alignment horizontal="left" vertical="center" wrapText="1"/>
    </xf>
    <xf numFmtId="0" fontId="26" fillId="36" borderId="17" xfId="0" applyFont="1" applyFill="1" applyBorder="1" applyAlignment="1">
      <alignment horizontal="left" vertical="center" wrapText="1"/>
    </xf>
    <xf numFmtId="0" fontId="25" fillId="36" borderId="18" xfId="0" applyFont="1" applyFill="1" applyBorder="1" applyAlignment="1">
      <alignment horizontal="left" vertical="center" wrapText="1"/>
    </xf>
    <xf numFmtId="0" fontId="27" fillId="36" borderId="18" xfId="0" applyFont="1" applyFill="1" applyBorder="1" applyAlignment="1">
      <alignment horizontal="left" vertical="center" wrapText="1"/>
    </xf>
    <xf numFmtId="0" fontId="25" fillId="36" borderId="12" xfId="0" applyFont="1" applyFill="1" applyBorder="1" applyAlignment="1">
      <alignment horizontal="left" vertical="center" wrapText="1"/>
    </xf>
    <xf numFmtId="0" fontId="27" fillId="36" borderId="12" xfId="0" applyFont="1" applyFill="1" applyBorder="1" applyAlignment="1">
      <alignment horizontal="left" vertical="center" wrapText="1"/>
    </xf>
    <xf numFmtId="0" fontId="27" fillId="36" borderId="17" xfId="0" applyFont="1" applyFill="1" applyBorder="1" applyAlignment="1">
      <alignment horizontal="left" vertical="center" wrapText="1"/>
    </xf>
    <xf numFmtId="0" fontId="28" fillId="35" borderId="19" xfId="0" applyFont="1" applyFill="1" applyBorder="1" applyAlignment="1">
      <alignment vertical="center" wrapText="1"/>
    </xf>
    <xf numFmtId="0" fontId="28" fillId="35" borderId="20" xfId="0" applyFont="1" applyFill="1" applyBorder="1" applyAlignment="1">
      <alignment vertical="center" wrapText="1"/>
    </xf>
    <xf numFmtId="0" fontId="29" fillId="37" borderId="19" xfId="0" applyFont="1" applyFill="1" applyBorder="1" applyAlignment="1">
      <alignment vertical="center" wrapText="1"/>
    </xf>
    <xf numFmtId="0" fontId="29" fillId="37" borderId="20" xfId="0" applyFont="1" applyFill="1" applyBorder="1" applyAlignment="1">
      <alignment vertical="center" wrapText="1"/>
    </xf>
    <xf numFmtId="0" fontId="25" fillId="36" borderId="21" xfId="0" applyFont="1" applyFill="1" applyBorder="1" applyAlignment="1">
      <alignment horizontal="left" vertical="center" wrapText="1"/>
    </xf>
    <xf numFmtId="0" fontId="0" fillId="36" borderId="21" xfId="0" applyFill="1" applyBorder="1" applyAlignment="1">
      <alignment horizontal="left" vertical="center" wrapText="1"/>
    </xf>
    <xf numFmtId="0" fontId="27" fillId="36" borderId="21" xfId="0" applyFont="1" applyFill="1" applyBorder="1" applyAlignment="1">
      <alignment horizontal="left" vertical="center" wrapText="1"/>
    </xf>
    <xf numFmtId="0" fontId="0" fillId="36" borderId="18" xfId="0" applyFill="1" applyBorder="1" applyAlignment="1">
      <alignment horizontal="left" vertical="center" wrapText="1"/>
    </xf>
    <xf numFmtId="0" fontId="24" fillId="35" borderId="22" xfId="0" applyFont="1" applyFill="1" applyBorder="1" applyAlignment="1">
      <alignment horizontal="left" vertical="center" wrapText="1"/>
    </xf>
    <xf numFmtId="0" fontId="24" fillId="35" borderId="20" xfId="0" applyFont="1" applyFill="1" applyBorder="1" applyAlignment="1">
      <alignment horizontal="left" vertical="center" wrapText="1"/>
    </xf>
    <xf numFmtId="0" fontId="26" fillId="36" borderId="12" xfId="0" applyFont="1" applyFill="1" applyBorder="1" applyAlignment="1">
      <alignment horizontal="left" vertical="center" wrapText="1"/>
    </xf>
    <xf numFmtId="0" fontId="25" fillId="38" borderId="17" xfId="0" applyFont="1" applyFill="1" applyBorder="1" applyAlignment="1">
      <alignment horizontal="left" vertical="center" wrapText="1"/>
    </xf>
    <xf numFmtId="0" fontId="25" fillId="38" borderId="18" xfId="0" applyFont="1" applyFill="1" applyBorder="1" applyAlignment="1">
      <alignment horizontal="left" vertical="center" wrapText="1"/>
    </xf>
    <xf numFmtId="0" fontId="27" fillId="38" borderId="17" xfId="0" applyFont="1" applyFill="1" applyBorder="1" applyAlignment="1">
      <alignment horizontal="left" vertical="center" wrapText="1"/>
    </xf>
    <xf numFmtId="0" fontId="27" fillId="38" borderId="18" xfId="0" applyFont="1" applyFill="1" applyBorder="1" applyAlignment="1">
      <alignment horizontal="left" vertical="center" wrapText="1"/>
    </xf>
    <xf numFmtId="0" fontId="25" fillId="38" borderId="12" xfId="0" applyFont="1" applyFill="1" applyBorder="1" applyAlignment="1">
      <alignment horizontal="left" vertical="center" wrapText="1"/>
    </xf>
    <xf numFmtId="0" fontId="27" fillId="38" borderId="12" xfId="0" applyFont="1" applyFill="1" applyBorder="1" applyAlignment="1">
      <alignment horizontal="left" vertical="center" wrapText="1"/>
    </xf>
    <xf numFmtId="0" fontId="26" fillId="36" borderId="21" xfId="0" applyFont="1" applyFill="1" applyBorder="1" applyAlignment="1">
      <alignment horizontal="left" vertical="center" wrapText="1"/>
    </xf>
    <xf numFmtId="0" fontId="26" fillId="36" borderId="18" xfId="0" applyFont="1" applyFill="1" applyBorder="1" applyAlignment="1">
      <alignment horizontal="left" vertical="center" wrapText="1"/>
    </xf>
    <xf numFmtId="0" fontId="26" fillId="38" borderId="17" xfId="0" applyFont="1" applyFill="1" applyBorder="1" applyAlignment="1">
      <alignment horizontal="left" vertical="center" wrapText="1"/>
    </xf>
    <xf numFmtId="0" fontId="25" fillId="38" borderId="21" xfId="0" applyFont="1" applyFill="1" applyBorder="1" applyAlignment="1">
      <alignment horizontal="left" vertical="center" wrapText="1"/>
    </xf>
    <xf numFmtId="0" fontId="26" fillId="38" borderId="21" xfId="0" applyFont="1" applyFill="1" applyBorder="1" applyAlignment="1">
      <alignment horizontal="left" vertical="center" wrapText="1"/>
    </xf>
    <xf numFmtId="0" fontId="26" fillId="38" borderId="18" xfId="0" applyFont="1" applyFill="1" applyBorder="1" applyAlignment="1">
      <alignment horizontal="left" vertical="center" wrapText="1"/>
    </xf>
    <xf numFmtId="0" fontId="26" fillId="38" borderId="12" xfId="0" applyFont="1" applyFill="1" applyBorder="1" applyAlignment="1">
      <alignment horizontal="left" vertical="center" wrapText="1"/>
    </xf>
    <xf numFmtId="0" fontId="27" fillId="38" borderId="21" xfId="0" applyFont="1" applyFill="1" applyBorder="1" applyAlignment="1">
      <alignment horizontal="left" vertical="center" wrapText="1"/>
    </xf>
    <xf numFmtId="0" fontId="30" fillId="0" borderId="0" xfId="57" applyFont="1"/>
    <xf numFmtId="0" fontId="31" fillId="0" borderId="0" xfId="0" applyFont="1"/>
    <xf numFmtId="0" fontId="20" fillId="0" borderId="0" xfId="0" applyFont="1"/>
    <xf numFmtId="0" fontId="19" fillId="0" borderId="0" xfId="0" applyFont="1" applyAlignment="1">
      <alignment horizontal="left"/>
    </xf>
    <xf numFmtId="0" fontId="19" fillId="33" borderId="23" xfId="0" applyFont="1" applyFill="1" applyBorder="1" applyAlignment="1">
      <alignment horizontal="left" wrapText="1"/>
    </xf>
    <xf numFmtId="0" fontId="33" fillId="0" borderId="0" xfId="0" applyFont="1" applyFill="1" applyAlignment="1">
      <alignment wrapText="1"/>
    </xf>
    <xf numFmtId="0" fontId="0" fillId="0" borderId="0" xfId="55" applyFont="1" applyFill="1" applyAlignment="1">
      <alignment horizontal="left" vertical="center"/>
    </xf>
    <xf numFmtId="14" fontId="0" fillId="0" borderId="0" xfId="48" applyNumberFormat="1" applyFont="1" applyFill="1"/>
    <xf numFmtId="3" fontId="0" fillId="0" borderId="0" xfId="44" applyNumberFormat="1" applyFont="1" applyFill="1"/>
    <xf numFmtId="0" fontId="0" fillId="0" borderId="0" xfId="0" applyFill="1"/>
    <xf numFmtId="0" fontId="0" fillId="0" borderId="0" xfId="55" applyFont="1" applyFill="1" applyAlignment="1">
      <alignment horizontal="right" vertical="center"/>
    </xf>
    <xf numFmtId="0" fontId="28" fillId="39" borderId="23" xfId="0" applyFont="1" applyFill="1" applyBorder="1" applyAlignment="1">
      <alignment horizontal="left" wrapText="1"/>
    </xf>
    <xf numFmtId="14" fontId="0" fillId="0" borderId="0" xfId="48" applyNumberFormat="1" applyFont="1" applyFill="1" applyAlignment="1">
      <alignment horizontal="left"/>
    </xf>
    <xf numFmtId="0" fontId="32" fillId="0" borderId="24" xfId="0" applyFont="1" applyBorder="1" applyAlignment="1">
      <alignment horizontal="left"/>
    </xf>
    <xf numFmtId="14" fontId="0" fillId="0" borderId="0" xfId="0" applyNumberFormat="1" applyFill="1"/>
    <xf numFmtId="0" fontId="0" fillId="0" borderId="0" xfId="0" applyFill="1" applyBorder="1" applyAlignment="1">
      <alignment horizontal="left" vertical="center"/>
    </xf>
    <xf numFmtId="0" fontId="35" fillId="39" borderId="25" xfId="0" applyFont="1" applyFill="1" applyBorder="1" applyAlignment="1">
      <alignment horizontal="right"/>
    </xf>
    <xf numFmtId="0" fontId="35" fillId="39" borderId="27" xfId="0" applyFont="1" applyFill="1" applyBorder="1" applyAlignment="1">
      <alignment horizontal="left" vertical="top"/>
    </xf>
    <xf numFmtId="0" fontId="28" fillId="39" borderId="28" xfId="0" applyFont="1" applyFill="1" applyBorder="1" applyAlignment="1">
      <alignment horizontal="left" wrapText="1"/>
    </xf>
    <xf numFmtId="0" fontId="28" fillId="39" borderId="29" xfId="0" applyFont="1" applyFill="1" applyBorder="1" applyAlignment="1">
      <alignment horizontal="left" wrapText="1"/>
    </xf>
    <xf numFmtId="0" fontId="28" fillId="39" borderId="31" xfId="0" applyFont="1" applyFill="1" applyBorder="1" applyAlignment="1">
      <alignment horizontal="left" wrapText="1"/>
    </xf>
    <xf numFmtId="0" fontId="19" fillId="0" borderId="32" xfId="0" applyFont="1" applyFill="1" applyBorder="1" applyAlignment="1">
      <alignment horizontal="left"/>
    </xf>
    <xf numFmtId="0" fontId="19" fillId="0" borderId="33" xfId="0" applyFont="1" applyFill="1" applyBorder="1" applyAlignment="1">
      <alignment horizontal="left"/>
    </xf>
    <xf numFmtId="0" fontId="19" fillId="0" borderId="11" xfId="0" applyFont="1" applyFill="1" applyBorder="1" applyAlignment="1">
      <alignment horizontal="left"/>
    </xf>
    <xf numFmtId="3" fontId="0" fillId="0" borderId="0" xfId="44" applyNumberFormat="1" applyFont="1" applyFill="1" applyAlignment="1">
      <alignment horizontal="right"/>
    </xf>
    <xf numFmtId="2" fontId="0" fillId="0" borderId="0" xfId="0" applyNumberFormat="1"/>
    <xf numFmtId="0" fontId="19" fillId="33" borderId="30" xfId="0" applyFont="1" applyFill="1" applyBorder="1" applyAlignment="1">
      <alignment horizontal="left"/>
    </xf>
    <xf numFmtId="0" fontId="19" fillId="33" borderId="29" xfId="0" applyFont="1" applyFill="1" applyBorder="1" applyAlignment="1">
      <alignment horizontal="left" wrapText="1"/>
    </xf>
    <xf numFmtId="0" fontId="19" fillId="33" borderId="33" xfId="0" applyFont="1" applyFill="1" applyBorder="1" applyAlignment="1">
      <alignment horizontal="left" wrapText="1"/>
    </xf>
    <xf numFmtId="2" fontId="19" fillId="33" borderId="33" xfId="0" applyNumberFormat="1" applyFont="1" applyFill="1" applyBorder="1" applyAlignment="1">
      <alignment horizontal="left" wrapText="1"/>
    </xf>
    <xf numFmtId="2" fontId="0" fillId="0" borderId="0" xfId="0" applyNumberFormat="1" applyBorder="1"/>
    <xf numFmtId="3" fontId="0" fillId="0" borderId="0" xfId="44" applyFont="1"/>
    <xf numFmtId="0" fontId="0" fillId="0" borderId="0" xfId="55" applyFont="1">
      <alignment horizontal="left" vertical="center"/>
    </xf>
    <xf numFmtId="0" fontId="19" fillId="33" borderId="36" xfId="0" applyFont="1" applyFill="1" applyBorder="1" applyAlignment="1">
      <alignment horizontal="left"/>
    </xf>
    <xf numFmtId="0" fontId="37" fillId="39" borderId="25" xfId="0" applyFont="1" applyFill="1" applyBorder="1" applyAlignment="1">
      <alignment horizontal="right"/>
    </xf>
    <xf numFmtId="3" fontId="0" fillId="0" borderId="0" xfId="0" applyNumberFormat="1"/>
    <xf numFmtId="0" fontId="36" fillId="0" borderId="25" xfId="0" applyFont="1" applyBorder="1"/>
    <xf numFmtId="0" fontId="36" fillId="0" borderId="34" xfId="0" applyFont="1" applyBorder="1"/>
    <xf numFmtId="4" fontId="38" fillId="0" borderId="29" xfId="0" applyNumberFormat="1" applyFont="1" applyBorder="1"/>
    <xf numFmtId="3" fontId="39" fillId="0" borderId="26" xfId="0" applyNumberFormat="1" applyFont="1" applyFill="1" applyBorder="1"/>
    <xf numFmtId="3" fontId="28" fillId="0" borderId="26" xfId="0" applyNumberFormat="1" applyFont="1" applyBorder="1"/>
    <xf numFmtId="3" fontId="28" fillId="0" borderId="27" xfId="0" applyNumberFormat="1" applyFont="1" applyBorder="1"/>
    <xf numFmtId="0" fontId="39" fillId="0" borderId="26" xfId="0" applyFont="1" applyFill="1" applyBorder="1"/>
    <xf numFmtId="14" fontId="35" fillId="0" borderId="25" xfId="0" applyNumberFormat="1" applyFont="1" applyFill="1" applyBorder="1"/>
    <xf numFmtId="0" fontId="36" fillId="0" borderId="25" xfId="0" applyFont="1" applyFill="1" applyBorder="1"/>
    <xf numFmtId="0" fontId="36" fillId="39" borderId="30" xfId="0" applyFont="1" applyFill="1" applyBorder="1" applyAlignment="1">
      <alignment horizontal="left" vertical="center"/>
    </xf>
    <xf numFmtId="3" fontId="20" fillId="0" borderId="0" xfId="0" applyNumberFormat="1" applyFont="1" applyBorder="1"/>
    <xf numFmtId="4" fontId="38" fillId="0" borderId="0" xfId="44" applyNumberFormat="1" applyFont="1" applyBorder="1"/>
    <xf numFmtId="4" fontId="38" fillId="0" borderId="26" xfId="0" applyNumberFormat="1" applyFont="1" applyBorder="1"/>
    <xf numFmtId="4" fontId="38" fillId="0" borderId="26" xfId="0" applyNumberFormat="1" applyFont="1" applyBorder="1" applyAlignment="1">
      <alignment horizontal="center"/>
    </xf>
    <xf numFmtId="4" fontId="38" fillId="0" borderId="30" xfId="0" applyNumberFormat="1" applyFont="1" applyBorder="1" applyAlignment="1">
      <alignment horizontal="center"/>
    </xf>
    <xf numFmtId="4" fontId="38" fillId="0" borderId="35" xfId="44" applyNumberFormat="1" applyFont="1" applyBorder="1" applyAlignment="1">
      <alignment horizontal="center"/>
    </xf>
    <xf numFmtId="4" fontId="38" fillId="0" borderId="36" xfId="44" applyNumberFormat="1" applyFont="1" applyBorder="1" applyAlignment="1">
      <alignment horizontal="center"/>
    </xf>
    <xf numFmtId="0" fontId="19" fillId="33" borderId="11" xfId="0" applyFont="1" applyFill="1" applyBorder="1" applyAlignment="1">
      <alignment horizontal="left" wrapText="1"/>
    </xf>
    <xf numFmtId="2" fontId="0" fillId="0" borderId="0" xfId="44" applyNumberFormat="1" applyFont="1"/>
    <xf numFmtId="2" fontId="0" fillId="0" borderId="0" xfId="55" applyNumberFormat="1" applyFont="1">
      <alignment horizontal="left" vertical="center"/>
    </xf>
    <xf numFmtId="3" fontId="0" fillId="0" borderId="0" xfId="44" applyNumberFormat="1" applyFont="1"/>
    <xf numFmtId="3" fontId="20" fillId="0" borderId="0" xfId="55" applyNumberFormat="1" applyFont="1">
      <alignment horizontal="left" vertical="center"/>
    </xf>
    <xf numFmtId="0" fontId="20" fillId="0" borderId="0" xfId="55" applyFont="1">
      <alignment horizontal="left" vertical="center"/>
    </xf>
    <xf numFmtId="3" fontId="20" fillId="0" borderId="0" xfId="44" applyFont="1"/>
    <xf numFmtId="3" fontId="0" fillId="0" borderId="0" xfId="44" applyFont="1" applyAlignment="1">
      <alignment horizontal="right"/>
    </xf>
    <xf numFmtId="3" fontId="20" fillId="0" borderId="0" xfId="44" applyFont="1" applyAlignment="1">
      <alignment horizontal="right"/>
    </xf>
    <xf numFmtId="0" fontId="20" fillId="0" borderId="0" xfId="55" applyFont="1" applyAlignment="1">
      <alignment horizontal="right" vertical="center"/>
    </xf>
    <xf numFmtId="0" fontId="0" fillId="0" borderId="0" xfId="0" applyAlignment="1">
      <alignment horizontal="right"/>
    </xf>
    <xf numFmtId="2" fontId="20" fillId="0" borderId="0" xfId="0" applyNumberFormat="1" applyFont="1"/>
    <xf numFmtId="2" fontId="19" fillId="33" borderId="33" xfId="0" applyNumberFormat="1" applyFont="1" applyFill="1" applyBorder="1" applyAlignment="1">
      <alignment horizontal="center" wrapText="1"/>
    </xf>
    <xf numFmtId="0" fontId="19" fillId="33" borderId="33" xfId="0" applyFont="1" applyFill="1" applyBorder="1" applyAlignment="1">
      <alignment horizontal="center" wrapText="1"/>
    </xf>
    <xf numFmtId="0" fontId="19" fillId="33" borderId="33" xfId="0" applyFont="1" applyFill="1" applyBorder="1" applyAlignment="1">
      <alignment horizontal="right" wrapText="1"/>
    </xf>
    <xf numFmtId="0" fontId="19" fillId="33" borderId="31" xfId="0" applyFont="1" applyFill="1" applyBorder="1" applyAlignment="1">
      <alignment horizontal="left"/>
    </xf>
    <xf numFmtId="0" fontId="20" fillId="0" borderId="0" xfId="0" applyFont="1" applyBorder="1" applyAlignment="1">
      <alignment horizontal="left" vertical="center"/>
    </xf>
    <xf numFmtId="3" fontId="38" fillId="0" borderId="34" xfId="0" applyNumberFormat="1" applyFont="1" applyBorder="1"/>
    <xf numFmtId="3" fontId="38" fillId="0" borderId="35" xfId="0" applyNumberFormat="1" applyFont="1" applyBorder="1"/>
    <xf numFmtId="3" fontId="38" fillId="0" borderId="36" xfId="0" applyNumberFormat="1" applyFont="1" applyBorder="1"/>
    <xf numFmtId="3" fontId="38" fillId="0" borderId="37" xfId="0" applyNumberFormat="1" applyFont="1" applyBorder="1"/>
    <xf numFmtId="3" fontId="38" fillId="0" borderId="26" xfId="0" applyNumberFormat="1" applyFont="1" applyBorder="1"/>
    <xf numFmtId="2" fontId="38" fillId="0" borderId="26" xfId="0" applyNumberFormat="1" applyFont="1" applyBorder="1"/>
    <xf numFmtId="0" fontId="38" fillId="0" borderId="26" xfId="0" applyFont="1" applyBorder="1"/>
    <xf numFmtId="3" fontId="38" fillId="0" borderId="26" xfId="0" applyNumberFormat="1" applyFont="1" applyBorder="1" applyAlignment="1">
      <alignment horizontal="right"/>
    </xf>
    <xf numFmtId="3" fontId="38" fillId="0" borderId="30" xfId="0" applyNumberFormat="1" applyFont="1" applyBorder="1" applyAlignment="1">
      <alignment horizontal="right"/>
    </xf>
    <xf numFmtId="0" fontId="36" fillId="0" borderId="11" xfId="0" applyFont="1" applyBorder="1" applyAlignment="1">
      <alignment horizontal="right"/>
    </xf>
    <xf numFmtId="0" fontId="36" fillId="0" borderId="25" xfId="0" applyFont="1" applyBorder="1" applyAlignment="1">
      <alignment horizontal="right"/>
    </xf>
    <xf numFmtId="3" fontId="38" fillId="0" borderId="25" xfId="0" applyNumberFormat="1" applyFont="1" applyBorder="1"/>
    <xf numFmtId="0" fontId="36" fillId="0" borderId="31" xfId="0" applyFont="1" applyBorder="1" applyAlignment="1">
      <alignment horizontal="right"/>
    </xf>
    <xf numFmtId="0" fontId="19" fillId="40" borderId="33" xfId="0" applyFont="1" applyFill="1" applyBorder="1" applyAlignment="1">
      <alignment horizontal="left" wrapText="1"/>
    </xf>
    <xf numFmtId="0" fontId="36" fillId="39" borderId="36" xfId="0" applyFont="1" applyFill="1" applyBorder="1" applyAlignment="1">
      <alignment horizontal="left" vertical="center"/>
    </xf>
    <xf numFmtId="3" fontId="38" fillId="0" borderId="29" xfId="0" applyNumberFormat="1" applyFont="1" applyBorder="1"/>
    <xf numFmtId="3" fontId="38" fillId="0" borderId="30" xfId="0" applyNumberFormat="1" applyFont="1" applyBorder="1"/>
    <xf numFmtId="169" fontId="38" fillId="0" borderId="33" xfId="0" applyNumberFormat="1" applyFont="1" applyBorder="1"/>
    <xf numFmtId="0" fontId="38" fillId="0" borderId="11" xfId="0" applyNumberFormat="1" applyFont="1" applyBorder="1"/>
    <xf numFmtId="0" fontId="0" fillId="34" borderId="0" xfId="55" applyFont="1" applyFill="1">
      <alignment horizontal="left" vertical="center"/>
    </xf>
    <xf numFmtId="10" fontId="0" fillId="0" borderId="0" xfId="0" applyNumberFormat="1"/>
    <xf numFmtId="0" fontId="20" fillId="0" borderId="0" xfId="0" applyFont="1" applyAlignment="1">
      <alignment horizontal="right"/>
    </xf>
    <xf numFmtId="0" fontId="19" fillId="34" borderId="33" xfId="0" applyFont="1" applyFill="1" applyBorder="1" applyAlignment="1">
      <alignment horizontal="left" wrapText="1"/>
    </xf>
    <xf numFmtId="0" fontId="38" fillId="0" borderId="0" xfId="0" applyFont="1" applyAlignment="1">
      <alignment horizontal="right"/>
    </xf>
    <xf numFmtId="0" fontId="36" fillId="39" borderId="30" xfId="55" applyFont="1" applyFill="1" applyBorder="1">
      <alignment horizontal="left" vertical="center"/>
    </xf>
    <xf numFmtId="14" fontId="20" fillId="0" borderId="0" xfId="0" applyNumberFormat="1" applyFont="1" applyBorder="1"/>
    <xf numFmtId="170" fontId="0" fillId="0" borderId="0" xfId="0" applyNumberFormat="1"/>
    <xf numFmtId="0" fontId="19" fillId="0" borderId="34" xfId="0" applyFont="1" applyBorder="1"/>
    <xf numFmtId="3" fontId="19" fillId="0" borderId="35" xfId="0" applyNumberFormat="1" applyFont="1" applyBorder="1"/>
    <xf numFmtId="170" fontId="19" fillId="0" borderId="35" xfId="0" applyNumberFormat="1" applyFont="1" applyBorder="1"/>
    <xf numFmtId="168" fontId="19" fillId="0" borderId="36" xfId="0" applyNumberFormat="1" applyFont="1" applyBorder="1"/>
    <xf numFmtId="14" fontId="19" fillId="0" borderId="25" xfId="0" applyNumberFormat="1" applyFont="1" applyBorder="1"/>
    <xf numFmtId="3" fontId="19" fillId="0" borderId="26" xfId="0" applyNumberFormat="1" applyFont="1" applyBorder="1"/>
    <xf numFmtId="168" fontId="19" fillId="0" borderId="26" xfId="0" applyNumberFormat="1" applyFont="1" applyBorder="1"/>
    <xf numFmtId="0" fontId="19" fillId="0" borderId="26" xfId="0" applyFont="1" applyBorder="1"/>
    <xf numFmtId="170" fontId="19" fillId="0" borderId="30" xfId="0" applyNumberFormat="1" applyFont="1" applyBorder="1"/>
    <xf numFmtId="0" fontId="19" fillId="42" borderId="33" xfId="0" applyFont="1" applyFill="1" applyBorder="1" applyAlignment="1">
      <alignment horizontal="left" wrapText="1"/>
    </xf>
    <xf numFmtId="0" fontId="19" fillId="43" borderId="33" xfId="0" applyFont="1" applyFill="1" applyBorder="1" applyAlignment="1">
      <alignment horizontal="left" wrapText="1"/>
    </xf>
    <xf numFmtId="0" fontId="19" fillId="41" borderId="33" xfId="0" applyFont="1" applyFill="1" applyBorder="1" applyAlignment="1">
      <alignment horizontal="left" wrapText="1"/>
    </xf>
    <xf numFmtId="170" fontId="19" fillId="41" borderId="33" xfId="0" applyNumberFormat="1" applyFont="1" applyFill="1" applyBorder="1" applyAlignment="1">
      <alignment horizontal="left" wrapText="1"/>
    </xf>
    <xf numFmtId="0" fontId="41" fillId="33" borderId="33" xfId="0" applyFont="1" applyFill="1" applyBorder="1" applyAlignment="1">
      <alignment horizontal="center" wrapText="1"/>
    </xf>
    <xf numFmtId="170" fontId="38" fillId="0" borderId="0" xfId="0" applyNumberFormat="1" applyFont="1"/>
    <xf numFmtId="0" fontId="42" fillId="39" borderId="25" xfId="0" applyFont="1" applyFill="1" applyBorder="1" applyAlignment="1">
      <alignment horizontal="right"/>
    </xf>
    <xf numFmtId="168" fontId="42" fillId="39" borderId="30" xfId="55" applyNumberFormat="1" applyFont="1" applyFill="1" applyBorder="1" applyAlignment="1">
      <alignment horizontal="right" vertical="center"/>
    </xf>
    <xf numFmtId="3" fontId="42" fillId="39" borderId="30" xfId="55" applyNumberFormat="1" applyFont="1" applyFill="1" applyBorder="1" applyAlignment="1">
      <alignment horizontal="right" vertical="center"/>
    </xf>
    <xf numFmtId="170" fontId="42" fillId="39" borderId="26" xfId="0" applyNumberFormat="1" applyFont="1" applyFill="1" applyBorder="1" applyAlignment="1">
      <alignment horizontal="right"/>
    </xf>
    <xf numFmtId="0" fontId="42" fillId="39" borderId="30" xfId="0" applyFont="1" applyFill="1" applyBorder="1" applyAlignment="1">
      <alignment horizontal="right"/>
    </xf>
    <xf numFmtId="0" fontId="36" fillId="39" borderId="30" xfId="0" applyFont="1" applyFill="1" applyBorder="1" applyAlignment="1">
      <alignment horizontal="left"/>
    </xf>
    <xf numFmtId="168" fontId="0" fillId="0" borderId="0" xfId="0" applyNumberFormat="1" applyAlignment="1">
      <alignment horizontal="right"/>
    </xf>
    <xf numFmtId="6" fontId="0" fillId="0" borderId="0" xfId="55" applyNumberFormat="1" applyFont="1" applyAlignment="1">
      <alignment horizontal="right" vertical="center"/>
    </xf>
    <xf numFmtId="170" fontId="38" fillId="0" borderId="25" xfId="0" applyNumberFormat="1" applyFont="1" applyBorder="1"/>
    <xf numFmtId="170" fontId="38" fillId="0" borderId="26" xfId="0" applyNumberFormat="1" applyFont="1" applyBorder="1"/>
    <xf numFmtId="170" fontId="38" fillId="0" borderId="30" xfId="0" applyNumberFormat="1" applyFont="1" applyBorder="1"/>
    <xf numFmtId="0" fontId="0" fillId="44" borderId="0" xfId="55" applyFont="1" applyFill="1">
      <alignment horizontal="left" vertical="center"/>
    </xf>
    <xf numFmtId="0" fontId="0" fillId="45" borderId="0" xfId="55" applyFont="1" applyFill="1">
      <alignment horizontal="left" vertical="center"/>
    </xf>
    <xf numFmtId="0" fontId="0" fillId="0" borderId="0" xfId="55" applyFont="1" applyAlignment="1">
      <alignment horizontal="right" vertical="center"/>
    </xf>
    <xf numFmtId="0" fontId="0" fillId="0" borderId="0" xfId="55" applyFont="1" applyFill="1">
      <alignment horizontal="left" vertical="center"/>
    </xf>
    <xf numFmtId="0" fontId="20" fillId="0" borderId="0" xfId="55" applyFont="1" applyFill="1" applyAlignment="1">
      <alignment horizontal="right" vertical="center"/>
    </xf>
    <xf numFmtId="3" fontId="42" fillId="0" borderId="25" xfId="0" applyNumberFormat="1" applyFont="1" applyBorder="1"/>
    <xf numFmtId="3" fontId="42" fillId="0" borderId="26" xfId="0" applyNumberFormat="1" applyFont="1" applyBorder="1"/>
    <xf numFmtId="3" fontId="42" fillId="0" borderId="30" xfId="0" applyNumberFormat="1" applyFont="1" applyBorder="1"/>
    <xf numFmtId="4" fontId="42" fillId="0" borderId="25" xfId="0" applyNumberFormat="1" applyFont="1" applyBorder="1"/>
    <xf numFmtId="4" fontId="42" fillId="0" borderId="26" xfId="0" applyNumberFormat="1" applyFont="1" applyBorder="1"/>
    <xf numFmtId="4" fontId="42" fillId="0" borderId="30" xfId="0" applyNumberFormat="1" applyFont="1" applyBorder="1"/>
    <xf numFmtId="0" fontId="42" fillId="39" borderId="11" xfId="0" applyFont="1" applyFill="1" applyBorder="1" applyAlignment="1">
      <alignment horizontal="right"/>
    </xf>
    <xf numFmtId="4" fontId="38" fillId="0" borderId="0" xfId="0" applyNumberFormat="1" applyFont="1"/>
    <xf numFmtId="0" fontId="19" fillId="0" borderId="0" xfId="0" applyFont="1" applyAlignment="1">
      <alignment horizontal="right"/>
    </xf>
    <xf numFmtId="0" fontId="19" fillId="33" borderId="31" xfId="0" applyFont="1" applyFill="1" applyBorder="1" applyAlignment="1">
      <alignment horizontal="left" wrapText="1"/>
    </xf>
    <xf numFmtId="171" fontId="0" fillId="0" borderId="0" xfId="0" applyNumberFormat="1"/>
    <xf numFmtId="0" fontId="0" fillId="0" borderId="0" xfId="0" applyBorder="1"/>
    <xf numFmtId="0" fontId="0" fillId="0" borderId="0" xfId="0" applyFill="1" applyBorder="1"/>
    <xf numFmtId="0" fontId="19" fillId="0" borderId="0" xfId="0" applyFont="1" applyFill="1" applyBorder="1" applyAlignment="1">
      <alignment horizontal="left" wrapText="1"/>
    </xf>
    <xf numFmtId="0" fontId="19" fillId="0" borderId="0" xfId="0" applyFont="1" applyFill="1" applyBorder="1" applyAlignment="1">
      <alignment horizontal="right"/>
    </xf>
    <xf numFmtId="169" fontId="0" fillId="0" borderId="0" xfId="0" applyNumberFormat="1" applyFill="1" applyBorder="1"/>
    <xf numFmtId="0" fontId="19" fillId="39" borderId="11" xfId="0" applyFont="1" applyFill="1" applyBorder="1" applyAlignment="1">
      <alignment wrapText="1"/>
    </xf>
    <xf numFmtId="0" fontId="19" fillId="0" borderId="31" xfId="0" applyFont="1" applyBorder="1" applyAlignment="1">
      <alignment horizontal="right"/>
    </xf>
    <xf numFmtId="169" fontId="0" fillId="0" borderId="48" xfId="0" applyNumberFormat="1" applyBorder="1"/>
    <xf numFmtId="169" fontId="0" fillId="0" borderId="49" xfId="0" applyNumberFormat="1" applyBorder="1"/>
    <xf numFmtId="169" fontId="0" fillId="0" borderId="50" xfId="0" applyNumberFormat="1" applyBorder="1"/>
    <xf numFmtId="0" fontId="19" fillId="0" borderId="32" xfId="0" applyFont="1" applyBorder="1" applyAlignment="1">
      <alignment horizontal="right"/>
    </xf>
    <xf numFmtId="169" fontId="0" fillId="0" borderId="51" xfId="0" applyNumberFormat="1" applyBorder="1"/>
    <xf numFmtId="169" fontId="0" fillId="0" borderId="43" xfId="0" applyNumberFormat="1" applyBorder="1"/>
    <xf numFmtId="169" fontId="0" fillId="0" borderId="52" xfId="0" applyNumberFormat="1" applyBorder="1"/>
    <xf numFmtId="0" fontId="19" fillId="39" borderId="11" xfId="0" applyFont="1" applyFill="1" applyBorder="1" applyAlignment="1">
      <alignment horizontal="right"/>
    </xf>
    <xf numFmtId="169" fontId="0" fillId="39" borderId="42" xfId="0" applyNumberFormat="1" applyFill="1" applyBorder="1"/>
    <xf numFmtId="169" fontId="0" fillId="39" borderId="53" xfId="0" applyNumberFormat="1" applyFill="1" applyBorder="1"/>
    <xf numFmtId="169" fontId="0" fillId="39" borderId="39" xfId="0" applyNumberFormat="1" applyFill="1" applyBorder="1"/>
    <xf numFmtId="3" fontId="0" fillId="0" borderId="38" xfId="44" applyFont="1" applyBorder="1"/>
    <xf numFmtId="168" fontId="0" fillId="0" borderId="38" xfId="0" applyNumberFormat="1" applyBorder="1"/>
    <xf numFmtId="0" fontId="0" fillId="46" borderId="38" xfId="55" applyFont="1" applyFill="1" applyBorder="1">
      <alignment horizontal="left" vertical="center"/>
    </xf>
    <xf numFmtId="168" fontId="0" fillId="0" borderId="38" xfId="0" applyNumberFormat="1" applyFill="1" applyBorder="1"/>
    <xf numFmtId="3" fontId="0" fillId="0" borderId="38" xfId="44" applyFont="1" applyFill="1" applyBorder="1"/>
    <xf numFmtId="0" fontId="19" fillId="33" borderId="32" xfId="0" applyFont="1" applyFill="1" applyBorder="1" applyAlignment="1">
      <alignment horizontal="left" wrapText="1"/>
    </xf>
    <xf numFmtId="0" fontId="0" fillId="0" borderId="34" xfId="55" applyFont="1" applyBorder="1">
      <alignment horizontal="left" vertical="center"/>
    </xf>
    <xf numFmtId="3" fontId="0" fillId="0" borderId="44" xfId="44" applyFont="1" applyBorder="1"/>
    <xf numFmtId="168" fontId="0" fillId="0" borderId="44" xfId="0" applyNumberFormat="1" applyBorder="1"/>
    <xf numFmtId="0" fontId="0" fillId="46" borderId="44" xfId="55" applyFont="1" applyFill="1" applyBorder="1">
      <alignment horizontal="left" vertical="center"/>
    </xf>
    <xf numFmtId="168" fontId="0" fillId="0" borderId="41" xfId="0" applyNumberFormat="1" applyBorder="1"/>
    <xf numFmtId="0" fontId="0" fillId="0" borderId="40" xfId="55" applyFont="1" applyBorder="1">
      <alignment horizontal="left" vertical="center"/>
    </xf>
    <xf numFmtId="0" fontId="0" fillId="46" borderId="45" xfId="55" applyFont="1" applyFill="1" applyBorder="1">
      <alignment horizontal="left" vertical="center"/>
    </xf>
    <xf numFmtId="168" fontId="0" fillId="0" borderId="45" xfId="0" applyNumberFormat="1" applyBorder="1"/>
    <xf numFmtId="168" fontId="0" fillId="0" borderId="45" xfId="0" applyNumberFormat="1" applyFill="1" applyBorder="1"/>
    <xf numFmtId="0" fontId="0" fillId="0" borderId="28" xfId="55" applyFont="1" applyBorder="1">
      <alignment horizontal="left" vertical="center"/>
    </xf>
    <xf numFmtId="3" fontId="0" fillId="0" borderId="46" xfId="44" applyFont="1" applyBorder="1"/>
    <xf numFmtId="168" fontId="0" fillId="0" borderId="46" xfId="0" applyNumberFormat="1" applyBorder="1"/>
    <xf numFmtId="168" fontId="0" fillId="0" borderId="47" xfId="0" applyNumberFormat="1" applyBorder="1"/>
    <xf numFmtId="0" fontId="36" fillId="39" borderId="25" xfId="0" applyFont="1" applyFill="1" applyBorder="1" applyAlignment="1">
      <alignment horizontal="right"/>
    </xf>
    <xf numFmtId="0" fontId="36" fillId="33" borderId="25" xfId="0" applyFont="1" applyFill="1" applyBorder="1" applyAlignment="1">
      <alignment horizontal="right"/>
    </xf>
    <xf numFmtId="0" fontId="19" fillId="33" borderId="38" xfId="0" applyFont="1" applyFill="1" applyBorder="1" applyAlignment="1">
      <alignment horizontal="left"/>
    </xf>
    <xf numFmtId="0" fontId="18" fillId="0" borderId="55" xfId="55" applyBorder="1">
      <alignment horizontal="left" vertical="center"/>
    </xf>
    <xf numFmtId="0" fontId="19" fillId="33" borderId="44" xfId="0" applyFont="1" applyFill="1" applyBorder="1" applyAlignment="1">
      <alignment horizontal="left"/>
    </xf>
    <xf numFmtId="0" fontId="18" fillId="0" borderId="56" xfId="55" applyBorder="1">
      <alignment horizontal="left" vertical="center"/>
    </xf>
    <xf numFmtId="0" fontId="18" fillId="0" borderId="57" xfId="55" applyBorder="1">
      <alignment horizontal="left" vertical="center"/>
    </xf>
    <xf numFmtId="0" fontId="19" fillId="33" borderId="46" xfId="0" applyFont="1" applyFill="1" applyBorder="1" applyAlignment="1">
      <alignment horizontal="left"/>
    </xf>
    <xf numFmtId="0" fontId="19" fillId="33" borderId="54" xfId="0" applyFont="1" applyFill="1" applyBorder="1" applyAlignment="1">
      <alignment horizontal="left" wrapText="1"/>
    </xf>
    <xf numFmtId="0" fontId="18" fillId="41" borderId="44" xfId="55" applyFill="1" applyBorder="1">
      <alignment horizontal="left" vertical="center"/>
    </xf>
    <xf numFmtId="167" fontId="0" fillId="41" borderId="44" xfId="0" applyNumberFormat="1" applyFill="1" applyBorder="1"/>
    <xf numFmtId="14" fontId="18" fillId="41" borderId="44" xfId="48" applyFill="1" applyBorder="1"/>
    <xf numFmtId="0" fontId="18" fillId="41" borderId="38" xfId="55" applyFill="1" applyBorder="1">
      <alignment horizontal="left" vertical="center"/>
    </xf>
    <xf numFmtId="167" fontId="0" fillId="41" borderId="38" xfId="0" applyNumberFormat="1" applyFill="1" applyBorder="1"/>
    <xf numFmtId="14" fontId="18" fillId="41" borderId="38" xfId="48" applyFill="1" applyBorder="1"/>
    <xf numFmtId="0" fontId="18" fillId="41" borderId="45" xfId="55" applyFill="1" applyBorder="1">
      <alignment horizontal="left" vertical="center"/>
    </xf>
    <xf numFmtId="0" fontId="18" fillId="43" borderId="38" xfId="55" applyFill="1" applyBorder="1">
      <alignment horizontal="left" vertical="center"/>
    </xf>
    <xf numFmtId="167" fontId="0" fillId="43" borderId="38" xfId="0" applyNumberFormat="1" applyFill="1" applyBorder="1"/>
    <xf numFmtId="14" fontId="18" fillId="43" borderId="38" xfId="48" applyFill="1" applyBorder="1"/>
    <xf numFmtId="0" fontId="18" fillId="43" borderId="45" xfId="55" applyFill="1" applyBorder="1">
      <alignment horizontal="left" vertical="center"/>
    </xf>
    <xf numFmtId="0" fontId="18" fillId="42" borderId="38" xfId="55" applyFill="1" applyBorder="1">
      <alignment horizontal="left" vertical="center"/>
    </xf>
    <xf numFmtId="167" fontId="0" fillId="42" borderId="38" xfId="0" applyNumberFormat="1" applyFill="1" applyBorder="1"/>
    <xf numFmtId="14" fontId="18" fillId="42" borderId="38" xfId="48" applyFill="1" applyBorder="1"/>
    <xf numFmtId="0" fontId="18" fillId="42" borderId="45" xfId="55" applyFill="1" applyBorder="1">
      <alignment horizontal="left" vertical="center"/>
    </xf>
    <xf numFmtId="0" fontId="18" fillId="47" borderId="38" xfId="55" applyFill="1" applyBorder="1">
      <alignment horizontal="left" vertical="center"/>
    </xf>
    <xf numFmtId="167" fontId="0" fillId="47" borderId="38" xfId="0" applyNumberFormat="1" applyFill="1" applyBorder="1"/>
    <xf numFmtId="14" fontId="18" fillId="47" borderId="38" xfId="48" applyFill="1" applyBorder="1"/>
    <xf numFmtId="0" fontId="18" fillId="47" borderId="45" xfId="55" applyFill="1" applyBorder="1">
      <alignment horizontal="left" vertical="center"/>
    </xf>
    <xf numFmtId="0" fontId="18" fillId="48" borderId="38" xfId="55" applyFill="1" applyBorder="1">
      <alignment horizontal="left" vertical="center"/>
    </xf>
    <xf numFmtId="0" fontId="18" fillId="48" borderId="45" xfId="55" applyFill="1" applyBorder="1">
      <alignment horizontal="left" vertical="center"/>
    </xf>
    <xf numFmtId="167" fontId="0" fillId="48" borderId="38" xfId="0" applyNumberFormat="1" applyFill="1" applyBorder="1"/>
    <xf numFmtId="14" fontId="18" fillId="48" borderId="38" xfId="48" applyFill="1" applyBorder="1"/>
    <xf numFmtId="0" fontId="18" fillId="49" borderId="38" xfId="55" applyFill="1" applyBorder="1">
      <alignment horizontal="left" vertical="center"/>
    </xf>
    <xf numFmtId="167" fontId="0" fillId="49" borderId="38" xfId="0" applyNumberFormat="1" applyFill="1" applyBorder="1"/>
    <xf numFmtId="14" fontId="18" fillId="49" borderId="38" xfId="48" applyFill="1" applyBorder="1"/>
    <xf numFmtId="0" fontId="18" fillId="49" borderId="45" xfId="55" applyFill="1" applyBorder="1">
      <alignment horizontal="left" vertical="center"/>
    </xf>
    <xf numFmtId="0" fontId="18" fillId="49" borderId="46" xfId="55" applyFill="1" applyBorder="1">
      <alignment horizontal="left" vertical="center"/>
    </xf>
    <xf numFmtId="167" fontId="0" fillId="49" borderId="46" xfId="0" applyNumberFormat="1" applyFill="1" applyBorder="1"/>
    <xf numFmtId="14" fontId="18" fillId="49" borderId="46" xfId="48" applyFill="1" applyBorder="1"/>
    <xf numFmtId="0" fontId="18" fillId="49" borderId="47" xfId="55" applyFill="1" applyBorder="1">
      <alignment horizontal="left" vertical="center"/>
    </xf>
    <xf numFmtId="0" fontId="18" fillId="0" borderId="58" xfId="55" applyBorder="1">
      <alignment horizontal="left" vertical="center"/>
    </xf>
    <xf numFmtId="0" fontId="18" fillId="49" borderId="44" xfId="55" applyFill="1" applyBorder="1">
      <alignment horizontal="left" vertical="center"/>
    </xf>
    <xf numFmtId="167" fontId="0" fillId="49" borderId="44" xfId="0" applyNumberFormat="1" applyFill="1" applyBorder="1"/>
    <xf numFmtId="14" fontId="18" fillId="49" borderId="44" xfId="48" applyFill="1" applyBorder="1"/>
    <xf numFmtId="0" fontId="19" fillId="33" borderId="61" xfId="0" applyFont="1" applyFill="1" applyBorder="1" applyAlignment="1">
      <alignment horizontal="left"/>
    </xf>
    <xf numFmtId="0" fontId="18" fillId="42" borderId="59" xfId="55" applyFill="1" applyBorder="1">
      <alignment horizontal="left" vertical="center"/>
    </xf>
    <xf numFmtId="167" fontId="0" fillId="42" borderId="59" xfId="0" applyNumberFormat="1" applyFill="1" applyBorder="1"/>
    <xf numFmtId="14" fontId="18" fillId="42" borderId="59" xfId="48" applyFill="1" applyBorder="1"/>
    <xf numFmtId="0" fontId="18" fillId="47" borderId="55" xfId="55" applyFill="1" applyBorder="1">
      <alignment horizontal="left" vertical="center"/>
    </xf>
    <xf numFmtId="0" fontId="18" fillId="47" borderId="44" xfId="55" applyFill="1" applyBorder="1">
      <alignment horizontal="left" vertical="center"/>
    </xf>
    <xf numFmtId="167" fontId="0" fillId="47" borderId="44" xfId="0" applyNumberFormat="1" applyFill="1" applyBorder="1"/>
    <xf numFmtId="14" fontId="18" fillId="47" borderId="44" xfId="48" applyFill="1" applyBorder="1"/>
    <xf numFmtId="0" fontId="18" fillId="47" borderId="56" xfId="55" applyFill="1" applyBorder="1">
      <alignment horizontal="left" vertical="center"/>
    </xf>
    <xf numFmtId="0" fontId="18" fillId="41" borderId="59" xfId="55" applyFill="1" applyBorder="1">
      <alignment horizontal="left" vertical="center"/>
    </xf>
    <xf numFmtId="167" fontId="0" fillId="41" borderId="59" xfId="0" applyNumberFormat="1" applyFill="1" applyBorder="1"/>
    <xf numFmtId="14" fontId="18" fillId="41" borderId="59" xfId="48" applyFill="1" applyBorder="1"/>
    <xf numFmtId="0" fontId="18" fillId="42" borderId="62" xfId="55" applyFill="1" applyBorder="1">
      <alignment horizontal="left" vertical="center"/>
    </xf>
    <xf numFmtId="167" fontId="0" fillId="42" borderId="62" xfId="0" applyNumberFormat="1" applyFill="1" applyBorder="1"/>
    <xf numFmtId="14" fontId="18" fillId="42" borderId="62" xfId="48" applyFill="1" applyBorder="1"/>
    <xf numFmtId="0" fontId="18" fillId="43" borderId="55" xfId="55" applyFill="1" applyBorder="1">
      <alignment horizontal="left" vertical="center"/>
    </xf>
    <xf numFmtId="0" fontId="18" fillId="43" borderId="44" xfId="55" applyFill="1" applyBorder="1">
      <alignment horizontal="left" vertical="center"/>
    </xf>
    <xf numFmtId="167" fontId="0" fillId="43" borderId="44" xfId="0" applyNumberFormat="1" applyFill="1" applyBorder="1"/>
    <xf numFmtId="14" fontId="18" fillId="43" borderId="44" xfId="48" applyFill="1" applyBorder="1"/>
    <xf numFmtId="0" fontId="18" fillId="43" borderId="56" xfId="55" applyFill="1" applyBorder="1">
      <alignment horizontal="left" vertical="center"/>
    </xf>
    <xf numFmtId="0" fontId="18" fillId="43" borderId="57" xfId="55" applyFill="1" applyBorder="1">
      <alignment horizontal="left" vertical="center"/>
    </xf>
    <xf numFmtId="0" fontId="18" fillId="43" borderId="46" xfId="55" applyFill="1" applyBorder="1">
      <alignment horizontal="left" vertical="center"/>
    </xf>
    <xf numFmtId="167" fontId="0" fillId="43" borderId="46" xfId="0" applyNumberFormat="1" applyFill="1" applyBorder="1"/>
    <xf numFmtId="14" fontId="18" fillId="43" borderId="46" xfId="48" applyFill="1" applyBorder="1"/>
    <xf numFmtId="0" fontId="19" fillId="33" borderId="64" xfId="0" applyFont="1" applyFill="1" applyBorder="1" applyAlignment="1">
      <alignment horizontal="left"/>
    </xf>
    <xf numFmtId="0" fontId="18" fillId="47" borderId="58" xfId="55" applyFill="1" applyBorder="1">
      <alignment horizontal="left" vertical="center"/>
    </xf>
    <xf numFmtId="0" fontId="18" fillId="47" borderId="59" xfId="55" applyFill="1" applyBorder="1">
      <alignment horizontal="left" vertical="center"/>
    </xf>
    <xf numFmtId="167" fontId="0" fillId="47" borderId="59" xfId="0" applyNumberFormat="1" applyFill="1" applyBorder="1"/>
    <xf numFmtId="14" fontId="18" fillId="47" borderId="59" xfId="48" applyFill="1" applyBorder="1"/>
    <xf numFmtId="0" fontId="18" fillId="48" borderId="44" xfId="55" applyFill="1" applyBorder="1">
      <alignment horizontal="left" vertical="center"/>
    </xf>
    <xf numFmtId="0" fontId="18" fillId="48" borderId="46" xfId="55" applyFill="1" applyBorder="1">
      <alignment horizontal="left" vertical="center"/>
    </xf>
    <xf numFmtId="167" fontId="0" fillId="48" borderId="46" xfId="0" applyNumberFormat="1" applyFill="1" applyBorder="1"/>
    <xf numFmtId="14" fontId="18" fillId="48" borderId="46" xfId="48" applyFill="1" applyBorder="1"/>
    <xf numFmtId="0" fontId="18" fillId="48" borderId="47" xfId="55" applyFill="1" applyBorder="1">
      <alignment horizontal="left" vertical="center"/>
    </xf>
    <xf numFmtId="0" fontId="18" fillId="39" borderId="44" xfId="55" applyFill="1" applyBorder="1">
      <alignment horizontal="left" vertical="center"/>
    </xf>
    <xf numFmtId="0" fontId="18" fillId="39" borderId="41" xfId="55" applyFill="1" applyBorder="1">
      <alignment horizontal="left" vertical="center"/>
    </xf>
    <xf numFmtId="0" fontId="18" fillId="39" borderId="38" xfId="55" applyFill="1" applyBorder="1">
      <alignment horizontal="left" vertical="center"/>
    </xf>
    <xf numFmtId="0" fontId="18" fillId="39" borderId="45" xfId="55" applyFill="1" applyBorder="1">
      <alignment horizontal="left" vertical="center"/>
    </xf>
    <xf numFmtId="0" fontId="18" fillId="39" borderId="59" xfId="55" applyFill="1" applyBorder="1">
      <alignment horizontal="left" vertical="center"/>
    </xf>
    <xf numFmtId="0" fontId="18" fillId="39" borderId="60" xfId="55" applyFill="1" applyBorder="1">
      <alignment horizontal="left" vertical="center"/>
    </xf>
    <xf numFmtId="0" fontId="18" fillId="39" borderId="46" xfId="55" applyFill="1" applyBorder="1">
      <alignment horizontal="left" vertical="center"/>
    </xf>
    <xf numFmtId="0" fontId="18" fillId="39" borderId="47" xfId="55" applyFill="1" applyBorder="1">
      <alignment horizontal="left" vertical="center"/>
    </xf>
    <xf numFmtId="0" fontId="18" fillId="39" borderId="62" xfId="55" applyFill="1" applyBorder="1">
      <alignment horizontal="left" vertical="center"/>
    </xf>
    <xf numFmtId="0" fontId="18" fillId="39" borderId="63" xfId="55" applyFill="1" applyBorder="1">
      <alignment horizontal="left" vertical="center"/>
    </xf>
    <xf numFmtId="0" fontId="36" fillId="0" borderId="0" xfId="0" applyFont="1" applyAlignment="1">
      <alignment horizontal="center" vertical="top"/>
    </xf>
    <xf numFmtId="3" fontId="0" fillId="0" borderId="0" xfId="0" applyNumberFormat="1" applyAlignment="1">
      <alignment horizontal="right" vertical="center"/>
    </xf>
    <xf numFmtId="0" fontId="42" fillId="50" borderId="38" xfId="62" applyFont="1" applyFill="1" applyBorder="1"/>
    <xf numFmtId="0" fontId="0" fillId="50" borderId="0" xfId="0" applyFill="1"/>
    <xf numFmtId="0" fontId="36" fillId="0" borderId="0" xfId="0" applyFont="1" applyFill="1" applyAlignment="1">
      <alignment horizontal="center" vertical="top"/>
    </xf>
    <xf numFmtId="0" fontId="22" fillId="0" borderId="0" xfId="57" applyFont="1" applyFill="1"/>
    <xf numFmtId="0" fontId="30" fillId="0" borderId="0" xfId="57" applyFont="1" applyFill="1"/>
  </cellXfs>
  <cellStyles count="6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7" builtinId="8"/>
    <cellStyle name="Input" xfId="9" builtinId="20" customBuiltin="1"/>
    <cellStyle name="Linked Cell" xfId="12" builtinId="24" customBuiltin="1"/>
    <cellStyle name="Neutral" xfId="8" builtinId="28" customBuiltin="1"/>
    <cellStyle name="Normal" xfId="0" builtinId="0" customBuiltin="1"/>
    <cellStyle name="Normal 2 2 2" xfId="62" xr:uid="{5F9432C7-5A75-458A-9904-919CE6E55FD9}"/>
    <cellStyle name="Note" xfId="15" builtinId="10" customBuiltin="1"/>
    <cellStyle name="Output" xfId="10" builtinId="21" customBuiltin="1"/>
    <cellStyle name="sCurrency" xfId="45" xr:uid="{00000000-0005-0000-0000-000028000000}"/>
    <cellStyle name="sDate" xfId="50" xr:uid="{00000000-0005-0000-0000-000029000000}"/>
    <cellStyle name="sDecimal" xfId="43" xr:uid="{00000000-0005-0000-0000-00002A000000}"/>
    <cellStyle name="sInteger" xfId="44" xr:uid="{00000000-0005-0000-0000-00002B000000}"/>
    <cellStyle name="sLongDate" xfId="51" xr:uid="{00000000-0005-0000-0000-00002C000000}"/>
    <cellStyle name="sLongTime" xfId="53" xr:uid="{00000000-0005-0000-0000-00002D000000}"/>
    <cellStyle name="sMediumDate" xfId="52" xr:uid="{00000000-0005-0000-0000-00002E000000}"/>
    <cellStyle name="sMediumTime" xfId="54" xr:uid="{00000000-0005-0000-0000-00002F000000}"/>
    <cellStyle name="sNumber" xfId="42" xr:uid="{00000000-0005-0000-0000-000030000000}"/>
    <cellStyle name="sPercent" xfId="46" xr:uid="{00000000-0005-0000-0000-000031000000}"/>
    <cellStyle name="sPhone" xfId="58" xr:uid="{00000000-0005-0000-0000-000032000000}"/>
    <cellStyle name="sPhoneExt" xfId="59" xr:uid="{00000000-0005-0000-0000-000033000000}"/>
    <cellStyle name="sRichText" xfId="56" xr:uid="{00000000-0005-0000-0000-000034000000}"/>
    <cellStyle name="sShortDate" xfId="48" xr:uid="{00000000-0005-0000-0000-000035000000}"/>
    <cellStyle name="sShortTime" xfId="49" xr:uid="{00000000-0005-0000-0000-000036000000}"/>
    <cellStyle name="sStandard" xfId="47" xr:uid="{00000000-0005-0000-0000-000037000000}"/>
    <cellStyle name="sText" xfId="55" xr:uid="{00000000-0005-0000-0000-000038000000}"/>
    <cellStyle name="Style 1" xfId="61" xr:uid="{00000000-0005-0000-0000-000039000000}"/>
    <cellStyle name="sZip" xfId="60" xr:uid="{00000000-0005-0000-0000-00003A000000}"/>
    <cellStyle name="Title" xfId="1" builtinId="15" customBuiltin="1"/>
    <cellStyle name="Total" xfId="17" builtinId="25" customBuiltin="1"/>
    <cellStyle name="Warning Text" xfId="14" builtinId="11" customBuiltin="1"/>
  </cellStyles>
  <dxfs count="305">
    <dxf>
      <numFmt numFmtId="168" formatCode="&quot;$&quot;#,##0"/>
      <border diagonalUp="0" diagonalDown="0">
        <left style="thin">
          <color auto="1"/>
        </left>
        <right style="thin">
          <color auto="1"/>
        </right>
        <top style="thin">
          <color auto="1"/>
        </top>
        <bottom style="thin">
          <color auto="1"/>
        </bottom>
        <vertical/>
        <horizontal/>
      </border>
    </dxf>
    <dxf>
      <numFmt numFmtId="168" formatCode="&quot;$&quot;#,##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border diagonalUp="0" diagonalDown="0">
        <left style="thin">
          <color auto="1"/>
        </left>
        <right style="thin">
          <color auto="1"/>
        </right>
        <top style="thin">
          <color auto="1"/>
        </top>
        <bottom style="thin">
          <color auto="1"/>
        </bottom>
        <vertical/>
        <horizontal/>
      </border>
    </dxf>
    <dxf>
      <numFmt numFmtId="168" formatCode="&quot;$&quot;#,##0"/>
      <border diagonalUp="0" diagonalDown="0">
        <left style="thin">
          <color auto="1"/>
        </left>
        <right style="thin">
          <color auto="1"/>
        </right>
        <top style="thin">
          <color auto="1"/>
        </top>
        <bottom style="thin">
          <color auto="1"/>
        </bottom>
        <vertical/>
        <horizontal/>
      </border>
    </dxf>
    <dxf>
      <numFmt numFmtId="168" formatCode="&quot;$&quot;#,##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border diagonalUp="0" diagonalDown="0">
        <left style="thin">
          <color auto="1"/>
        </left>
        <right style="thin">
          <color auto="1"/>
        </right>
        <top style="thin">
          <color auto="1"/>
        </top>
        <bottom style="thin">
          <color auto="1"/>
        </bottom>
        <vertical/>
        <horizontal/>
      </border>
    </dxf>
    <dxf>
      <numFmt numFmtId="168" formatCode="&quot;$&quot;#,##0"/>
      <border diagonalUp="0" diagonalDown="0">
        <left style="thin">
          <color auto="1"/>
        </left>
        <right style="thin">
          <color auto="1"/>
        </right>
        <top style="thin">
          <color auto="1"/>
        </top>
        <bottom style="thin">
          <color auto="1"/>
        </bottom>
        <vertical/>
        <horizontal/>
      </border>
    </dxf>
    <dxf>
      <numFmt numFmtId="168" formatCode="&quot;$&quot;#,##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border diagonalUp="0" diagonalDown="0">
        <left style="thin">
          <color auto="1"/>
        </left>
        <right style="thin">
          <color auto="1"/>
        </right>
        <top style="thin">
          <color auto="1"/>
        </top>
        <bottom style="thin">
          <color auto="1"/>
        </bottom>
        <vertical/>
        <horizontal/>
      </border>
    </dxf>
    <dxf>
      <numFmt numFmtId="168" formatCode="&quot;$&quot;#,##0"/>
      <border diagonalUp="0" diagonalDown="0">
        <left style="thin">
          <color auto="1"/>
        </left>
        <right style="thin">
          <color auto="1"/>
        </right>
        <top style="thin">
          <color auto="1"/>
        </top>
        <bottom style="thin">
          <color auto="1"/>
        </bottom>
        <vertical/>
        <horizontal/>
      </border>
    </dxf>
    <dxf>
      <numFmt numFmtId="168" formatCode="&quot;$&quot;#,##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border diagonalUp="0" diagonalDown="0">
        <left style="thin">
          <color auto="1"/>
        </left>
        <right style="thin">
          <color auto="1"/>
        </right>
        <top style="thin">
          <color auto="1"/>
        </top>
        <bottom style="thin">
          <color auto="1"/>
        </bottom>
        <vertical/>
        <horizontal/>
      </border>
    </dxf>
    <dxf>
      <numFmt numFmtId="168" formatCode="&quot;$&quot;#,##0"/>
      <border diagonalUp="0" diagonalDown="0">
        <left style="thin">
          <color auto="1"/>
        </left>
        <right style="thin">
          <color auto="1"/>
        </right>
        <top style="thin">
          <color auto="1"/>
        </top>
        <bottom style="thin">
          <color auto="1"/>
        </bottom>
        <vertical/>
        <horizontal/>
      </border>
    </dxf>
    <dxf>
      <numFmt numFmtId="168" formatCode="&quot;$&quot;#,##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border diagonalUp="0" diagonalDown="0">
        <left style="medium">
          <color indexed="64"/>
        </left>
      </border>
    </dxf>
    <dxf>
      <font>
        <b/>
        <i val="0"/>
        <strike val="0"/>
        <condense val="0"/>
        <extend val="0"/>
        <outline val="0"/>
        <shadow val="0"/>
        <u val="none"/>
        <vertAlign val="baseline"/>
        <sz val="10"/>
        <color auto="1"/>
        <name val="Arial"/>
        <family val="2"/>
        <scheme val="none"/>
      </font>
      <fill>
        <patternFill patternType="solid">
          <fgColor indexed="64"/>
          <bgColor rgb="FFEEEEEE"/>
        </patternFill>
      </fill>
      <alignment horizontal="left" vertical="bottom" textRotation="0" wrapText="0" indent="0" justifyLastLine="0" shrinkToFit="0" readingOrder="0"/>
      <border diagonalUp="0" diagonalDown="0">
        <left style="medium">
          <color auto="1"/>
        </left>
        <right style="medium">
          <color auto="1"/>
        </right>
        <top style="medium">
          <color auto="1"/>
        </top>
        <bottom style="medium">
          <color auto="1"/>
        </bottom>
        <vertical/>
        <horizontal/>
      </border>
    </dxf>
    <dxf>
      <font>
        <b val="0"/>
        <i val="0"/>
        <strike val="0"/>
        <condense val="0"/>
        <extend val="0"/>
        <outline val="0"/>
        <shadow val="0"/>
        <u val="none"/>
        <vertAlign val="baseline"/>
        <sz val="10"/>
        <color auto="1"/>
        <name val="Arial"/>
        <scheme val="none"/>
      </font>
    </dxf>
    <dxf>
      <border outline="0">
        <top style="medium">
          <color indexed="64"/>
        </top>
      </border>
    </dxf>
    <dxf>
      <font>
        <b/>
        <i val="0"/>
        <strike val="0"/>
        <condense val="0"/>
        <extend val="0"/>
        <outline val="0"/>
        <shadow val="0"/>
        <u val="none"/>
        <vertAlign val="baseline"/>
        <sz val="10"/>
        <color auto="1"/>
        <name val="Arial"/>
        <family val="2"/>
        <scheme val="none"/>
      </font>
      <fill>
        <patternFill patternType="solid">
          <fgColor indexed="64"/>
          <bgColor rgb="FFEEEEEE"/>
        </patternFill>
      </fill>
      <alignment horizontal="left"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numFmt numFmtId="168" formatCode="&quot;$&quot;#,##0"/>
    </dxf>
    <dxf>
      <numFmt numFmtId="168" formatCode="&quot;$&quot;#,##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family val="2"/>
        <scheme val="none"/>
      </font>
      <fill>
        <patternFill patternType="solid">
          <fgColor indexed="64"/>
          <bgColor rgb="FFEEEEEE"/>
        </patternFill>
      </fill>
      <alignment horizontal="left" vertical="bottom" textRotation="0" wrapText="0" indent="0" justifyLastLine="0" shrinkToFit="0" readingOrder="0"/>
      <border diagonalUp="0" diagonalDown="0">
        <left style="medium">
          <color auto="1"/>
        </left>
        <right style="medium">
          <color auto="1"/>
        </right>
        <top style="medium">
          <color auto="1"/>
        </top>
        <bottom style="medium">
          <color auto="1"/>
        </bottom>
        <vertical/>
        <horizontal/>
      </border>
    </dxf>
    <dxf>
      <font>
        <b val="0"/>
        <i val="0"/>
        <strike val="0"/>
        <condense val="0"/>
        <extend val="0"/>
        <outline val="0"/>
        <shadow val="0"/>
        <u val="none"/>
        <vertAlign val="baseline"/>
        <sz val="10"/>
        <color auto="1"/>
        <name val="Arial"/>
        <scheme val="none"/>
      </font>
    </dxf>
    <dxf>
      <border outline="0">
        <top style="medium">
          <color auto="1"/>
        </top>
      </border>
    </dxf>
    <dxf>
      <font>
        <b val="0"/>
        <i val="0"/>
        <strike val="0"/>
        <condense val="0"/>
        <extend val="0"/>
        <outline val="0"/>
        <shadow val="0"/>
        <u val="none"/>
        <vertAlign val="baseline"/>
        <sz val="10"/>
        <color auto="1"/>
        <name val="Arial"/>
        <scheme val="none"/>
      </font>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EEEEEE"/>
        </patternFill>
      </fill>
      <alignment horizontal="left" vertical="bottom" textRotation="0" wrapText="1" indent="0" justifyLastLine="0" shrinkToFit="0" readingOrder="0"/>
      <border diagonalUp="0" diagonalDown="0" outline="0">
        <left style="medium">
          <color indexed="64"/>
        </left>
        <right style="medium">
          <color indexed="64"/>
        </right>
        <top/>
        <bottom/>
      </border>
    </dxf>
    <dxf>
      <numFmt numFmtId="4" formatCode="#,##0.00"/>
    </dxf>
    <dxf>
      <numFmt numFmtId="4" formatCode="#,##0.00"/>
    </dxf>
    <dxf>
      <font>
        <b val="0"/>
        <i val="0"/>
        <strike val="0"/>
        <condense val="0"/>
        <extend val="0"/>
        <outline val="0"/>
        <shadow val="0"/>
        <u val="none"/>
        <vertAlign val="baseline"/>
        <sz val="10"/>
        <color auto="1"/>
        <name val="Arial"/>
        <scheme val="none"/>
      </font>
    </dxf>
    <dxf>
      <numFmt numFmtId="4" formatCode="#,##0.00"/>
    </dxf>
    <dxf>
      <numFmt numFmtId="4" formatCode="#,##0.00"/>
    </dxf>
    <dxf>
      <font>
        <b val="0"/>
        <i val="0"/>
        <strike val="0"/>
        <condense val="0"/>
        <extend val="0"/>
        <outline val="0"/>
        <shadow val="0"/>
        <u val="none"/>
        <vertAlign val="baseline"/>
        <sz val="10"/>
        <color auto="1"/>
        <name val="Arial"/>
        <scheme val="none"/>
      </font>
    </dxf>
    <dxf>
      <numFmt numFmtId="4" formatCode="#,##0.00"/>
    </dxf>
    <dxf>
      <numFmt numFmtId="4" formatCode="#,##0.00"/>
    </dxf>
    <dxf>
      <font>
        <b val="0"/>
        <i val="0"/>
        <strike val="0"/>
        <condense val="0"/>
        <extend val="0"/>
        <outline val="0"/>
        <shadow val="0"/>
        <u val="none"/>
        <vertAlign val="baseline"/>
        <sz val="10"/>
        <color auto="1"/>
        <name val="Arial"/>
        <scheme val="none"/>
      </font>
    </dxf>
    <dxf>
      <numFmt numFmtId="4" formatCode="#,##0.00"/>
    </dxf>
    <dxf>
      <numFmt numFmtId="4" formatCode="#,##0.00"/>
    </dxf>
    <dxf>
      <font>
        <b val="0"/>
        <i val="0"/>
        <strike val="0"/>
        <condense val="0"/>
        <extend val="0"/>
        <outline val="0"/>
        <shadow val="0"/>
        <u val="none"/>
        <vertAlign val="baseline"/>
        <sz val="10"/>
        <color auto="1"/>
        <name val="Arial"/>
        <scheme val="none"/>
      </font>
    </dxf>
    <dxf>
      <numFmt numFmtId="4" formatCode="#,##0.00"/>
    </dxf>
    <dxf>
      <numFmt numFmtId="4" formatCode="#,##0.0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family val="2"/>
        <scheme val="none"/>
      </font>
      <fill>
        <patternFill patternType="solid">
          <fgColor indexed="64"/>
          <bgColor rgb="FFEEEEEE"/>
        </patternFill>
      </fill>
      <alignment horizontal="left" vertical="bottom" textRotation="0" wrapText="0" indent="0" justifyLastLine="0" shrinkToFit="0" readingOrder="0"/>
      <border diagonalUp="0" diagonalDown="0">
        <left style="medium">
          <color auto="1"/>
        </left>
        <right style="medium">
          <color auto="1"/>
        </right>
        <top style="medium">
          <color auto="1"/>
        </top>
        <bottom style="medium">
          <color auto="1"/>
        </bottom>
        <vertical/>
        <horizontal/>
      </border>
    </dxf>
    <dxf>
      <font>
        <b val="0"/>
        <i val="0"/>
        <strike val="0"/>
        <condense val="0"/>
        <extend val="0"/>
        <outline val="0"/>
        <shadow val="0"/>
        <u val="none"/>
        <vertAlign val="baseline"/>
        <sz val="10"/>
        <color auto="1"/>
        <name val="Arial"/>
        <scheme val="none"/>
      </font>
    </dxf>
    <dxf>
      <border outline="0">
        <top style="medium">
          <color auto="1"/>
        </top>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EEEEEE"/>
        </patternFill>
      </fill>
      <alignment horizontal="left"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family val="2"/>
        <scheme val="none"/>
      </font>
      <fill>
        <patternFill patternType="solid">
          <fgColor indexed="64"/>
          <bgColor rgb="FFEEEEEE"/>
        </patternFill>
      </fill>
      <alignment horizontal="left" vertical="bottom" textRotation="0" wrapText="0" indent="0" justifyLastLine="0" shrinkToFit="0" readingOrder="0"/>
      <border diagonalUp="0" diagonalDown="0">
        <left style="medium">
          <color auto="1"/>
        </left>
        <right style="medium">
          <color auto="1"/>
        </right>
        <top style="medium">
          <color auto="1"/>
        </top>
        <bottom style="medium">
          <color auto="1"/>
        </bottom>
        <vertical/>
        <horizontal/>
      </border>
    </dxf>
    <dxf>
      <font>
        <b val="0"/>
        <i val="0"/>
        <strike val="0"/>
        <condense val="0"/>
        <extend val="0"/>
        <outline val="0"/>
        <shadow val="0"/>
        <u val="none"/>
        <vertAlign val="baseline"/>
        <sz val="10"/>
        <color auto="1"/>
        <name val="Arial"/>
        <scheme val="none"/>
      </font>
    </dxf>
    <dxf>
      <border outline="0">
        <top style="medium">
          <color auto="1"/>
        </top>
      </border>
    </dxf>
    <dxf>
      <font>
        <b val="0"/>
        <i val="0"/>
        <strike val="0"/>
        <condense val="0"/>
        <extend val="0"/>
        <outline val="0"/>
        <shadow val="0"/>
        <u val="none"/>
        <vertAlign val="baseline"/>
        <sz val="10"/>
        <color auto="1"/>
        <name val="Arial"/>
        <scheme val="none"/>
      </font>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EEEEEE"/>
        </patternFill>
      </fill>
      <alignment horizontal="left" vertical="bottom" textRotation="0" wrapText="1" indent="0" justifyLastLine="0" shrinkToFit="0" readingOrder="0"/>
      <border diagonalUp="0" diagonalDown="0" outline="0">
        <left style="medium">
          <color indexed="64"/>
        </left>
        <right style="medium">
          <color indexed="64"/>
        </right>
        <top/>
        <bottom/>
      </border>
    </dxf>
    <dxf>
      <numFmt numFmtId="168" formatCode="&quot;$&quot;#,##0"/>
      <alignment horizontal="right" textRotation="0" wrapText="0" indent="0" justifyLastLine="0" shrinkToFit="0" readingOrder="0"/>
    </dxf>
    <dxf>
      <numFmt numFmtId="168" formatCode="&quot;$&quot;#,##0"/>
      <alignment horizontal="right" textRotation="0" wrapText="0" indent="0" justifyLastLine="0" shrinkToFit="0" readingOrder="0"/>
    </dxf>
    <dxf>
      <numFmt numFmtId="168" formatCode="&quot;$&quot;#,##0"/>
      <alignment horizontal="right" textRotation="0" wrapText="0" indent="0" justifyLastLine="0" shrinkToFit="0" readingOrder="0"/>
    </dxf>
    <dxf>
      <numFmt numFmtId="168" formatCode="&quot;$&quot;#,##0"/>
      <alignment horizontal="right" textRotation="0" wrapText="0" indent="0" justifyLastLine="0" shrinkToFit="0" readingOrder="0"/>
    </dxf>
    <dxf>
      <numFmt numFmtId="168" formatCode="&quot;$&quot;#,##0"/>
      <alignment horizontal="right" textRotation="0" wrapText="0" indent="0" justifyLastLine="0" shrinkToFit="0" readingOrder="0"/>
    </dxf>
    <dxf>
      <font>
        <b val="0"/>
        <i val="0"/>
        <strike val="0"/>
        <condense val="0"/>
        <extend val="0"/>
        <outline val="0"/>
        <shadow val="0"/>
        <u val="none"/>
        <vertAlign val="baseline"/>
        <sz val="10"/>
        <color auto="1"/>
        <name val="Arial"/>
        <scheme val="none"/>
      </font>
      <alignment horizontal="right" textRotation="0" wrapText="0" indent="0" justifyLastLine="0" shrinkToFit="0" readingOrder="0"/>
    </dxf>
    <dxf>
      <numFmt numFmtId="168" formatCode="&quot;$&quot;#,##0"/>
      <alignment horizontal="right" textRotation="0" wrapText="0" indent="0" justifyLastLine="0" shrinkToFit="0" readingOrder="0"/>
    </dxf>
    <dxf>
      <numFmt numFmtId="168" formatCode="&quot;$&quot;#,##0"/>
      <alignment horizontal="right" textRotation="0" wrapText="0" indent="0" justifyLastLine="0" shrinkToFit="0" readingOrder="0"/>
    </dxf>
    <dxf>
      <numFmt numFmtId="168" formatCode="&quot;$&quot;#,##0"/>
      <alignment horizontal="right" textRotation="0" wrapText="0" indent="0" justifyLastLine="0" shrinkToFit="0" readingOrder="0"/>
    </dxf>
    <dxf>
      <numFmt numFmtId="168" formatCode="&quot;$&quot;#,##0"/>
      <alignment horizontal="right" textRotation="0" wrapText="0" indent="0" justifyLastLine="0" shrinkToFit="0" readingOrder="0"/>
    </dxf>
    <dxf>
      <numFmt numFmtId="168" formatCode="&quot;$&quot;#,##0"/>
      <alignment horizontal="right" textRotation="0" wrapText="0" indent="0" justifyLastLine="0" shrinkToFit="0" readingOrder="0"/>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family val="2"/>
        <scheme val="none"/>
      </font>
      <fill>
        <patternFill patternType="solid">
          <fgColor indexed="64"/>
          <bgColor rgb="FFEEEEEE"/>
        </patternFill>
      </fill>
      <alignment horizontal="left" vertical="bottom" textRotation="0" wrapText="0" indent="0" justifyLastLine="0" shrinkToFit="0" readingOrder="0"/>
      <border diagonalUp="0" diagonalDown="0">
        <left style="medium">
          <color auto="1"/>
        </left>
        <right style="medium">
          <color auto="1"/>
        </right>
        <top style="medium">
          <color auto="1"/>
        </top>
        <bottom style="medium">
          <color auto="1"/>
        </bottom>
        <vertical/>
        <horizontal/>
      </border>
    </dxf>
    <dxf>
      <font>
        <b val="0"/>
        <i val="0"/>
        <strike val="0"/>
        <condense val="0"/>
        <extend val="0"/>
        <outline val="0"/>
        <shadow val="0"/>
        <u val="none"/>
        <vertAlign val="baseline"/>
        <sz val="10"/>
        <color auto="1"/>
        <name val="Arial"/>
        <scheme val="none"/>
      </font>
    </dxf>
    <dxf>
      <border outline="0">
        <top style="medium">
          <color auto="1"/>
        </top>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EEEEEE"/>
        </patternFill>
      </fill>
      <alignment horizontal="left"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scheme val="none"/>
      </font>
    </dxf>
    <dxf>
      <numFmt numFmtId="170" formatCode="&quot;$&quot;#,##0.00"/>
    </dxf>
    <dxf>
      <numFmt numFmtId="168" formatCode="&quot;$&quot;#,##0"/>
    </dxf>
    <dxf>
      <numFmt numFmtId="168" formatCode="&quot;$&quot;#,##0"/>
    </dxf>
    <dxf>
      <numFmt numFmtId="168" formatCode="&quot;$&quot;#,##0"/>
    </dxf>
    <dxf>
      <numFmt numFmtId="168" formatCode="&quot;$&quot;#,##0"/>
    </dxf>
    <dxf>
      <numFmt numFmtId="168" formatCode="&quot;$&quot;#,##0"/>
    </dxf>
    <dxf>
      <numFmt numFmtId="168" formatCode="&quot;$&quot;#,##0"/>
    </dxf>
    <dxf>
      <numFmt numFmtId="168" formatCode="&quot;$&quot;#,##0"/>
    </dxf>
    <dxf>
      <numFmt numFmtId="168" formatCode="&quot;$&quot;#,##0"/>
    </dxf>
    <dxf>
      <numFmt numFmtId="168" formatCode="&quot;$&quot;#,##0"/>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family val="2"/>
        <scheme val="none"/>
      </font>
      <fill>
        <patternFill patternType="solid">
          <fgColor indexed="64"/>
          <bgColor rgb="FFEEEEEE"/>
        </patternFill>
      </fill>
      <alignment horizontal="left" vertical="bottom" textRotation="0" wrapText="0" indent="0" justifyLastLine="0" shrinkToFit="0" readingOrder="0"/>
      <border diagonalUp="0" diagonalDown="0">
        <left style="medium">
          <color auto="1"/>
        </left>
        <right style="medium">
          <color auto="1"/>
        </right>
        <top style="medium">
          <color auto="1"/>
        </top>
        <bottom style="medium">
          <color auto="1"/>
        </bottom>
        <vertical/>
        <horizontal/>
      </border>
    </dxf>
    <dxf>
      <font>
        <b val="0"/>
        <i val="0"/>
        <strike val="0"/>
        <condense val="0"/>
        <extend val="0"/>
        <outline val="0"/>
        <shadow val="0"/>
        <u val="none"/>
        <vertAlign val="baseline"/>
        <sz val="10"/>
        <color auto="1"/>
        <name val="Arial"/>
        <scheme val="none"/>
      </font>
    </dxf>
    <dxf>
      <border outline="0">
        <top style="medium">
          <color auto="1"/>
        </top>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EEEEEE"/>
        </patternFill>
      </fill>
      <alignment horizontal="left" vertical="bottom" textRotation="0" wrapText="1" indent="0" justifyLastLine="0" shrinkToFit="0" readingOrder="0"/>
      <border diagonalUp="0" diagonalDown="0" outline="0">
        <left style="medium">
          <color indexed="64"/>
        </left>
        <right style="medium">
          <color indexed="64"/>
        </right>
        <top/>
        <bottom/>
      </border>
    </dxf>
    <dxf>
      <font>
        <b/>
        <family val="2"/>
      </font>
      <numFmt numFmtId="168" formatCode="&quot;$&quot;#,##0"/>
      <border diagonalUp="0" diagonalDown="0" outline="0">
        <left style="medium">
          <color indexed="64"/>
        </left>
        <right style="medium">
          <color indexed="64"/>
        </right>
        <top style="medium">
          <color indexed="64"/>
        </top>
        <bottom style="medium">
          <color indexed="64"/>
        </bottom>
      </border>
    </dxf>
    <dxf>
      <numFmt numFmtId="170" formatCode="&quot;$&quot;#,##0.00"/>
    </dxf>
    <dxf>
      <font>
        <b/>
        <i val="0"/>
        <strike val="0"/>
        <condense val="0"/>
        <extend val="0"/>
        <outline val="0"/>
        <shadow val="0"/>
        <u val="none"/>
        <vertAlign val="baseline"/>
        <sz val="10"/>
        <color auto="1"/>
        <name val="Arial"/>
        <family val="2"/>
        <scheme val="none"/>
      </font>
      <numFmt numFmtId="170" formatCode="&quot;$&quot;#,##0.00"/>
      <border diagonalUp="0" diagonalDown="0" outline="0">
        <left style="medium">
          <color indexed="64"/>
        </left>
        <right style="medium">
          <color indexed="64"/>
        </right>
        <top style="medium">
          <color indexed="64"/>
        </top>
        <bottom style="medium">
          <color indexed="64"/>
        </bottom>
      </border>
    </dxf>
    <dxf>
      <numFmt numFmtId="168" formatCode="&quot;$&quot;#,##0"/>
    </dxf>
    <dxf>
      <font>
        <b/>
        <i val="0"/>
        <strike val="0"/>
        <condense val="0"/>
        <extend val="0"/>
        <outline val="0"/>
        <shadow val="0"/>
        <u val="none"/>
        <vertAlign val="baseline"/>
        <sz val="10"/>
        <color auto="1"/>
        <name val="Arial"/>
        <family val="2"/>
        <scheme val="none"/>
      </font>
      <numFmt numFmtId="170" formatCode="&quot;$&quot;#,##0.00"/>
      <border diagonalUp="0" diagonalDown="0" outline="0">
        <left style="medium">
          <color indexed="64"/>
        </left>
        <right style="medium">
          <color indexed="64"/>
        </right>
        <top style="medium">
          <color indexed="64"/>
        </top>
        <bottom style="medium">
          <color indexed="64"/>
        </bottom>
      </border>
    </dxf>
    <dxf>
      <numFmt numFmtId="168" formatCode="&quot;$&quot;#,##0"/>
    </dxf>
    <dxf>
      <font>
        <b/>
        <i val="0"/>
        <strike val="0"/>
        <condense val="0"/>
        <extend val="0"/>
        <outline val="0"/>
        <shadow val="0"/>
        <u val="none"/>
        <vertAlign val="baseline"/>
        <sz val="10"/>
        <color auto="1"/>
        <name val="Arial"/>
        <family val="2"/>
        <scheme val="none"/>
      </font>
      <numFmt numFmtId="170" formatCode="&quot;$&quot;#,##0.00"/>
      <border diagonalUp="0" diagonalDown="0" outline="0">
        <left style="medium">
          <color indexed="64"/>
        </left>
        <right style="medium">
          <color indexed="64"/>
        </right>
        <top style="medium">
          <color indexed="64"/>
        </top>
        <bottom style="medium">
          <color indexed="64"/>
        </bottom>
      </border>
    </dxf>
    <dxf>
      <numFmt numFmtId="168" formatCode="&quot;$&quot;#,##0"/>
    </dxf>
    <dxf>
      <font>
        <b/>
        <i val="0"/>
        <strike val="0"/>
        <condense val="0"/>
        <extend val="0"/>
        <outline val="0"/>
        <shadow val="0"/>
        <u val="none"/>
        <vertAlign val="baseline"/>
        <sz val="10"/>
        <color auto="1"/>
        <name val="Arial"/>
        <family val="2"/>
        <scheme val="none"/>
      </font>
      <numFmt numFmtId="170" formatCode="&quot;$&quot;#,##0.00"/>
      <border diagonalUp="0" diagonalDown="0" outline="0">
        <left style="medium">
          <color indexed="64"/>
        </left>
        <right style="medium">
          <color indexed="64"/>
        </right>
        <top style="medium">
          <color indexed="64"/>
        </top>
        <bottom style="medium">
          <color indexed="64"/>
        </bottom>
      </border>
    </dxf>
    <dxf>
      <numFmt numFmtId="168" formatCode="&quot;$&quot;#,##0"/>
    </dxf>
    <dxf>
      <font>
        <b/>
        <i val="0"/>
        <strike val="0"/>
        <condense val="0"/>
        <extend val="0"/>
        <outline val="0"/>
        <shadow val="0"/>
        <u val="none"/>
        <vertAlign val="baseline"/>
        <sz val="10"/>
        <color auto="1"/>
        <name val="Arial"/>
        <family val="2"/>
        <scheme val="none"/>
      </font>
      <numFmt numFmtId="170" formatCode="&quot;$&quot;#,##0.00"/>
      <border diagonalUp="0" diagonalDown="0" outline="0">
        <left style="medium">
          <color indexed="64"/>
        </left>
        <right style="medium">
          <color indexed="64"/>
        </right>
        <top style="medium">
          <color indexed="64"/>
        </top>
        <bottom style="medium">
          <color indexed="64"/>
        </bottom>
      </border>
    </dxf>
    <dxf>
      <numFmt numFmtId="168" formatCode="&quot;$&quot;#,##0"/>
    </dxf>
    <dxf>
      <font>
        <b/>
        <i val="0"/>
        <strike val="0"/>
        <condense val="0"/>
        <extend val="0"/>
        <outline val="0"/>
        <shadow val="0"/>
        <u val="none"/>
        <vertAlign val="baseline"/>
        <sz val="10"/>
        <color auto="1"/>
        <name val="Arial"/>
        <family val="2"/>
        <scheme val="none"/>
      </font>
      <numFmt numFmtId="170" formatCode="&quot;$&quot;#,##0.00"/>
      <border diagonalUp="0" diagonalDown="0" outline="0">
        <left style="medium">
          <color indexed="64"/>
        </left>
        <right style="medium">
          <color indexed="64"/>
        </right>
        <top style="medium">
          <color indexed="64"/>
        </top>
        <bottom style="medium">
          <color indexed="64"/>
        </bottom>
      </border>
    </dxf>
    <dxf>
      <numFmt numFmtId="168" formatCode="&quot;$&quot;#,##0"/>
    </dxf>
    <dxf>
      <font>
        <b/>
        <i val="0"/>
        <strike val="0"/>
        <condense val="0"/>
        <extend val="0"/>
        <outline val="0"/>
        <shadow val="0"/>
        <u val="none"/>
        <vertAlign val="baseline"/>
        <sz val="10"/>
        <color auto="1"/>
        <name val="Arial"/>
        <family val="2"/>
        <scheme val="none"/>
      </font>
      <numFmt numFmtId="170" formatCode="&quot;$&quot;#,##0.0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family val="2"/>
        <scheme val="none"/>
      </font>
      <numFmt numFmtId="170" formatCode="&quot;$&quot;#,##0.0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family val="2"/>
        <scheme val="none"/>
      </font>
      <numFmt numFmtId="170" formatCode="&quot;$&quot;#,##0.0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family val="2"/>
        <scheme val="none"/>
      </font>
      <numFmt numFmtId="170" formatCode="&quot;$&quot;#,##0.0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family val="2"/>
        <scheme val="none"/>
      </font>
      <numFmt numFmtId="170" formatCode="&quot;$&quot;#,##0.0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family val="2"/>
        <scheme val="none"/>
      </font>
      <numFmt numFmtId="170" formatCode="&quot;$&quot;#,##0.0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family val="2"/>
        <scheme val="none"/>
      </font>
      <numFmt numFmtId="3" formatCode="#,##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family val="2"/>
        <scheme val="none"/>
      </font>
      <numFmt numFmtId="3" formatCode="#,##0"/>
      <border diagonalUp="0" diagonalDown="0" outline="0">
        <left style="medium">
          <color indexed="64"/>
        </left>
        <right style="medium">
          <color indexed="64"/>
        </right>
        <top style="medium">
          <color indexed="64"/>
        </top>
        <bottom style="medium">
          <color indexed="64"/>
        </bottom>
      </border>
    </dxf>
    <dxf>
      <numFmt numFmtId="168" formatCode="&quot;$&quot;#,##0"/>
    </dxf>
    <dxf>
      <font>
        <b/>
        <i val="0"/>
        <strike val="0"/>
        <condense val="0"/>
        <extend val="0"/>
        <outline val="0"/>
        <shadow val="0"/>
        <u val="none"/>
        <vertAlign val="baseline"/>
        <sz val="10"/>
        <color auto="1"/>
        <name val="Arial"/>
        <family val="2"/>
        <scheme val="none"/>
      </font>
      <numFmt numFmtId="3" formatCode="#,##0"/>
      <border diagonalUp="0" diagonalDown="0" outline="0">
        <left style="medium">
          <color indexed="64"/>
        </left>
        <right style="medium">
          <color indexed="64"/>
        </right>
        <top style="medium">
          <color indexed="64"/>
        </top>
        <bottom style="medium">
          <color indexed="64"/>
        </bottom>
      </border>
    </dxf>
    <dxf>
      <numFmt numFmtId="168" formatCode="&quot;$&quot;#,##0"/>
    </dxf>
    <dxf>
      <font>
        <b/>
        <i val="0"/>
        <strike val="0"/>
        <condense val="0"/>
        <extend val="0"/>
        <outline val="0"/>
        <shadow val="0"/>
        <u val="none"/>
        <vertAlign val="baseline"/>
        <sz val="10"/>
        <color auto="1"/>
        <name val="Arial"/>
        <family val="2"/>
        <scheme val="none"/>
      </font>
      <numFmt numFmtId="3" formatCode="#,##0"/>
      <border diagonalUp="0" diagonalDown="0" outline="0">
        <left style="medium">
          <color indexed="64"/>
        </left>
        <right style="medium">
          <color indexed="64"/>
        </right>
        <top style="medium">
          <color indexed="64"/>
        </top>
        <bottom style="medium">
          <color indexed="64"/>
        </bottom>
      </border>
    </dxf>
    <dxf>
      <numFmt numFmtId="168" formatCode="&quot;$&quot;#,##0"/>
    </dxf>
    <dxf>
      <font>
        <b/>
        <i val="0"/>
        <strike val="0"/>
        <condense val="0"/>
        <extend val="0"/>
        <outline val="0"/>
        <shadow val="0"/>
        <u val="none"/>
        <vertAlign val="baseline"/>
        <sz val="10"/>
        <color auto="1"/>
        <name val="Arial"/>
        <family val="2"/>
        <scheme val="none"/>
      </font>
      <numFmt numFmtId="3" formatCode="#,##0"/>
      <border diagonalUp="0" diagonalDown="0" outline="0">
        <left style="medium">
          <color indexed="64"/>
        </left>
        <right style="medium">
          <color indexed="64"/>
        </right>
        <top style="medium">
          <color indexed="64"/>
        </top>
        <bottom style="medium">
          <color indexed="64"/>
        </bottom>
      </border>
    </dxf>
    <dxf>
      <numFmt numFmtId="168" formatCode="&quot;$&quot;#,##0"/>
    </dxf>
    <dxf>
      <font>
        <b/>
        <i val="0"/>
        <strike val="0"/>
        <condense val="0"/>
        <extend val="0"/>
        <outline val="0"/>
        <shadow val="0"/>
        <u val="none"/>
        <vertAlign val="baseline"/>
        <sz val="10"/>
        <color auto="1"/>
        <name val="Arial"/>
        <family val="2"/>
        <scheme val="none"/>
      </font>
      <numFmt numFmtId="3" formatCode="#,##0"/>
      <border diagonalUp="0" diagonalDown="0" outline="0">
        <left style="medium">
          <color indexed="64"/>
        </left>
        <right style="medium">
          <color indexed="64"/>
        </right>
        <top style="medium">
          <color indexed="64"/>
        </top>
        <bottom style="medium">
          <color indexed="64"/>
        </bottom>
      </border>
    </dxf>
    <dxf>
      <numFmt numFmtId="168" formatCode="&quot;$&quot;#,##0"/>
    </dxf>
    <dxf>
      <font>
        <b/>
        <i val="0"/>
        <strike val="0"/>
        <condense val="0"/>
        <extend val="0"/>
        <outline val="0"/>
        <shadow val="0"/>
        <u val="none"/>
        <vertAlign val="baseline"/>
        <sz val="10"/>
        <color auto="1"/>
        <name val="Arial"/>
        <family val="2"/>
        <scheme val="none"/>
      </font>
      <numFmt numFmtId="3" formatCode="#,##0"/>
      <border diagonalUp="0" diagonalDown="0" outline="0">
        <left style="medium">
          <color indexed="64"/>
        </left>
        <right style="medium">
          <color indexed="64"/>
        </right>
        <top style="medium">
          <color indexed="64"/>
        </top>
        <bottom style="medium">
          <color indexed="64"/>
        </bottom>
      </border>
    </dxf>
    <dxf>
      <numFmt numFmtId="168" formatCode="&quot;$&quot;#,##0"/>
    </dxf>
    <dxf>
      <font>
        <b/>
        <i val="0"/>
        <strike val="0"/>
        <condense val="0"/>
        <extend val="0"/>
        <outline val="0"/>
        <shadow val="0"/>
        <u val="none"/>
        <vertAlign val="baseline"/>
        <sz val="10"/>
        <color auto="1"/>
        <name val="Arial"/>
        <family val="2"/>
        <scheme val="none"/>
      </font>
      <numFmt numFmtId="3" formatCode="#,##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family val="2"/>
        <scheme val="none"/>
      </font>
      <numFmt numFmtId="3" formatCode="#,##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family val="2"/>
      </font>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family val="2"/>
        <scheme val="none"/>
      </font>
      <numFmt numFmtId="19" formatCode="m/d/yyyy"/>
      <border diagonalUp="0" diagonalDown="0" outline="0">
        <left/>
        <right/>
        <top/>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family val="2"/>
        <scheme val="none"/>
      </font>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4"/>
        <color auto="1"/>
        <name val="Arial"/>
        <family val="2"/>
        <scheme val="none"/>
      </font>
      <fill>
        <patternFill patternType="solid">
          <fgColor indexed="64"/>
          <bgColor theme="0" tint="-4.9989318521683403E-2"/>
        </patternFill>
      </fill>
      <alignment horizontal="left" vertical="center" textRotation="0" wrapText="0" indent="0" justifyLastLine="0" shrinkToFit="0" readingOrder="0"/>
      <border diagonalUp="0" diagonalDown="0" outline="0">
        <left/>
        <right style="medium">
          <color auto="1"/>
        </right>
        <top style="medium">
          <color auto="1"/>
        </top>
        <bottom style="medium">
          <color auto="1"/>
        </bottom>
      </border>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4"/>
        <color theme="1"/>
        <name val="Arial"/>
        <family val="2"/>
        <scheme val="none"/>
      </font>
      <fill>
        <patternFill patternType="solid">
          <fgColor indexed="64"/>
          <bgColor theme="0" tint="-4.9989318521683403E-2"/>
        </patternFill>
      </fill>
      <alignment horizontal="right" vertical="bottom" textRotation="0" wrapText="0" indent="0" justifyLastLine="0" shrinkToFit="0" readingOrder="0"/>
      <border diagonalUp="0" diagonalDown="0" outline="0">
        <left style="medium">
          <color indexed="64"/>
        </left>
        <right/>
        <top style="medium">
          <color indexed="64"/>
        </top>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EEEEEE"/>
        </patternFill>
      </fill>
      <alignment horizontal="left" vertical="bottom" textRotation="0" wrapText="0" indent="0" justifyLastLine="0" shrinkToFit="0" readingOrder="0"/>
      <border diagonalUp="0" diagonalDown="0">
        <left style="medium">
          <color auto="1"/>
        </left>
        <right style="medium">
          <color auto="1"/>
        </right>
        <top style="medium">
          <color auto="1"/>
        </top>
        <bottom style="medium">
          <color auto="1"/>
        </bottom>
        <vertical/>
        <horizontal/>
      </border>
    </dxf>
    <dxf>
      <border outline="0">
        <top style="medium">
          <color auto="1"/>
        </top>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EEEEEE"/>
        </patternFill>
      </fill>
      <alignment horizontal="left"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3" formatCode="#,##0"/>
      <border diagonalUp="0" diagonalDown="0" outline="0">
        <left/>
        <right/>
        <top/>
        <bottom/>
      </border>
    </dxf>
    <dxf>
      <font>
        <b val="0"/>
        <i val="0"/>
        <strike val="0"/>
        <condense val="0"/>
        <extend val="0"/>
        <outline val="0"/>
        <shadow val="0"/>
        <u val="none"/>
        <vertAlign val="baseline"/>
        <sz val="10"/>
        <color auto="1"/>
        <name val="Arial"/>
        <family val="2"/>
        <scheme val="none"/>
      </font>
      <numFmt numFmtId="3" formatCode="#,##0"/>
      <border diagonalUp="0" diagonalDown="0" outline="0">
        <left/>
        <right/>
        <top/>
        <bottom/>
      </border>
    </dxf>
    <dxf>
      <font>
        <b val="0"/>
        <i val="0"/>
        <strike val="0"/>
        <condense val="0"/>
        <extend val="0"/>
        <outline val="0"/>
        <shadow val="0"/>
        <u val="none"/>
        <vertAlign val="baseline"/>
        <sz val="10"/>
        <color auto="1"/>
        <name val="Arial"/>
        <family val="2"/>
        <scheme val="none"/>
      </font>
      <numFmt numFmtId="3" formatCode="#,##0"/>
      <border diagonalUp="0" diagonalDown="0" outline="0">
        <left/>
        <right/>
        <top/>
        <bottom/>
      </border>
    </dxf>
    <dxf>
      <font>
        <b val="0"/>
        <i val="0"/>
        <strike val="0"/>
        <condense val="0"/>
        <extend val="0"/>
        <outline val="0"/>
        <shadow val="0"/>
        <u val="none"/>
        <vertAlign val="baseline"/>
        <sz val="10"/>
        <color auto="1"/>
        <name val="Arial"/>
        <family val="2"/>
        <scheme val="none"/>
      </font>
      <numFmt numFmtId="3" formatCode="#,##0"/>
      <border diagonalUp="0" diagonalDown="0" outline="0">
        <left/>
        <right/>
        <top/>
        <bottom/>
      </border>
    </dxf>
    <dxf>
      <font>
        <b val="0"/>
        <i val="0"/>
        <strike val="0"/>
        <condense val="0"/>
        <extend val="0"/>
        <outline val="0"/>
        <shadow val="0"/>
        <u val="none"/>
        <vertAlign val="baseline"/>
        <sz val="10"/>
        <color auto="1"/>
        <name val="Arial"/>
        <family val="2"/>
        <scheme val="none"/>
      </font>
      <numFmt numFmtId="3" formatCode="#,##0"/>
      <border diagonalUp="0" diagonalDown="0" outline="0">
        <left/>
        <right/>
        <top/>
        <bottom/>
      </border>
    </dxf>
    <dxf>
      <font>
        <b val="0"/>
        <i val="0"/>
        <strike val="0"/>
        <condense val="0"/>
        <extend val="0"/>
        <outline val="0"/>
        <shadow val="0"/>
        <u val="none"/>
        <vertAlign val="baseline"/>
        <sz val="10"/>
        <color auto="1"/>
        <name val="Arial"/>
        <family val="2"/>
        <scheme val="none"/>
      </font>
      <numFmt numFmtId="3" formatCode="#,##0"/>
      <border diagonalUp="0" diagonalDown="0" outline="0">
        <left/>
        <right/>
        <top/>
        <bottom/>
      </border>
    </dxf>
    <dxf>
      <font>
        <b val="0"/>
        <i val="0"/>
        <strike val="0"/>
        <condense val="0"/>
        <extend val="0"/>
        <outline val="0"/>
        <shadow val="0"/>
        <u val="none"/>
        <vertAlign val="baseline"/>
        <sz val="10"/>
        <color auto="1"/>
        <name val="Arial"/>
        <family val="2"/>
        <scheme val="none"/>
      </font>
      <numFmt numFmtId="3" formatCode="#,##0"/>
      <border diagonalUp="0" diagonalDown="0" outline="0">
        <left/>
        <right/>
        <top/>
        <bottom/>
      </border>
    </dxf>
    <dxf>
      <font>
        <b val="0"/>
        <i val="0"/>
        <strike val="0"/>
        <condense val="0"/>
        <extend val="0"/>
        <outline val="0"/>
        <shadow val="0"/>
        <u val="none"/>
        <vertAlign val="baseline"/>
        <sz val="10"/>
        <color auto="1"/>
        <name val="Arial"/>
        <family val="2"/>
        <scheme val="none"/>
      </font>
      <numFmt numFmtId="3" formatCode="#,##0"/>
      <border diagonalUp="0" diagonalDown="0" outline="0">
        <left/>
        <right/>
        <top/>
        <bottom/>
      </border>
    </dxf>
    <dxf>
      <font>
        <b val="0"/>
        <i val="0"/>
        <strike val="0"/>
        <condense val="0"/>
        <extend val="0"/>
        <outline val="0"/>
        <shadow val="0"/>
        <u val="none"/>
        <vertAlign val="baseline"/>
        <sz val="10"/>
        <color auto="1"/>
        <name val="Arial"/>
        <family val="2"/>
        <scheme val="none"/>
      </font>
      <numFmt numFmtId="3" formatCode="#,##0"/>
      <border diagonalUp="0" diagonalDown="0" outline="0">
        <left/>
        <right/>
        <top/>
        <bottom/>
      </border>
    </dxf>
    <dxf>
      <font>
        <b/>
        <i val="0"/>
        <strike val="0"/>
        <condense val="0"/>
        <extend val="0"/>
        <outline val="0"/>
        <shadow val="0"/>
        <u val="none"/>
        <vertAlign val="baseline"/>
        <sz val="14"/>
        <color auto="1"/>
        <name val="Arial"/>
        <family val="2"/>
        <scheme val="none"/>
      </font>
      <fill>
        <patternFill patternType="solid">
          <fgColor indexed="64"/>
          <bgColor theme="0" tint="-4.9989318521683403E-2"/>
        </patternFill>
      </fill>
      <alignment horizontal="left" vertical="center" textRotation="0" wrapText="0"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4"/>
        <color theme="1"/>
        <name val="Arial"/>
        <family val="2"/>
        <scheme val="none"/>
      </font>
      <fill>
        <patternFill patternType="solid">
          <fgColor indexed="64"/>
          <bgColor theme="0" tint="-4.9989318521683403E-2"/>
        </patternFill>
      </fill>
      <alignment horizontal="right" vertical="bottom" textRotation="0" wrapText="0" indent="0" justifyLastLine="0" shrinkToFit="0" readingOrder="0"/>
      <border diagonalUp="0" diagonalDown="0" outline="0">
        <left style="medium">
          <color indexed="64"/>
        </left>
        <right/>
        <top style="medium">
          <color indexed="64"/>
        </top>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EEEEEE"/>
        </patternFill>
      </fill>
      <alignment horizontal="left" vertical="bottom" textRotation="0" wrapText="0" indent="0" justifyLastLine="0" shrinkToFit="0" readingOrder="0"/>
      <border diagonalUp="0" diagonalDown="0">
        <left/>
        <right style="medium">
          <color auto="1"/>
        </right>
        <top style="medium">
          <color auto="1"/>
        </top>
        <bottom style="medium">
          <color auto="1"/>
        </bottom>
        <vertical/>
        <horizontal/>
      </border>
    </dxf>
    <dxf>
      <border outline="0">
        <left style="medium">
          <color auto="1"/>
        </left>
        <top style="medium">
          <color auto="1"/>
        </top>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EEEEEE"/>
        </patternFill>
      </fill>
      <alignment horizontal="left" vertical="bottom" textRotation="0" wrapText="1" indent="0" justifyLastLine="0" shrinkToFit="0" readingOrder="0"/>
      <border diagonalUp="0" diagonalDown="0" outline="0">
        <left style="medium">
          <color indexed="64"/>
        </left>
        <right style="medium">
          <color indexed="64"/>
        </right>
        <top/>
        <bottom/>
      </border>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i val="0"/>
        <strike val="0"/>
        <condense val="0"/>
        <extend val="0"/>
        <outline val="0"/>
        <shadow val="0"/>
        <u val="none"/>
        <vertAlign val="baseline"/>
        <sz val="14"/>
        <color auto="1"/>
        <name val="Arial"/>
        <family val="2"/>
        <scheme val="none"/>
      </font>
      <fill>
        <patternFill patternType="solid">
          <fgColor indexed="64"/>
          <bgColor theme="0" tint="-4.9989318521683403E-2"/>
        </patternFill>
      </fill>
      <alignment horizontal="left" vertical="center" textRotation="0" wrapText="0" indent="0" justifyLastLine="0" shrinkToFit="0" readingOrder="0"/>
      <border diagonalUp="0" diagonalDown="0" outline="0">
        <left/>
        <right style="medium">
          <color auto="1"/>
        </right>
        <top style="medium">
          <color auto="1"/>
        </top>
        <bottom/>
      </border>
    </dxf>
    <dxf>
      <font>
        <b/>
        <i val="0"/>
        <strike val="0"/>
        <condense val="0"/>
        <extend val="0"/>
        <outline val="0"/>
        <shadow val="0"/>
        <u val="none"/>
        <vertAlign val="baseline"/>
        <sz val="14"/>
        <color theme="1"/>
        <name val="Arial"/>
        <family val="2"/>
        <scheme val="none"/>
      </font>
      <fill>
        <patternFill patternType="solid">
          <fgColor indexed="64"/>
          <bgColor theme="0" tint="-4.9989318521683403E-2"/>
        </patternFill>
      </fill>
      <alignment horizontal="right" vertical="bottom" textRotation="0" wrapText="0" indent="0" justifyLastLine="0" shrinkToFit="0" readingOrder="0"/>
      <border diagonalUp="0" diagonalDown="0" outline="0">
        <left style="medium">
          <color indexed="64"/>
        </left>
        <right/>
        <top style="medium">
          <color indexed="64"/>
        </top>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EEEEEE"/>
        </patternFill>
      </fill>
      <alignment horizontal="left" vertical="bottom" textRotation="0" wrapText="0" indent="0" justifyLastLine="0" shrinkToFit="0" readingOrder="0"/>
      <border diagonalUp="0" diagonalDown="0">
        <left style="medium">
          <color auto="1"/>
        </left>
        <right style="medium">
          <color auto="1"/>
        </right>
        <top style="medium">
          <color auto="1"/>
        </top>
        <bottom style="medium">
          <color auto="1"/>
        </bottom>
        <vertical/>
        <horizontal/>
      </border>
    </dxf>
    <dxf>
      <font>
        <b val="0"/>
        <i val="0"/>
        <strike val="0"/>
        <condense val="0"/>
        <extend val="0"/>
        <outline val="0"/>
        <shadow val="0"/>
        <u val="none"/>
        <vertAlign val="baseline"/>
        <sz val="10"/>
        <color auto="1"/>
        <name val="Arial"/>
        <family val="2"/>
        <scheme val="none"/>
      </font>
      <alignment horizontal="left" vertical="center" textRotation="0" wrapText="0" indent="0" justifyLastLine="0" shrinkToFit="0" readingOrder="0"/>
      <border diagonalUp="0" diagonalDown="0" outline="0">
        <left/>
        <right/>
        <top/>
        <bottom/>
      </border>
    </dxf>
    <dxf>
      <border outline="0">
        <top style="medium">
          <color auto="1"/>
        </top>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EEEEEE"/>
        </patternFill>
      </fill>
      <alignment horizontal="left" vertical="bottom" textRotation="0" wrapText="1" indent="0" justifyLastLine="0" shrinkToFit="0" readingOrder="0"/>
      <border diagonalUp="0" diagonalDown="0" outline="0">
        <left style="medium">
          <color indexed="64"/>
        </left>
        <right style="medium">
          <color indexed="64"/>
        </right>
        <top/>
        <bottom/>
      </border>
    </dxf>
    <dxf>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2" formatCode="0.00"/>
    </dxf>
    <dxf>
      <font>
        <b val="0"/>
        <i val="0"/>
        <strike val="0"/>
        <condense val="0"/>
        <extend val="0"/>
        <outline val="0"/>
        <shadow val="0"/>
        <u val="none"/>
        <vertAlign val="baseline"/>
        <sz val="10"/>
        <color auto="1"/>
        <name val="Arial"/>
        <scheme val="none"/>
      </font>
      <numFmt numFmtId="2" formatCode="0.0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numFmt numFmtId="2" formatCode="0.00"/>
    </dxf>
    <dxf>
      <numFmt numFmtId="2" formatCode="0.00"/>
    </dxf>
    <dxf>
      <font>
        <b val="0"/>
        <i val="0"/>
        <strike val="0"/>
        <condense val="0"/>
        <extend val="0"/>
        <outline val="0"/>
        <shadow val="0"/>
        <u val="none"/>
        <vertAlign val="baseline"/>
        <sz val="10"/>
        <color auto="1"/>
        <name val="Arial"/>
        <scheme val="none"/>
      </font>
    </dxf>
    <dxf>
      <numFmt numFmtId="2" formatCode="0.00"/>
    </dxf>
    <dxf>
      <font>
        <b val="0"/>
        <i val="0"/>
        <strike val="0"/>
        <condense val="0"/>
        <extend val="0"/>
        <outline val="0"/>
        <shadow val="0"/>
        <u val="none"/>
        <vertAlign val="baseline"/>
        <sz val="10"/>
        <color auto="1"/>
        <name val="Arial"/>
        <scheme val="none"/>
      </font>
      <numFmt numFmtId="2" formatCode="0.0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2" formatCode="0.00"/>
    </dxf>
    <dxf>
      <font>
        <b val="0"/>
        <i val="0"/>
        <strike val="0"/>
        <condense val="0"/>
        <extend val="0"/>
        <outline val="0"/>
        <shadow val="0"/>
        <u val="none"/>
        <vertAlign val="baseline"/>
        <sz val="10"/>
        <color auto="1"/>
        <name val="Arial"/>
        <scheme val="none"/>
      </font>
      <numFmt numFmtId="2" formatCode="0.00"/>
    </dxf>
    <dxf>
      <numFmt numFmtId="2" formatCode="0.00"/>
    </dxf>
    <dxf>
      <font>
        <b val="0"/>
        <i val="0"/>
        <strike val="0"/>
        <condense val="0"/>
        <extend val="0"/>
        <outline val="0"/>
        <shadow val="0"/>
        <u val="none"/>
        <vertAlign val="baseline"/>
        <sz val="10"/>
        <color auto="1"/>
        <name val="Arial"/>
        <scheme val="none"/>
      </font>
      <numFmt numFmtId="2" formatCode="0.00"/>
    </dxf>
    <dxf>
      <numFmt numFmtId="2" formatCode="0.00"/>
    </dxf>
    <dxf>
      <font>
        <b val="0"/>
        <i val="0"/>
        <strike val="0"/>
        <condense val="0"/>
        <extend val="0"/>
        <outline val="0"/>
        <shadow val="0"/>
        <u val="none"/>
        <vertAlign val="baseline"/>
        <sz val="10"/>
        <color auto="1"/>
        <name val="Arial"/>
        <scheme val="none"/>
      </font>
      <numFmt numFmtId="2" formatCode="0.00"/>
    </dxf>
    <dxf>
      <numFmt numFmtId="3" formatCode="#,##0"/>
    </dxf>
    <dxf>
      <font>
        <b/>
        <i val="0"/>
        <strike val="0"/>
        <condense val="0"/>
        <extend val="0"/>
        <outline val="0"/>
        <shadow val="0"/>
        <u val="none"/>
        <vertAlign val="baseline"/>
        <sz val="14"/>
        <color auto="1"/>
        <name val="Arial"/>
        <family val="2"/>
        <scheme val="none"/>
      </font>
      <fill>
        <patternFill patternType="solid">
          <fgColor indexed="64"/>
          <bgColor theme="0" tint="-4.9989318521683403E-2"/>
        </patternFill>
      </fill>
      <alignment horizontal="left" vertical="center" textRotation="0" wrapText="0"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4"/>
        <color theme="1"/>
        <name val="Arial"/>
        <family val="2"/>
        <scheme val="none"/>
      </font>
      <fill>
        <patternFill patternType="solid">
          <fgColor indexed="64"/>
          <bgColor theme="0" tint="-4.9989318521683403E-2"/>
        </patternFill>
      </fill>
      <alignment horizontal="right" vertical="bottom" textRotation="0" wrapText="0" indent="0" justifyLastLine="0" shrinkToFit="0" readingOrder="0"/>
      <border diagonalUp="0" diagonalDown="0" outline="0">
        <left style="medium">
          <color indexed="64"/>
        </left>
        <right/>
        <top style="medium">
          <color indexed="64"/>
        </top>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EEEEEE"/>
        </patternFill>
      </fill>
      <alignment horizontal="left" vertical="bottom" textRotation="0" wrapText="0" indent="0" justifyLastLine="0" shrinkToFit="0" readingOrder="0"/>
      <border diagonalUp="0" diagonalDown="0">
        <left style="medium">
          <color auto="1"/>
        </left>
        <right style="medium">
          <color auto="1"/>
        </right>
        <top style="medium">
          <color auto="1"/>
        </top>
        <bottom style="medium">
          <color auto="1"/>
        </bottom>
        <vertical/>
        <horizontal/>
      </border>
    </dxf>
    <dxf>
      <font>
        <b val="0"/>
        <i val="0"/>
        <strike val="0"/>
        <condense val="0"/>
        <extend val="0"/>
        <outline val="0"/>
        <shadow val="0"/>
        <u val="none"/>
        <vertAlign val="baseline"/>
        <sz val="10"/>
        <color auto="1"/>
        <name val="Arial"/>
        <family val="2"/>
        <scheme val="none"/>
      </font>
      <alignment horizontal="left" vertical="center" textRotation="0" wrapText="0" indent="0" justifyLastLine="0" shrinkToFit="0" readingOrder="0"/>
      <border diagonalUp="0" diagonalDown="0" outline="0">
        <left/>
        <right/>
        <top/>
        <bottom/>
      </border>
    </dxf>
    <dxf>
      <border outline="0">
        <top style="medium">
          <color auto="1"/>
        </top>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EEEEEE"/>
        </patternFill>
      </fill>
      <alignment horizontal="left" vertical="bottom" textRotation="0" wrapText="1" indent="0" justifyLastLine="0" shrinkToFit="0" readingOrder="0"/>
      <border diagonalUp="0" diagonalDown="0" outline="0">
        <left style="medium">
          <color indexed="64"/>
        </left>
        <right style="medium">
          <color indexed="64"/>
        </right>
        <top/>
        <bottom/>
      </border>
    </dxf>
    <dxf>
      <numFmt numFmtId="2" formatCode="0.00"/>
      <border diagonalUp="0" diagonalDown="0" outline="0">
        <left/>
        <right/>
        <top/>
        <bottom/>
      </border>
    </dxf>
    <dxf>
      <numFmt numFmtId="2" formatCode="0.00"/>
    </dxf>
    <dxf>
      <numFmt numFmtId="2" formatCode="0.00"/>
      <border diagonalUp="0" diagonalDown="0" outline="0">
        <left/>
        <right/>
        <top/>
        <bottom/>
      </border>
    </dxf>
    <dxf>
      <numFmt numFmtId="2" formatCode="0.00"/>
    </dxf>
    <dxf>
      <numFmt numFmtId="2" formatCode="0.00"/>
      <border diagonalUp="0" diagonalDown="0" outline="0">
        <left/>
        <right/>
        <top/>
        <bottom/>
      </border>
    </dxf>
    <dxf>
      <numFmt numFmtId="2" formatCode="0.00"/>
    </dxf>
    <dxf>
      <font>
        <b val="0"/>
        <i val="0"/>
        <strike val="0"/>
        <condense val="0"/>
        <extend val="0"/>
        <outline val="0"/>
        <shadow val="0"/>
        <u val="none"/>
        <vertAlign val="baseline"/>
        <sz val="10"/>
        <color auto="1"/>
        <name val="Arial"/>
        <family val="2"/>
        <scheme val="none"/>
      </font>
      <numFmt numFmtId="3" formatCode="#,##0"/>
      <border diagonalUp="0" diagonalDown="0" outline="0">
        <left/>
        <right/>
        <top/>
        <bottom/>
      </border>
    </dxf>
    <dxf>
      <font>
        <b val="0"/>
        <i val="0"/>
        <strike val="0"/>
        <condense val="0"/>
        <extend val="0"/>
        <outline val="0"/>
        <shadow val="0"/>
        <u val="none"/>
        <vertAlign val="baseline"/>
        <sz val="10"/>
        <color auto="1"/>
        <name val="Arial"/>
        <family val="2"/>
        <scheme val="none"/>
      </font>
      <numFmt numFmtId="3" formatCode="#,##0"/>
      <border diagonalUp="0" diagonalDown="0" outline="0">
        <left/>
        <right/>
        <top/>
        <bottom/>
      </border>
    </dxf>
    <dxf>
      <font>
        <b val="0"/>
        <i val="0"/>
        <strike val="0"/>
        <condense val="0"/>
        <extend val="0"/>
        <outline val="0"/>
        <shadow val="0"/>
        <u val="none"/>
        <vertAlign val="baseline"/>
        <sz val="10"/>
        <color auto="1"/>
        <name val="Arial"/>
        <family val="2"/>
        <scheme val="none"/>
      </font>
      <numFmt numFmtId="3" formatCode="#,##0"/>
      <border diagonalUp="0" diagonalDown="0" outline="0">
        <left/>
        <right/>
        <top/>
        <bottom/>
      </border>
    </dxf>
    <dxf>
      <font>
        <b val="0"/>
        <i val="0"/>
        <strike val="0"/>
        <condense val="0"/>
        <extend val="0"/>
        <outline val="0"/>
        <shadow val="0"/>
        <u val="none"/>
        <vertAlign val="baseline"/>
        <sz val="10"/>
        <color auto="1"/>
        <name val="Arial"/>
        <family val="2"/>
        <scheme val="none"/>
      </font>
      <numFmt numFmtId="3" formatCode="#,##0"/>
      <border diagonalUp="0" diagonalDown="0" outline="0">
        <left/>
        <right/>
        <top/>
        <bottom/>
      </border>
    </dxf>
    <dxf>
      <font>
        <b val="0"/>
        <i val="0"/>
        <strike val="0"/>
        <condense val="0"/>
        <extend val="0"/>
        <outline val="0"/>
        <shadow val="0"/>
        <u val="none"/>
        <vertAlign val="baseline"/>
        <sz val="10"/>
        <color auto="1"/>
        <name val="Arial"/>
        <family val="2"/>
        <scheme val="none"/>
      </font>
      <numFmt numFmtId="3" formatCode="#,##0"/>
      <border diagonalUp="0" diagonalDown="0" outline="0">
        <left/>
        <right/>
        <top/>
        <bottom/>
      </border>
    </dxf>
    <dxf>
      <font>
        <b val="0"/>
        <i val="0"/>
        <strike val="0"/>
        <condense val="0"/>
        <extend val="0"/>
        <outline val="0"/>
        <shadow val="0"/>
        <u val="none"/>
        <vertAlign val="baseline"/>
        <sz val="10"/>
        <color auto="1"/>
        <name val="Arial"/>
        <family val="2"/>
        <scheme val="none"/>
      </font>
      <numFmt numFmtId="3" formatCode="#,##0"/>
      <border diagonalUp="0" diagonalDown="0" outline="0">
        <left/>
        <right/>
        <top/>
        <bottom/>
      </border>
    </dxf>
    <dxf>
      <font>
        <b val="0"/>
        <i val="0"/>
        <strike val="0"/>
        <condense val="0"/>
        <extend val="0"/>
        <outline val="0"/>
        <shadow val="0"/>
        <u val="none"/>
        <vertAlign val="baseline"/>
        <sz val="10"/>
        <color auto="1"/>
        <name val="Arial"/>
        <family val="2"/>
        <scheme val="none"/>
      </font>
      <numFmt numFmtId="3" formatCode="#,##0"/>
      <border diagonalUp="0" diagonalDown="0" outline="0">
        <left/>
        <right/>
        <top/>
        <bottom/>
      </border>
    </dxf>
    <dxf>
      <font>
        <b val="0"/>
        <i val="0"/>
        <strike val="0"/>
        <condense val="0"/>
        <extend val="0"/>
        <outline val="0"/>
        <shadow val="0"/>
        <u val="none"/>
        <vertAlign val="baseline"/>
        <sz val="10"/>
        <color auto="1"/>
        <name val="Arial"/>
        <family val="2"/>
        <scheme val="none"/>
      </font>
      <numFmt numFmtId="3" formatCode="#,##0"/>
      <border diagonalUp="0" diagonalDown="0" outline="0">
        <left/>
        <right/>
        <top/>
        <bottom/>
      </border>
    </dxf>
    <dxf>
      <font>
        <b val="0"/>
        <i val="0"/>
        <strike val="0"/>
        <condense val="0"/>
        <extend val="0"/>
        <outline val="0"/>
        <shadow val="0"/>
        <u val="none"/>
        <vertAlign val="baseline"/>
        <sz val="10"/>
        <color auto="1"/>
        <name val="Arial"/>
        <family val="2"/>
        <scheme val="none"/>
      </font>
      <numFmt numFmtId="3" formatCode="#,##0"/>
      <border diagonalUp="0" diagonalDown="0" outline="0">
        <left/>
        <right/>
        <top/>
        <bottom/>
      </border>
    </dxf>
    <dxf>
      <font>
        <b/>
        <i val="0"/>
        <strike val="0"/>
        <condense val="0"/>
        <extend val="0"/>
        <outline val="0"/>
        <shadow val="0"/>
        <u val="none"/>
        <vertAlign val="baseline"/>
        <sz val="14"/>
        <color auto="1"/>
        <name val="Arial"/>
        <family val="2"/>
        <scheme val="none"/>
      </font>
      <fill>
        <patternFill patternType="solid">
          <fgColor indexed="64"/>
          <bgColor theme="0" tint="-4.9989318521683403E-2"/>
        </patternFill>
      </fill>
      <alignment horizontal="left" vertical="center" textRotation="0" wrapText="0"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4"/>
        <color theme="1"/>
        <name val="Arial"/>
        <family val="2"/>
        <scheme val="none"/>
      </font>
      <fill>
        <patternFill patternType="solid">
          <fgColor indexed="64"/>
          <bgColor theme="0" tint="-4.9989318521683403E-2"/>
        </patternFill>
      </fill>
      <alignment horizontal="right" vertical="bottom" textRotation="0" wrapText="0" indent="0" justifyLastLine="0" shrinkToFit="0" readingOrder="0"/>
      <border diagonalUp="0" diagonalDown="0" outline="0">
        <left style="medium">
          <color indexed="64"/>
        </left>
        <right/>
        <top style="medium">
          <color indexed="64"/>
        </top>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EEEEEE"/>
        </patternFill>
      </fill>
      <alignment horizontal="left" vertical="bottom" textRotation="0" wrapText="0" indent="0" justifyLastLine="0" shrinkToFit="0" readingOrder="0"/>
      <border diagonalUp="0" diagonalDown="0">
        <left/>
        <right style="medium">
          <color auto="1"/>
        </right>
        <top style="medium">
          <color auto="1"/>
        </top>
        <bottom style="medium">
          <color auto="1"/>
        </bottom>
        <vertical/>
        <horizontal/>
      </border>
    </dxf>
    <dxf>
      <border outline="0">
        <left style="medium">
          <color auto="1"/>
        </left>
        <top style="medium">
          <color auto="1"/>
        </top>
      </border>
    </dxf>
    <dxf>
      <alignment vertical="bottom" textRotation="0" wrapText="1" indent="0" justifyLastLine="0" shrinkToFit="0" readingOrder="0"/>
    </dxf>
    <dxf>
      <font>
        <b/>
        <i val="0"/>
        <strike val="0"/>
        <condense val="0"/>
        <extend val="0"/>
        <outline val="0"/>
        <shadow val="0"/>
        <u val="none"/>
        <vertAlign val="baseline"/>
        <sz val="12"/>
        <color theme="1"/>
        <name val="Arial"/>
        <family val="2"/>
        <scheme val="none"/>
      </font>
      <numFmt numFmtId="3" formatCode="#,##0"/>
      <border diagonalUp="0" diagonalDown="0" outline="0">
        <left/>
        <right style="medium">
          <color indexed="64"/>
        </right>
        <top style="medium">
          <color indexed="64"/>
        </top>
        <bottom style="medium">
          <color indexed="64"/>
        </bottom>
      </border>
    </dxf>
    <dxf>
      <numFmt numFmtId="3" formatCode="#,##0"/>
      <fill>
        <patternFill patternType="none">
          <fgColor indexed="64"/>
          <bgColor indexed="65"/>
        </patternFill>
      </fill>
    </dxf>
    <dxf>
      <font>
        <b/>
        <i val="0"/>
        <strike val="0"/>
        <condense val="0"/>
        <extend val="0"/>
        <outline val="0"/>
        <shadow val="0"/>
        <u val="none"/>
        <vertAlign val="baseline"/>
        <sz val="12"/>
        <color theme="1"/>
        <name val="Arial"/>
        <family val="2"/>
        <scheme val="none"/>
      </font>
      <numFmt numFmtId="3" formatCode="#,##0"/>
      <border diagonalUp="0" diagonalDown="0" outline="0">
        <left/>
        <right/>
        <top style="medium">
          <color indexed="64"/>
        </top>
        <bottom style="medium">
          <color indexed="64"/>
        </bottom>
      </border>
    </dxf>
    <dxf>
      <numFmt numFmtId="3" formatCode="#,##0"/>
      <fill>
        <patternFill patternType="none">
          <fgColor indexed="64"/>
          <bgColor indexed="65"/>
        </patternFill>
      </fill>
    </dxf>
    <dxf>
      <font>
        <b/>
        <i val="0"/>
        <strike val="0"/>
        <condense val="0"/>
        <extend val="0"/>
        <outline val="0"/>
        <shadow val="0"/>
        <u val="none"/>
        <vertAlign val="baseline"/>
        <sz val="12"/>
        <color theme="1"/>
        <name val="Arial"/>
        <family val="2"/>
        <scheme val="none"/>
      </font>
      <numFmt numFmtId="3" formatCode="#,##0"/>
      <border diagonalUp="0" diagonalDown="0" outline="0">
        <left/>
        <right/>
        <top style="medium">
          <color indexed="64"/>
        </top>
        <bottom style="medium">
          <color indexed="64"/>
        </bottom>
      </border>
    </dxf>
    <dxf>
      <numFmt numFmtId="3" formatCode="#,##0"/>
      <fill>
        <patternFill patternType="none">
          <fgColor indexed="64"/>
          <bgColor indexed="65"/>
        </patternFill>
      </fill>
    </dxf>
    <dxf>
      <font>
        <b/>
        <i val="0"/>
        <strike val="0"/>
        <condense val="0"/>
        <extend val="0"/>
        <outline val="0"/>
        <shadow val="0"/>
        <u val="none"/>
        <vertAlign val="baseline"/>
        <sz val="12"/>
        <color theme="1"/>
        <name val="Arial"/>
        <family val="2"/>
        <scheme val="none"/>
      </font>
      <numFmt numFmtId="3" formatCode="#,##0"/>
      <border diagonalUp="0" diagonalDown="0" outline="0">
        <left/>
        <right/>
        <top style="medium">
          <color indexed="64"/>
        </top>
        <bottom style="medium">
          <color indexed="64"/>
        </bottom>
      </border>
    </dxf>
    <dxf>
      <numFmt numFmtId="3" formatCode="#,##0"/>
      <fill>
        <patternFill patternType="none">
          <fgColor indexed="64"/>
          <bgColor indexed="65"/>
        </patternFill>
      </fill>
    </dxf>
    <dxf>
      <font>
        <strike val="0"/>
        <outline val="0"/>
        <shadow val="0"/>
        <u val="none"/>
        <vertAlign val="baseline"/>
        <sz val="12"/>
        <name val="Arial"/>
        <family val="2"/>
        <scheme val="none"/>
      </font>
      <numFmt numFmtId="3" formatCode="#,##0"/>
      <fill>
        <patternFill patternType="none">
          <fgColor indexed="64"/>
          <bgColor indexed="65"/>
        </patternFill>
      </fill>
      <border diagonalUp="0" diagonalDown="0" outline="0">
        <left/>
        <right/>
        <top style="medium">
          <color indexed="64"/>
        </top>
        <bottom style="medium">
          <color indexed="64"/>
        </bottom>
      </border>
    </dxf>
    <dxf>
      <numFmt numFmtId="3" formatCode="#,##0"/>
      <fill>
        <patternFill patternType="none">
          <fgColor indexed="64"/>
          <bgColor auto="1"/>
        </patternFill>
      </fill>
    </dxf>
    <dxf>
      <font>
        <strike val="0"/>
        <outline val="0"/>
        <shadow val="0"/>
        <u val="none"/>
        <vertAlign val="baseline"/>
        <sz val="12"/>
        <name val="Arial"/>
        <family val="2"/>
        <scheme val="none"/>
      </font>
      <numFmt numFmtId="3" formatCode="#,##0"/>
      <fill>
        <patternFill patternType="none">
          <fgColor indexed="64"/>
          <bgColor indexed="65"/>
        </patternFill>
      </fill>
      <border diagonalUp="0" diagonalDown="0" outline="0">
        <left/>
        <right/>
        <top style="medium">
          <color indexed="64"/>
        </top>
        <bottom style="medium">
          <color indexed="64"/>
        </bottom>
      </border>
    </dxf>
    <dxf>
      <numFmt numFmtId="3" formatCode="#,##0"/>
      <fill>
        <patternFill patternType="none">
          <fgColor indexed="64"/>
          <bgColor auto="1"/>
        </patternFill>
      </fill>
    </dxf>
    <dxf>
      <font>
        <strike val="0"/>
        <outline val="0"/>
        <shadow val="0"/>
        <u val="none"/>
        <vertAlign val="baseline"/>
        <sz val="12"/>
        <name val="Arial"/>
        <family val="2"/>
        <scheme val="none"/>
      </font>
      <numFmt numFmtId="3" formatCode="#,##0"/>
      <fill>
        <patternFill patternType="none">
          <fgColor indexed="64"/>
          <bgColor indexed="65"/>
        </patternFill>
      </fill>
      <border diagonalUp="0" diagonalDown="0" outline="0">
        <left/>
        <right/>
        <top style="medium">
          <color indexed="64"/>
        </top>
        <bottom style="medium">
          <color indexed="64"/>
        </bottom>
      </border>
    </dxf>
    <dxf>
      <numFmt numFmtId="3" formatCode="#,##0"/>
      <fill>
        <patternFill patternType="none">
          <fgColor indexed="64"/>
          <bgColor auto="1"/>
        </patternFill>
      </fill>
    </dxf>
    <dxf>
      <font>
        <strike val="0"/>
        <outline val="0"/>
        <shadow val="0"/>
        <u val="none"/>
        <vertAlign val="baseline"/>
        <sz val="12"/>
        <name val="Arial"/>
        <family val="2"/>
        <scheme val="none"/>
      </font>
      <numFmt numFmtId="3" formatCode="#,##0"/>
      <fill>
        <patternFill patternType="none">
          <fgColor indexed="64"/>
          <bgColor indexed="65"/>
        </patternFill>
      </fill>
      <border diagonalUp="0" diagonalDown="0" outline="0">
        <left/>
        <right/>
        <top style="medium">
          <color indexed="64"/>
        </top>
        <bottom style="medium">
          <color indexed="64"/>
        </bottom>
      </border>
    </dxf>
    <dxf>
      <numFmt numFmtId="3" formatCode="#,##0"/>
      <fill>
        <patternFill patternType="none">
          <fgColor indexed="64"/>
          <bgColor auto="1"/>
        </patternFill>
      </fill>
    </dxf>
    <dxf>
      <font>
        <b val="0"/>
        <i val="0"/>
        <strike val="0"/>
        <condense val="0"/>
        <extend val="0"/>
        <outline val="0"/>
        <shadow val="0"/>
        <u val="none"/>
        <vertAlign val="baseline"/>
        <sz val="14"/>
        <color auto="1"/>
        <name val="Arial"/>
        <family val="2"/>
        <scheme val="none"/>
      </font>
      <numFmt numFmtId="19" formatCode="m/d/yyyy"/>
      <fill>
        <patternFill patternType="none">
          <fgColor indexed="64"/>
          <bgColor indexed="65"/>
        </patternFill>
      </fill>
      <border diagonalUp="0" diagonalDown="0" outline="0">
        <left style="medium">
          <color indexed="64"/>
        </left>
        <right/>
        <top style="medium">
          <color indexed="64"/>
        </top>
        <bottom style="medium">
          <color indexed="64"/>
        </bottom>
      </border>
    </dxf>
    <dxf>
      <numFmt numFmtId="19" formatCode="m/d/yyyy"/>
      <fill>
        <patternFill patternType="none">
          <fgColor indexed="64"/>
          <bgColor auto="1"/>
        </patternFill>
      </fill>
    </dxf>
    <dxf>
      <numFmt numFmtId="19" formatCode="m/d/yyyy"/>
      <fill>
        <patternFill patternType="none">
          <fgColor indexed="64"/>
          <bgColor indexed="65"/>
        </patternFill>
      </fill>
    </dxf>
    <dxf>
      <numFmt numFmtId="19" formatCode="m/d/yyyy"/>
      <fill>
        <patternFill patternType="none">
          <fgColor indexed="64"/>
          <bgColor auto="1"/>
        </patternFill>
      </fill>
    </dxf>
    <dxf>
      <font>
        <b val="0"/>
        <i val="0"/>
        <strike val="0"/>
        <condense val="0"/>
        <extend val="0"/>
        <outline val="0"/>
        <shadow val="0"/>
        <u val="none"/>
        <vertAlign val="baseline"/>
        <sz val="14"/>
        <color auto="1"/>
        <name val="Arial"/>
        <family val="2"/>
        <scheme val="none"/>
      </font>
      <fill>
        <patternFill patternType="solid">
          <fgColor indexed="64"/>
          <bgColor theme="0" tint="-4.9989318521683403E-2"/>
        </patternFill>
      </fill>
      <alignment horizontal="left" vertical="top" textRotation="0" wrapText="0" indent="0" justifyLastLine="0" shrinkToFit="0" readingOrder="0"/>
      <border diagonalUp="0" diagonalDown="0" outline="0">
        <left/>
        <right style="medium">
          <color indexed="64"/>
        </right>
        <top style="medium">
          <color indexed="64"/>
        </top>
        <bottom style="medium">
          <color indexed="64"/>
        </bottom>
      </border>
    </dxf>
    <dxf>
      <fill>
        <patternFill patternType="none">
          <fgColor indexed="64"/>
          <bgColor auto="1"/>
        </patternFill>
      </fill>
      <alignment horizontal="left" vertical="center" textRotation="0" wrapText="0" indent="0" justifyLastLine="0" shrinkToFit="0" readingOrder="0"/>
      <border outline="0">
        <left style="medium">
          <color auto="1"/>
        </left>
      </border>
    </dxf>
    <dxf>
      <font>
        <b val="0"/>
        <i val="0"/>
        <strike val="0"/>
        <condense val="0"/>
        <extend val="0"/>
        <outline val="0"/>
        <shadow val="0"/>
        <u val="none"/>
        <vertAlign val="baseline"/>
        <sz val="14"/>
        <color auto="1"/>
        <name val="Arial"/>
        <family val="2"/>
        <scheme val="none"/>
      </font>
      <fill>
        <patternFill patternType="solid">
          <fgColor indexed="64"/>
          <bgColor theme="0" tint="-4.9989318521683403E-2"/>
        </patternFill>
      </fill>
      <alignment horizontal="right" vertical="bottom" textRotation="0" wrapText="0" indent="0" justifyLastLine="0" shrinkToFit="0" readingOrder="0"/>
      <border diagonalUp="0" diagonalDown="0" outline="0">
        <left style="medium">
          <color indexed="64"/>
        </left>
        <right/>
        <top style="medium">
          <color indexed="64"/>
        </top>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bottom" textRotation="0" wrapText="0" indent="0" justifyLastLine="0" shrinkToFit="0" readingOrder="0"/>
      <border diagonalUp="0" diagonalDown="0">
        <left style="medium">
          <color indexed="64"/>
        </left>
        <right style="medium">
          <color indexed="64"/>
        </right>
        <top/>
        <bottom/>
        <vertical/>
        <horizontal/>
      </border>
    </dxf>
    <dxf>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ill>
        <patternFill patternType="none">
          <fgColor indexed="64"/>
          <bgColor auto="1"/>
        </patternFill>
      </fill>
      <alignment horizontal="left" vertical="center" textRotation="0" wrapText="0" indent="0" justifyLastLine="0" shrinkToFit="0" readingOrder="0"/>
      <border outline="0">
        <right style="medium">
          <color auto="1"/>
        </right>
      </border>
    </dxf>
    <dxf>
      <border outline="0">
        <top style="medium">
          <color auto="1"/>
        </top>
      </border>
    </dxf>
    <dxf>
      <fill>
        <patternFill patternType="none">
          <fgColor indexed="64"/>
          <bgColor auto="1"/>
        </patternFill>
      </fill>
    </dxf>
    <dxf>
      <border outline="0">
        <bottom style="medium">
          <color auto="1"/>
        </bottom>
      </border>
    </dxf>
    <dxf>
      <font>
        <b/>
        <i val="0"/>
        <strike val="0"/>
        <condense val="0"/>
        <extend val="0"/>
        <outline val="0"/>
        <shadow val="0"/>
        <u val="none"/>
        <vertAlign val="baseline"/>
        <sz val="12"/>
        <color theme="1"/>
        <name val="Arial"/>
        <family val="2"/>
        <scheme val="none"/>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medium">
          <color auto="1"/>
        </left>
        <right style="medium">
          <color auto="1"/>
        </right>
        <top/>
        <bottom/>
      </border>
    </dxf>
    <dxf>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patternFill>
      </fill>
    </dxf>
    <dxf>
      <fill>
        <patternFill>
          <bgColor theme="0"/>
        </patternFill>
      </fill>
    </dxf>
    <dxf>
      <fill>
        <patternFill>
          <bgColor rgb="FFECDFF5"/>
        </patternFill>
      </fill>
    </dxf>
    <dxf>
      <fill>
        <patternFill>
          <bgColor rgb="FFD5B8EA"/>
        </patternFill>
      </fill>
    </dxf>
    <dxf>
      <fill>
        <patternFill>
          <bgColor rgb="FFD6BBEB"/>
        </patternFill>
      </fill>
    </dxf>
  </dxfs>
  <tableStyles count="5" defaultTableStyle="TableStyleMedium2" defaultPivotStyle="PivotStyleLight16">
    <tableStyle name="Table Style 1" pivot="0" count="1" xr9:uid="{00000000-0011-0000-FFFF-FFFF00000000}">
      <tableStyleElement type="wholeTable" dxfId="304"/>
    </tableStyle>
    <tableStyle name="Table Style 2" pivot="0" count="1" xr9:uid="{00000000-0011-0000-FFFF-FFFF01000000}">
      <tableStyleElement type="firstRowStripe" dxfId="303"/>
    </tableStyle>
    <tableStyle name="Table Style 3" pivot="0" count="1" xr9:uid="{00000000-0011-0000-FFFF-FFFF02000000}">
      <tableStyleElement type="firstRowStripe" dxfId="302"/>
    </tableStyle>
    <tableStyle name="Table Style 4" pivot="0" count="2" xr9:uid="{00000000-0011-0000-FFFF-FFFF03000000}">
      <tableStyleElement type="firstRowStripe" dxfId="301"/>
      <tableStyleElement type="secondRowStripe" dxfId="300"/>
    </tableStyle>
    <tableStyle name="Table Style 5" pivot="0" count="2" xr9:uid="{00000000-0011-0000-FFFF-FFFF04000000}">
      <tableStyleElement type="firstRowStripe" dxfId="299"/>
      <tableStyleElement type="secondRowStripe" dxfId="298"/>
    </tableStyle>
  </tableStyles>
  <colors>
    <mruColors>
      <color rgb="FFD5B8EA"/>
      <color rgb="FFA568D2"/>
      <color rgb="FFECDFF5"/>
      <color rgb="FFD6BBEB"/>
      <color rgb="FFC9A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590550</xdr:colOff>
      <xdr:row>5</xdr:row>
      <xdr:rowOff>144780</xdr:rowOff>
    </xdr:to>
    <xdr:sp macro="" textlink="">
      <xdr:nvSpPr>
        <xdr:cNvPr id="2" name="TextBox 1">
          <a:extLst>
            <a:ext uri="{FF2B5EF4-FFF2-40B4-BE49-F238E27FC236}">
              <a16:creationId xmlns:a16="http://schemas.microsoft.com/office/drawing/2014/main" id="{0EF7C66F-B8BB-4400-9606-2CF152AD7219}"/>
            </a:ext>
          </a:extLst>
        </xdr:cNvPr>
        <xdr:cNvSpPr txBox="1"/>
      </xdr:nvSpPr>
      <xdr:spPr>
        <a:xfrm>
          <a:off x="0" y="0"/>
          <a:ext cx="6686550" cy="982980"/>
        </a:xfrm>
        <a:prstGeom prst="rect">
          <a:avLst/>
        </a:prstGeom>
        <a:solidFill>
          <a:srgbClr val="C9A4E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a:t>Michigan Public</a:t>
          </a:r>
          <a:r>
            <a:rPr lang="en-US" sz="1800" baseline="0"/>
            <a:t> Library Statistics 2018</a:t>
          </a:r>
        </a:p>
        <a:p>
          <a:pPr algn="ctr"/>
          <a:endParaRPr lang="en-US" sz="1800" baseline="0"/>
        </a:p>
        <a:p>
          <a:pPr algn="ctr"/>
          <a:r>
            <a:rPr lang="en-US" sz="1800" baseline="0"/>
            <a:t>Table of Contents</a:t>
          </a:r>
          <a:endParaRPr lang="en-US"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101600</xdr:rowOff>
    </xdr:from>
    <xdr:to>
      <xdr:col>1</xdr:col>
      <xdr:colOff>8648700</xdr:colOff>
      <xdr:row>21</xdr:row>
      <xdr:rowOff>40640</xdr:rowOff>
    </xdr:to>
    <xdr:sp macro="" textlink="">
      <xdr:nvSpPr>
        <xdr:cNvPr id="2" name="TextBox 1">
          <a:extLst>
            <a:ext uri="{FF2B5EF4-FFF2-40B4-BE49-F238E27FC236}">
              <a16:creationId xmlns:a16="http://schemas.microsoft.com/office/drawing/2014/main" id="{F8DFD838-EA0C-4F8A-A0E1-97D7A33A10B3}"/>
            </a:ext>
          </a:extLst>
        </xdr:cNvPr>
        <xdr:cNvSpPr txBox="1"/>
      </xdr:nvSpPr>
      <xdr:spPr>
        <a:xfrm>
          <a:off x="0" y="497840"/>
          <a:ext cx="12435840" cy="3124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An Introduction</a:t>
          </a:r>
          <a:r>
            <a:rPr lang="en-US" sz="1100" baseline="0">
              <a:solidFill>
                <a:schemeClr val="dk1"/>
              </a:solidFill>
              <a:effectLst/>
              <a:latin typeface="Arial" panose="020B0604020202020204" pitchFamily="34" charset="0"/>
              <a:ea typeface="+mn-ea"/>
              <a:cs typeface="Arial" panose="020B0604020202020204" pitchFamily="34" charset="0"/>
            </a:rPr>
            <a:t> to the FY2018-2019 Annual Report Statistics</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The 2018 Michigan Public Libraries Statistics comprises compiled data Excel spreadsheets. Data was collected as part of the 2018/2019 Annual Report/State Aid Application. Library systems were asked to report data that includes their main and branch libraries. </a:t>
          </a:r>
          <a:r>
            <a:rPr lang="en-US" sz="1100" b="1" u="sng">
              <a:solidFill>
                <a:schemeClr val="dk1"/>
              </a:solidFill>
              <a:effectLst/>
              <a:latin typeface="Arial" panose="020B0604020202020204" pitchFamily="34" charset="0"/>
              <a:ea typeface="+mn-ea"/>
              <a:cs typeface="Arial" panose="020B0604020202020204" pitchFamily="34" charset="0"/>
            </a:rPr>
            <a:t>The reporting year for the public libraries is the most recent fiscal year completed by each library prior to October 1, 2018</a:t>
          </a:r>
          <a:r>
            <a:rPr lang="en-US" sz="1100">
              <a:solidFill>
                <a:schemeClr val="dk1"/>
              </a:solidFill>
              <a:effectLst/>
              <a:latin typeface="Arial" panose="020B0604020202020204" pitchFamily="34" charset="0"/>
              <a:ea typeface="+mn-ea"/>
              <a:cs typeface="Arial" panose="020B0604020202020204" pitchFamily="34" charset="0"/>
            </a:rPr>
            <a:t>. The Report form was accessed by libraries via the Internet, at: </a:t>
          </a:r>
          <a:r>
            <a:rPr lang="en-US" sz="1100" b="0" i="0">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https://mi.countingopinions.com</a:t>
          </a:r>
          <a:r>
            <a:rPr lang="en-US" sz="1100" b="0" i="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and submitted electronically. The collection cycle commenced on October 1, 2018 and concluded on February 1, 2019.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Definitions for public library data elements are based on the Public Library Survey Cooperative (PLSC) of the Institute of Museum and Library Services. By using this national system and its definitions of terms, Michigan’s data is comparable with that of the other 49 states and the District of Columbia. The </a:t>
          </a:r>
        </a:p>
        <a:p>
          <a:r>
            <a:rPr lang="en-US" sz="1100">
              <a:solidFill>
                <a:schemeClr val="dk1"/>
              </a:solidFill>
              <a:effectLst/>
              <a:latin typeface="Arial" panose="020B0604020202020204" pitchFamily="34" charset="0"/>
              <a:ea typeface="+mn-ea"/>
              <a:cs typeface="Arial" panose="020B0604020202020204" pitchFamily="34" charset="0"/>
            </a:rPr>
            <a:t>national data for Fiscal Year 2017 is now available and can be downloaded from the Web at </a:t>
          </a:r>
          <a:r>
            <a:rPr lang="en-US"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http://www.imls.gov</a:t>
          </a:r>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Public library data is presented by class size, which is determined by population. The calculated total for “Population of Library Service Area” exceeds the state’s total population because more than one public library may count the same population. For example, a district library may share part of another </a:t>
          </a:r>
        </a:p>
        <a:p>
          <a:r>
            <a:rPr lang="en-US" sz="1100">
              <a:solidFill>
                <a:schemeClr val="dk1"/>
              </a:solidFill>
              <a:effectLst/>
              <a:latin typeface="Arial" panose="020B0604020202020204" pitchFamily="34" charset="0"/>
              <a:ea typeface="+mn-ea"/>
              <a:cs typeface="Arial" panose="020B0604020202020204" pitchFamily="34" charset="0"/>
            </a:rPr>
            <a:t>library’s service area by virtue of having a participating municipality, such as a school district, with geographic boundaries extending into the adjoining library’s service area. </a:t>
          </a:r>
        </a:p>
        <a:p>
          <a:endParaRPr lang="en-US" sz="1100"/>
        </a:p>
        <a:p>
          <a:r>
            <a:rPr lang="en-US" sz="1100" b="0"/>
            <a:t>Michigan</a:t>
          </a:r>
          <a:r>
            <a:rPr lang="en-US" sz="1100" b="0" baseline="0"/>
            <a:t> Public Libraries not included in this data set: Adams-Pratt Oakland County Law Library, Burlington Township Library, Falmouth Area Library, </a:t>
          </a:r>
          <a:r>
            <a:rPr lang="en-US" sz="1100" b="0" i="0" u="none" strike="noStrike">
              <a:solidFill>
                <a:schemeClr val="dk1"/>
              </a:solidFill>
              <a:effectLst/>
              <a:latin typeface="+mn-lt"/>
              <a:ea typeface="+mn-ea"/>
              <a:cs typeface="+mn-cs"/>
            </a:rPr>
            <a:t>Marinesco Township Library, Somerset Township Library, </a:t>
          </a:r>
          <a:endParaRPr lang="en-US" sz="1100" b="0"/>
        </a:p>
      </xdr:txBody>
    </xdr:sp>
    <xdr:clientData/>
  </xdr:twoCellAnchor>
  <xdr:twoCellAnchor editAs="oneCell">
    <xdr:from>
      <xdr:col>0</xdr:col>
      <xdr:colOff>0</xdr:colOff>
      <xdr:row>22</xdr:row>
      <xdr:rowOff>0</xdr:rowOff>
    </xdr:from>
    <xdr:to>
      <xdr:col>0</xdr:col>
      <xdr:colOff>289560</xdr:colOff>
      <xdr:row>22</xdr:row>
      <xdr:rowOff>76200</xdr:rowOff>
    </xdr:to>
    <xdr:pic>
      <xdr:nvPicPr>
        <xdr:cNvPr id="3" name="Picture 2" descr="arrow">
          <a:extLst>
            <a:ext uri="{FF2B5EF4-FFF2-40B4-BE49-F238E27FC236}">
              <a16:creationId xmlns:a16="http://schemas.microsoft.com/office/drawing/2014/main" id="{09C8B457-9BBD-45A4-817D-9E91034B8B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63340"/>
          <a:ext cx="28956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M397" totalsRowCount="1" headerRowDxfId="297" dataDxfId="295" headerRowBorderDxfId="296" tableBorderDxfId="294" dataCellStyle="sInteger">
  <autoFilter ref="A3:M396" xr:uid="{00000000-0009-0000-0100-000001000000}"/>
  <sortState xmlns:xlrd2="http://schemas.microsoft.com/office/spreadsheetml/2017/richdata2" ref="A4:M396">
    <sortCondition ref="C4:C396"/>
    <sortCondition ref="B4:B396"/>
  </sortState>
  <tableColumns count="13">
    <tableColumn id="1" xr3:uid="{00000000-0010-0000-0000-000001000000}" name="FSCS" dataDxfId="293" totalsRowDxfId="292" dataCellStyle="sText"/>
    <tableColumn id="2" xr3:uid="{00000000-0010-0000-0000-000002000000}" name="Location" totalsRowLabel="Total Libraries Reporting (N)" dataDxfId="291" totalsRowDxfId="290"/>
    <tableColumn id="3" xr3:uid="{00000000-0010-0000-0000-000003000000}" name="Library Class" totalsRowFunction="count" dataDxfId="289" totalsRowDxfId="288" dataCellStyle="sText"/>
    <tableColumn id="4" xr3:uid="{00000000-0010-0000-0000-000004000000}" name="Report Start Period" dataDxfId="287" totalsRowDxfId="286" dataCellStyle="sShortDate"/>
    <tableColumn id="5" xr3:uid="{00000000-0010-0000-0000-000005000000}" name="Report End Period" totalsRowLabel="TOTAL" dataDxfId="285" totalsRowDxfId="284" dataCellStyle="sShortDate"/>
    <tableColumn id="6" xr3:uid="{00000000-0010-0000-0000-000006000000}" name="Number of Central Libraries" totalsRowFunction="sum" dataDxfId="283" totalsRowDxfId="282" dataCellStyle="sInteger"/>
    <tableColumn id="7" xr3:uid="{00000000-0010-0000-0000-000007000000}" name="Number of Branch Libraries" totalsRowFunction="sum" dataDxfId="281" totalsRowDxfId="280" dataCellStyle="sInteger"/>
    <tableColumn id="8" xr3:uid="{00000000-0010-0000-0000-000008000000}" name="Number of Bookmobiles" totalsRowFunction="sum" dataDxfId="279" totalsRowDxfId="278" dataCellStyle="sInteger"/>
    <tableColumn id="9" xr3:uid="{00000000-0010-0000-0000-000009000000}" name="Total Number of Outlets" totalsRowFunction="sum" dataDxfId="277" totalsRowDxfId="276" dataCellStyle="sInteger"/>
    <tableColumn id="10" xr3:uid="{00000000-0010-0000-0000-00000A000000}" name="Central Library(ies) Square Feet" totalsRowFunction="sum" dataDxfId="275" totalsRowDxfId="274" dataCellStyle="sInteger"/>
    <tableColumn id="11" xr3:uid="{00000000-0010-0000-0000-00000B000000}" name="Branch(es) Square Feet" totalsRowFunction="sum" dataDxfId="273" totalsRowDxfId="272" dataCellStyle="sInteger"/>
    <tableColumn id="12" xr3:uid="{00000000-0010-0000-0000-00000C000000}" name="Total Square Feet" totalsRowFunction="sum" dataDxfId="271" totalsRowDxfId="270" dataCellStyle="sInteger"/>
    <tableColumn id="13" xr3:uid="{00000000-0010-0000-0000-00000D000000}" name="Total Annual Public Service Hours" totalsRowFunction="sum" dataDxfId="269" totalsRowDxfId="268" dataCellStyle="sInteger"/>
  </tableColumns>
  <tableStyleInfo name="TableStyleLight1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9839961-CC6C-41D9-86E9-F1ED725BF9C9}" name="Table10" displayName="Table10" ref="A3:S396" totalsRowShown="0" headerRowDxfId="67" headerRowBorderDxfId="66" tableBorderDxfId="65">
  <autoFilter ref="A3:S396" xr:uid="{B570FBFC-B490-445F-B08D-31BA5F4B92B7}"/>
  <tableColumns count="19">
    <tableColumn id="1" xr3:uid="{A68AE28F-3CC7-4497-9EEC-07EB59713B1C}" name="FSCS" dataDxfId="64" dataCellStyle="sText"/>
    <tableColumn id="2" xr3:uid="{A6C1A500-2D1F-4484-A67A-96A2F64615C5}" name="Location" dataDxfId="63"/>
    <tableColumn id="3" xr3:uid="{57EC2271-9F02-492E-AD4A-607E892F142C}" name="Library Class" dataDxfId="62" dataCellStyle="sText"/>
    <tableColumn id="4" xr3:uid="{48D69CEA-B355-4943-9FF8-9724A86B95EF}" name="Total Population Served" dataDxfId="61" dataCellStyle="sInteger"/>
    <tableColumn id="5" xr3:uid="{EEBE9522-7D92-45B4-AE1C-5213425C28CD}" name="Number of ALA-MLS Librarians" dataDxfId="60" dataCellStyle="sInteger"/>
    <tableColumn id="6" xr3:uid="{67F2342B-F692-42A8-AF9F-75988DD742D5}" name="Total Hours per Week worked by ALA-MLS Librarians" dataDxfId="59"/>
    <tableColumn id="7" xr3:uid="{4A6E1E85-782F-46C0-82DC-AD24A29CBAA2}" name="ALA-MLS FTE (40 Hours/wk)" dataDxfId="58"/>
    <tableColumn id="8" xr3:uid="{2F21E0F4-6ADC-4089-A4D9-3F3CD83693CF}" name="Number of Other Librarians" dataDxfId="57" dataCellStyle="sInteger"/>
    <tableColumn id="9" xr3:uid="{4C3673F9-7FDD-4C62-80B4-EAD6C6F56B9D}" name="Total Hours per Week worked by Other Librarians" dataDxfId="56"/>
    <tableColumn id="10" xr3:uid="{09192897-093F-43D4-983D-75B639BAF159}" name="Other Librarians FTE (40 Hours/wk)" dataDxfId="55"/>
    <tableColumn id="11" xr3:uid="{4F546AA5-9453-49C4-AFA4-F4A1C66D0635}" name="Number of Total Librarians" dataDxfId="54" dataCellStyle="sInteger"/>
    <tableColumn id="12" xr3:uid="{775D9D7F-3FBA-4481-BB97-C7C17208B36A}" name="Total Hours per Week worked by Total Librarians" dataDxfId="53"/>
    <tableColumn id="13" xr3:uid="{1D102CD9-AC3B-46FB-AA10-A45C32084343}" name="Total Librarians FTE (40 Hours/wk)" dataDxfId="52"/>
    <tableColumn id="14" xr3:uid="{0CF3A935-90D9-4FC7-919C-0A7C5C2BFA89}" name="Number of All Other Paid Staff" dataDxfId="51" dataCellStyle="sInteger"/>
    <tableColumn id="15" xr3:uid="{DEC0CC34-7160-4972-B036-14419675AE0E}" name="Total Hours per Week worked by All Other Paid Staff" dataDxfId="50"/>
    <tableColumn id="16" xr3:uid="{319E80C0-D126-46AC-821E-D5C2A63C6944}" name="All Other Paid Staff FTE (40 Hours/wk)" dataDxfId="49"/>
    <tableColumn id="17" xr3:uid="{19EF432D-0B0B-4CAF-9E0E-18CBDB40DCD0}" name="Number of Total Paid Employees" dataDxfId="48" dataCellStyle="sInteger"/>
    <tableColumn id="18" xr3:uid="{A08E848D-888D-4C87-831D-AB0BB3E307C9}" name="Total Hours per Week worked by Total Paid Employees" dataDxfId="47"/>
    <tableColumn id="19" xr3:uid="{88134AC7-53EA-447C-A785-1E96C473C744}" name="Total Paid Employees FTE (40 Hours/wk)" dataDxfId="46"/>
  </tableColumns>
  <tableStyleInfo name="Table Style 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11AF2ED-1D64-4C99-8ABC-F79F13C1C4D5}" name="Table11" displayName="Table11" ref="A3:S396" totalsRowShown="0" headerRowDxfId="45" dataDxfId="43" headerRowBorderDxfId="44" tableBorderDxfId="42" dataCellStyle="sText">
  <autoFilter ref="A3:S396" xr:uid="{9D9A71C4-9CD8-457A-9743-7DC050CCF5CC}"/>
  <tableColumns count="19">
    <tableColumn id="1" xr3:uid="{F825FAB0-0E44-4CCA-9053-FD3F94F8F386}" name="FSCS" dataDxfId="41" dataCellStyle="sText"/>
    <tableColumn id="2" xr3:uid="{4D56205B-639C-4FDA-9D0C-5BDDD2306226}" name="Location" dataDxfId="40"/>
    <tableColumn id="3" xr3:uid="{5AB3B51D-5463-4465-B774-C81D46C566AB}" name="Library Class" dataDxfId="39" dataCellStyle="sText"/>
    <tableColumn id="4" xr3:uid="{2CC827D3-6BEA-4887-8142-81F67D1C2F95}" name="Director's Certification Level (I, II, III, or IV)" dataDxfId="38" dataCellStyle="sText"/>
    <tableColumn id="5" xr3:uid="{D9568143-355A-408B-B7EE-FCDC71CB35B1}" name="Director Minimum Salary" dataDxfId="37"/>
    <tableColumn id="6" xr3:uid="{52CACF3C-F42F-410A-A25D-83F6DB05F526}" name="Director Maximum Salary" dataDxfId="36"/>
    <tableColumn id="7" xr3:uid="{067DD87D-6EE5-4294-9721-373DDABF05B1}" name="Director Average Hrs/Wk" dataDxfId="35" dataCellStyle="sInteger"/>
    <tableColumn id="8" xr3:uid="{798D26C5-973D-477F-8145-DB83146BD787}" name="Health Insurance" dataDxfId="34" dataCellStyle="sText"/>
    <tableColumn id="9" xr3:uid="{575172F1-6DCF-4660-9351-DBEDF5776F81}" name="Dental Insurance" dataDxfId="33" dataCellStyle="sText"/>
    <tableColumn id="10" xr3:uid="{A4B802F7-F959-42E9-8D77-D0DA64E55AFA}" name="Vision Insurance" dataDxfId="32" dataCellStyle="sText"/>
    <tableColumn id="11" xr3:uid="{370475C5-8F63-4805-AB22-F62CFE151ED1}" name="Life Insurance" dataDxfId="31" dataCellStyle="sText"/>
    <tableColumn id="12" xr3:uid="{0812B930-9232-4F25-BC60-F6DD339B936C}" name="Pension" dataDxfId="30" dataCellStyle="sText"/>
    <tableColumn id="13" xr3:uid="{01837592-3CBB-4C29-B298-A31C23DE6A36}" name="Paid Sick Leave" dataDxfId="29" dataCellStyle="sText"/>
    <tableColumn id="14" xr3:uid="{D72A17AD-A53B-454F-8C7B-150E521B6D55}" name="Paid Vacation" dataDxfId="28" dataCellStyle="sText"/>
    <tableColumn id="15" xr3:uid="{D919DA92-2DAA-458A-8608-D84812215D22}" name="Paid Personal Days" dataDxfId="27" dataCellStyle="sText"/>
    <tableColumn id="16" xr3:uid="{AB5A8DF2-ED5B-4232-A4D0-27A8B6D09259}" name="Paid Holidays" dataDxfId="26" dataCellStyle="sText"/>
    <tableColumn id="17" xr3:uid="{84CEE81F-513A-48E5-B3E1-674FBBC90455}" name="Deferred Compensation" dataDxfId="25" dataCellStyle="sText"/>
    <tableColumn id="18" xr3:uid="{B1DB3EDC-B80E-443B-BBA8-7C05AA4CFF9A}" name="Disability" dataDxfId="24" dataCellStyle="sText"/>
    <tableColumn id="19" xr3:uid="{1CAFC7CE-B564-47D5-B732-A82FB972261C}" name="Longevity" dataDxfId="23" dataCellStyle="sText"/>
  </tableColumns>
  <tableStyleInfo name="Table Style 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402273F-CCB0-48C3-9A7B-D0F5BE6BFA24}" name="Table12" displayName="Table12" ref="A3:U396" totalsRowShown="0" headerRowDxfId="22" tableBorderDxfId="21">
  <autoFilter ref="A3:U396" xr:uid="{59CCB8B5-66D3-4D4E-AB35-6EFF87AE45E0}"/>
  <tableColumns count="21">
    <tableColumn id="1" xr3:uid="{247119A9-BFF6-41EA-80FD-D48994BEBECD}" name="FSCS" dataDxfId="20" dataCellStyle="sText"/>
    <tableColumn id="2" xr3:uid="{C9286C6A-C50B-4EDD-8DF0-2E31F6DF01F1}" name="Location" dataDxfId="19"/>
    <tableColumn id="3" xr3:uid="{83AF85E8-90E5-4D7C-BC3B-8BB3ECABF160}" name="Library Class" dataDxfId="18" dataCellStyle="sText"/>
    <tableColumn id="4" xr3:uid="{4DA23C21-93ED-4D71-A588-DFF104444465}" name="Assistant Director Average Hrs/Wk" dataDxfId="17" dataCellStyle="sText"/>
    <tableColumn id="5" xr3:uid="{ACBB19AF-D765-44BD-AE34-DA668D0446F9}" name="Assistant Director Minimum Salary" dataDxfId="16" dataCellStyle="sText"/>
    <tableColumn id="6" xr3:uid="{DA5F3A57-7D4C-48DC-9CE6-00BC5B928A24}" name="Assistant Director Maximum Salary" dataDxfId="15" dataCellStyle="sText"/>
    <tableColumn id="7" xr3:uid="{4FABFAE0-3C03-41C2-A2DA-E58EBEDB5FB3}" name="Department/Branch Head Average Hrs/Wk" dataDxfId="14" dataCellStyle="sInteger"/>
    <tableColumn id="8" xr3:uid="{98EF3DF2-A1D6-43D2-B29E-2C904005BF16}" name="Department/Branch Head Minimum Salary" dataDxfId="13"/>
    <tableColumn id="9" xr3:uid="{0685F0F8-A3AF-4441-8393-2354B254CBDA}" name="Department/Branch Head Maximum Salary" dataDxfId="12"/>
    <tableColumn id="10" xr3:uid="{3EAB18FA-54A2-4679-97CE-C26B49294FCD}" name="Senior Level Librarian Average Hrs/Wk" dataDxfId="11" dataCellStyle="sInteger"/>
    <tableColumn id="11" xr3:uid="{AFF50A20-5FBA-4DB7-B002-8BDCFC188E08}" name="Senior Level Librarian Minimum Salary" dataDxfId="10"/>
    <tableColumn id="12" xr3:uid="{7EC8FCA5-3A7D-4DD6-903B-2D5AE14BC3EB}" name="Senior Level Librarian Maximum Salary" dataDxfId="9"/>
    <tableColumn id="13" xr3:uid="{1B45CC91-ABBC-48E1-9C90-0E4C38D7C58F}" name="Entry Level Librarian Average Hrs/Wk" dataDxfId="8" dataCellStyle="sInteger"/>
    <tableColumn id="14" xr3:uid="{391D26D3-BDF0-4E31-9A1B-F01289781327}" name="Entry Level Librarian Minimum Salary" dataDxfId="7"/>
    <tableColumn id="15" xr3:uid="{D59A51B8-A817-481B-BFF5-DC9FBEBA3FE2}" name="Entry Level Librarian Maximum Salary" dataDxfId="6"/>
    <tableColumn id="16" xr3:uid="{A683519C-A818-421F-B817-4DF9C279F93E}" name="Computer/Technology Specialist Average Hrs/Wk" dataDxfId="5" dataCellStyle="sInteger"/>
    <tableColumn id="17" xr3:uid="{84E828FE-1DB2-417A-A3D0-30719479FCD3}" name="Computer/Technology Specialist Minimum Salary" dataDxfId="4"/>
    <tableColumn id="18" xr3:uid="{0F0451AB-BB56-453B-9C87-AD15A4B99889}" name="Computer/Technology Specialist Maximum Salary" dataDxfId="3"/>
    <tableColumn id="19" xr3:uid="{D251485A-45AB-459D-8559-2F44A93028E6}" name="Library Clerk Average Hrs/Wk" dataDxfId="2" dataCellStyle="sInteger"/>
    <tableColumn id="20" xr3:uid="{62C28446-E3C7-4D82-AFD8-70AE8B0B1AC8}" name="Library Clerk Minimum Salary" dataDxfId="1"/>
    <tableColumn id="21" xr3:uid="{1F501AB1-8C47-4C06-BA4F-448223767425}" name="Library Clerk Maximum Salary" dataDxfId="0"/>
  </tableColumns>
  <tableStyleInfo name="Table Style 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3:P397" totalsRowCount="1" headerRowDxfId="267" tableBorderDxfId="266">
  <autoFilter ref="B3:P396" xr:uid="{00000000-0009-0000-0100-000002000000}"/>
  <sortState xmlns:xlrd2="http://schemas.microsoft.com/office/spreadsheetml/2017/richdata2" ref="B4:P396">
    <sortCondition ref="C4:C396"/>
    <sortCondition ref="B4:B396"/>
  </sortState>
  <tableColumns count="15">
    <tableColumn id="1" xr3:uid="{00000000-0010-0000-0100-000001000000}" name="Location" totalsRowLabel="Total Libraries Reporting (N)" dataDxfId="265" totalsRowDxfId="264"/>
    <tableColumn id="3" xr3:uid="{00000000-0010-0000-0100-000003000000}" name="Library Class" totalsRowFunction="count" totalsRowDxfId="263" dataCellStyle="sText"/>
    <tableColumn id="4" xr3:uid="{00000000-0010-0000-0100-000004000000}" name="Total Population Served" dataCellStyle="sInteger"/>
    <tableColumn id="5" xr3:uid="{00000000-0010-0000-0100-000005000000}" name="Number of Print Materials" totalsRowDxfId="262" dataCellStyle="sInteger"/>
    <tableColumn id="6" xr3:uid="{00000000-0010-0000-0100-000006000000}" name="Audio (Physical Units)" totalsRowDxfId="261" dataCellStyle="sInteger"/>
    <tableColumn id="7" xr3:uid="{00000000-0010-0000-0100-000007000000}" name="Video (Physical Units)" totalsRowDxfId="260" dataCellStyle="sInteger"/>
    <tableColumn id="8" xr3:uid="{00000000-0010-0000-0100-000008000000}" name="Subscriptions (Non-electronic)" totalsRowDxfId="259" dataCellStyle="sInteger"/>
    <tableColumn id="9" xr3:uid="{00000000-0010-0000-0100-000009000000}" name="Total Electronic Collections" totalsRowDxfId="258" dataCellStyle="sInteger"/>
    <tableColumn id="10" xr3:uid="{00000000-0010-0000-0100-00000A000000}" name="Electronic Books (E-Books)" totalsRowDxfId="257" dataCellStyle="sInteger"/>
    <tableColumn id="11" xr3:uid="{00000000-0010-0000-0100-00000B000000}" name="Audio (Downloadable Units)" totalsRowDxfId="256" dataCellStyle="sInteger"/>
    <tableColumn id="12" xr3:uid="{00000000-0010-0000-0100-00000C000000}" name="Video (Downloadable Units)" totalsRowDxfId="255" dataCellStyle="sInteger"/>
    <tableColumn id="13" xr3:uid="{00000000-0010-0000-0100-00000D000000}" name="Total Collection (Physical / Electronic Units)" totalsRowDxfId="254" dataCellStyle="sInteger">
      <calculatedColumnFormula>SUM(E4:L4)</calculatedColumnFormula>
    </tableColumn>
    <tableColumn id="14" xr3:uid="{00000000-0010-0000-0100-00000E000000}" name="eMaterials Per Capita" dataDxfId="253" totalsRowDxfId="252">
      <calculatedColumnFormula>(J4+K4+L4+I4)/D4</calculatedColumnFormula>
    </tableColumn>
    <tableColumn id="15" xr3:uid="{00000000-0010-0000-0100-00000F000000}" name="Physical Materials Per Capita (subscriptions not included)" dataDxfId="251" totalsRowDxfId="250">
      <calculatedColumnFormula>(E4+F4+G4)/D4</calculatedColumnFormula>
    </tableColumn>
    <tableColumn id="16" xr3:uid="{00000000-0010-0000-0100-000010000000}" name="Total Materials Per Capita" dataDxfId="249" totalsRowDxfId="248">
      <calculatedColumnFormula>M4/D4</calculatedColumnFormula>
    </tableColumn>
  </tableColumns>
  <tableStyleInfo name="Table Style 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8401C34-932F-4BAD-9A5D-D078B1B21879}" name="Table3" displayName="Table3" ref="A3:AF397" totalsRowCount="1" headerRowDxfId="247" headerRowBorderDxfId="246" tableBorderDxfId="245" dataCellStyle="sInteger">
  <autoFilter ref="A3:AF396" xr:uid="{11A78B75-ECC2-44F4-94D1-FDA1177B029E}"/>
  <tableColumns count="32">
    <tableColumn id="1" xr3:uid="{804A28D2-F1F0-4DDD-97BC-D1CCEEC03069}" name="FSCS" totalsRowDxfId="244" dataCellStyle="sText"/>
    <tableColumn id="2" xr3:uid="{16D8EFBD-5D9B-4C56-AF0A-555B2BFBD4D3}" name="Location" totalsRowLabel="Total Libraries Reporting (N)" dataDxfId="243" totalsRowDxfId="242"/>
    <tableColumn id="3" xr3:uid="{F783026F-075A-47F4-9809-D8617729DEE5}" name="Library Class" totalsRowFunction="count" totalsRowDxfId="241" dataCellStyle="sText"/>
    <tableColumn id="4" xr3:uid="{BF446D1F-55D2-4310-AA41-207777DE2541}" name="Circulation of Children's Materials" totalsRowDxfId="240" dataCellStyle="sInteger"/>
    <tableColumn id="5" xr3:uid="{D6D50EBF-42BC-49EE-B0EE-BE5442D35053}" name="Circulation of Non-Children's Materials" dataCellStyle="sInteger"/>
    <tableColumn id="6" xr3:uid="{E8365558-EC75-411C-B1CA-6C914498FE1E}" name="Circulation of Electronic Materials" dataCellStyle="sInteger"/>
    <tableColumn id="7" xr3:uid="{631471DA-625B-4EAE-8AD0-EDEA43E8D073}" name="Total Circulation" dataCellStyle="sInteger"/>
    <tableColumn id="32" xr3:uid="{0F070589-7B70-4E16-BA6B-11595582C070}" name="Children's Circ Per Capita" dataDxfId="239" totalsRowDxfId="238" dataCellStyle="sInteger">
      <calculatedColumnFormula>Table3[[#This Row],[Circulation of Children''s Materials]]/Table3[[#This Row],[Total Population Served]]</calculatedColumnFormula>
    </tableColumn>
    <tableColumn id="31" xr3:uid="{02B2FFB0-3BCD-4C53-BA71-BFD65E905C08}" name="eMaterials Circ Per capita" dataDxfId="237" totalsRowDxfId="236" dataCellStyle="sInteger">
      <calculatedColumnFormula>Table3[[#This Row],[Circulation of Electronic Materials]]/Table3[[#This Row],[Total Population Served]]</calculatedColumnFormula>
    </tableColumn>
    <tableColumn id="8" xr3:uid="{DF9ED65E-7DC9-48BF-94DE-FE7B8667ABAF}" name="Circulation Per Capita" dataDxfId="235" dataCellStyle="sInteger">
      <calculatedColumnFormula>G4/AF4</calculatedColumnFormula>
    </tableColumn>
    <tableColumn id="9" xr3:uid="{880E5771-55FF-4758-B16D-B0F36767981F}" name="Circulation Per Cardholder" dataDxfId="234" dataCellStyle="sInteger">
      <calculatedColumnFormula>G4/AE4</calculatedColumnFormula>
    </tableColumn>
    <tableColumn id="10" xr3:uid="{8D0B9451-3A4A-4EBB-A301-A483E9F1AAF0}" name="Electronic Collection (Dbase) Use" dataDxfId="233" dataCellStyle="sInteger"/>
    <tableColumn id="11" xr3:uid="{58C2C76F-B621-458E-9888-2BEF7A7C891D}" name="Total Electronic Content Use" dataCellStyle="sInteger"/>
    <tableColumn id="12" xr3:uid="{B97C0123-6018-4307-8FAC-884B25DC43CF}" name="Total Physical Circulation" dataCellStyle="sInteger"/>
    <tableColumn id="13" xr3:uid="{70E2BABE-1D64-4163-9B01-796B8C419BCA}" name="Total Collection Use" dataCellStyle="sInteger"/>
    <tableColumn id="14" xr3:uid="{0377C1E0-7F80-47CA-90A8-8B978F3A196B}" name="Physical Materials Total" dataCellStyle="sInteger"/>
    <tableColumn id="15" xr3:uid="{4D4CF196-0DD5-4DC4-84F8-05D7CF1B6E3A}" name="eMaterials Total" dataCellStyle="sInteger"/>
    <tableColumn id="16" xr3:uid="{6ACF3E42-71C2-4323-A858-6CC7292637ED}" name="eMaterials per capita" dataDxfId="232" totalsRowDxfId="231" dataCellStyle="sInteger">
      <calculatedColumnFormula>Q4/AF4</calculatedColumnFormula>
    </tableColumn>
    <tableColumn id="17" xr3:uid="{CE7A3960-134D-4BCD-8EF6-1DED96818961}" name="Reference Transactions" dataDxfId="230" dataCellStyle="sInteger"/>
    <tableColumn id="18" xr3:uid="{49E99B32-15E3-4D78-9269-FC928CF3F2E1}" name="Reference Transactions Per Capita" dataDxfId="229" totalsRowDxfId="228">
      <calculatedColumnFormula>S4/AF4</calculatedColumnFormula>
    </tableColumn>
    <tableColumn id="19" xr3:uid="{787ADA93-C32D-48BE-9153-E445F1A99F96}" name="Number of items loaned to other libraries" dataDxfId="227" dataCellStyle="sInteger"/>
    <tableColumn id="20" xr3:uid="{C8308267-13CE-442D-864F-76EC4BCBDED3}" name="Number of items borrowed from other libraries" dataCellStyle="sInteger"/>
    <tableColumn id="21" xr3:uid="{13BC0AC1-72D0-4A28-843D-014C01785C54}" name="Physical Library Visits" dataCellStyle="sInteger"/>
    <tableColumn id="22" xr3:uid="{A0306C16-3EAC-4CD7-90E5-DC19EBE151D2}" name="Virtual Visits to the Library's Website" dataDxfId="226" dataCellStyle="sInteger"/>
    <tableColumn id="23" xr3:uid="{501ABB61-CB61-4F51-95B2-199737B8FD66}" name="Physical Visits Per Capita" dataDxfId="225" dataCellStyle="sText">
      <calculatedColumnFormula>W4/AF4</calculatedColumnFormula>
    </tableColumn>
    <tableColumn id="24" xr3:uid="{183D1604-2906-461B-8345-B1230A5D6991}" name="Physical Visits Per Cardholder" dataDxfId="224" dataCellStyle="sText">
      <calculatedColumnFormula>W4/AE4</calculatedColumnFormula>
    </tableColumn>
    <tableColumn id="25" xr3:uid="{98CA7ADA-AAC0-45C6-A05E-8F7C8F848D52}" name="Uses (Sessions) of Public Internet Computers Per Year" dataDxfId="223" dataCellStyle="sInteger"/>
    <tableColumn id="26" xr3:uid="{C0361FE5-6A6B-427A-A9EA-E1C71432B763}" name="Do you provide Wireless Internet Access to Patrons?" dataCellStyle="sText"/>
    <tableColumn id="27" xr3:uid="{F9738ECE-5C10-433D-8E4E-CDD80CD26C57}" name="Uses of Wireless Logins Per Year" dataDxfId="222" totalsRowDxfId="221" dataCellStyle="sInteger"/>
    <tableColumn id="28" xr3:uid="{B6E37669-3040-470E-B6C5-96CC428D3BEF}" name="Total Collection (Physical / Electronic Units)" dataCellStyle="sInteger"/>
    <tableColumn id="29" xr3:uid="{C8813392-AA7D-4282-A82A-C12F5A39CF77}" name="Number of active registered borrowers" dataCellStyle="sInteger"/>
    <tableColumn id="30" xr3:uid="{647B2112-34A4-4D89-B56E-FC00E60E8F5D}" name="Total Population Served" dataCellStyle="sInteger"/>
  </tableColumns>
  <tableStyleInfo name="Table Style 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2EC5D50-ACA0-482C-8ACF-FAAB629A54EE}" name="Table4" displayName="Table4" ref="A3:AC397" totalsRowCount="1" headerRowDxfId="220" headerRowBorderDxfId="219" tableBorderDxfId="218" dataCellStyle="sInteger">
  <autoFilter ref="A3:AC396" xr:uid="{52F2EFBD-A4E5-4B39-AC29-A3C6547100E4}"/>
  <sortState xmlns:xlrd2="http://schemas.microsoft.com/office/spreadsheetml/2017/richdata2" ref="A4:AA396">
    <sortCondition ref="C4:C396"/>
    <sortCondition ref="B4:B396"/>
  </sortState>
  <tableColumns count="29">
    <tableColumn id="1" xr3:uid="{C4E742E3-BA93-43B5-B8F9-5F7879998C3C}" name="FSCS" totalsRowDxfId="217" dataCellStyle="sText"/>
    <tableColumn id="2" xr3:uid="{11330D35-E0B6-4228-B149-26476C1E1E92}" name="Location" totalsRowLabel="Total Libraries Reporting (N)" dataDxfId="216" totalsRowDxfId="215"/>
    <tableColumn id="3" xr3:uid="{CDA27FBC-2284-46A3-AD2C-48240171A92D}" name="Library Class" totalsRowFunction="count" totalsRowDxfId="214" dataCellStyle="sText"/>
    <tableColumn id="4" xr3:uid="{67151A86-75E7-4018-9258-968403C79381}" name="Children's Events (Non Summer Reading)" totalsRowDxfId="213" dataCellStyle="sInteger"/>
    <tableColumn id="5" xr3:uid="{0D87348F-73C2-4AA9-B5E5-E8488DED8282}" name="Children's Events Attendance (Non Summer Reading)" totalsRowDxfId="212" dataCellStyle="sInteger"/>
    <tableColumn id="6" xr3:uid="{FE8C1BCD-9011-434F-B6FE-2C5F52EC3434}" name="Teen Events (Non Summer Reading)" totalsRowDxfId="211" dataCellStyle="sInteger"/>
    <tableColumn id="7" xr3:uid="{C53EFA78-02E3-4299-8056-AC125687F01D}" name="Teen  Events Attendance(Non Summer Reading)" totalsRowDxfId="210" dataCellStyle="sInteger"/>
    <tableColumn id="8" xr3:uid="{03CC9CCA-FF57-4297-8342-EDD44CA0AC7A}" name="Summer Reading Events Children Programs" totalsRowDxfId="209" dataCellStyle="sInteger"/>
    <tableColumn id="9" xr3:uid="{CB2BA2A7-006B-4D13-8CB2-B2FC44FA0EF7}" name="Summer Reading Events Children Attendance" totalsRowDxfId="208" dataCellStyle="sInteger"/>
    <tableColumn id="10" xr3:uid="{657B61AD-7639-425C-A6F4-1F925149426C}" name="Summer Reading Events Teens Programs" totalsRowDxfId="207" dataCellStyle="sInteger"/>
    <tableColumn id="11" xr3:uid="{36EB7BDF-ECE3-4D52-BF96-3D385B735C4A}" name="Summer Reading Events Teens Attendance" totalsRowDxfId="206" dataCellStyle="sInteger"/>
    <tableColumn id="12" xr3:uid="{F9325D93-4EC0-4934-879A-9879B1C09530}" name="How Many Children Signed Up For The Summer Reading  Program" totalsRowDxfId="205" dataCellStyle="sInteger"/>
    <tableColumn id="13" xr3:uid="{369A1DD7-CA5B-4B30-B752-655E61902D3C}" name="How Many Teens Signed Up For The Summer Reading Program?" totalsRowDxfId="204" dataCellStyle="sInteger"/>
    <tableColumn id="14" xr3:uid="{9D82BE29-9DED-49CF-8A8E-ACD95D5FF656}" name="Total Summer Reading Program Participation" totalsRowDxfId="203" dataCellStyle="sInteger"/>
    <tableColumn id="15" xr3:uid="{5D085597-AD1F-4774-8BE1-EDE011B05C7A}" name="Total Children's Events" totalsRowDxfId="202" dataCellStyle="sInteger"/>
    <tableColumn id="16" xr3:uid="{2A902CE7-8306-451E-8834-4B9B5C83032F}" name="Total Children's Event Attendance" totalsRowDxfId="201" dataCellStyle="sInteger"/>
    <tableColumn id="17" xr3:uid="{0031DD36-F80B-4D84-8020-BD2C919A290D}" name="Do any of your programs focus on early literacy for ages 0-5?" dataCellStyle="sText"/>
    <tableColumn id="18" xr3:uid="{C49CDF69-AF29-4A47-A470-39982F6A1C5A}" name=" Early Literacy Programs (Subset of Children's programming)" totalsRowDxfId="200" dataCellStyle="sInteger"/>
    <tableColumn id="19" xr3:uid="{0E0514BD-A625-496A-B25B-7E82845E71AC}" name=" Early Literacy Program Attendance (Subset of Children's programming)" totalsRowDxfId="199" dataCellStyle="sInteger"/>
    <tableColumn id="20" xr3:uid="{427A1EEE-74C7-4C11-BDE4-B2B11BE5AA21}" name="Total Teen Programs" totalsRowDxfId="198" dataCellStyle="sInteger"/>
    <tableColumn id="21" xr3:uid="{41371494-28B9-4301-97D5-D78DFC22DD59}" name="Total Teen Program Attendance" totalsRowDxfId="197" dataCellStyle="sInteger"/>
    <tableColumn id="22" xr3:uid="{1FF08274-1A00-4614-8D45-4AADE31964F5}" name="Adult Events" totalsRowDxfId="196" dataCellStyle="sInteger"/>
    <tableColumn id="23" xr3:uid="{73F238F3-11E1-4937-9EBC-866A41372F0F}" name="Adult Event Attendance" totalsRowDxfId="195" dataCellStyle="sInteger"/>
    <tableColumn id="24" xr3:uid="{6C2E30F5-130F-4AFF-BC16-D614509D1152}" name="General Events" totalsRowDxfId="194" dataCellStyle="sInteger"/>
    <tableColumn id="25" xr3:uid="{EAFC01C5-8FDA-43A3-A124-3817D2B9317F}" name="General Event Attendance" totalsRowDxfId="193" dataCellStyle="sInteger"/>
    <tableColumn id="26" xr3:uid="{3FC956B9-9CC7-43EE-8DF3-239F0A3A91E8}" name="Total Events" totalsRowDxfId="192" dataCellStyle="sInteger"/>
    <tableColumn id="27" xr3:uid="{76A14EF3-B4EC-4552-90EA-96FAA7760A65}" name="Total Attendance" totalsRowDxfId="191" dataCellStyle="sInteger"/>
    <tableColumn id="28" xr3:uid="{7DEE8745-9759-4CF2-B11D-DCCA08E26BCD}" name="Column1" dataDxfId="190" dataCellStyle="sInteger">
      <calculatedColumnFormula>Table4[[#This Row],[Total Attendance]]/Table4[[#This Row],[Total Events]]</calculatedColumnFormula>
    </tableColumn>
    <tableColumn id="29" xr3:uid="{1C9B9AA9-5058-483F-B60C-2FDCC80B7626}" name="attend percapita" dataDxfId="189" dataCellStyle="sInteger">
      <calculatedColumnFormula>Table4[[#This Row],[Total Attendance]]/AD4</calculatedColumnFormula>
    </tableColumn>
  </tableColumns>
  <tableStyleInfo name="Table Style 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BB3E049-53E2-4ABB-9AD7-DF51E389147C}" name="Table5" displayName="Table5" ref="B3:N397" totalsRowCount="1" headerRowDxfId="188" headerRowBorderDxfId="187" tableBorderDxfId="186" dataCellStyle="sText">
  <autoFilter ref="B3:N396" xr:uid="{1C857AAE-2DF7-4E48-8296-42DC9989F0C3}"/>
  <sortState xmlns:xlrd2="http://schemas.microsoft.com/office/spreadsheetml/2017/richdata2" ref="B4:N396">
    <sortCondition ref="C4:C396"/>
    <sortCondition ref="B4:B396"/>
  </sortState>
  <tableColumns count="13">
    <tableColumn id="1" xr3:uid="{70E2A993-016D-40A6-8896-2E1FC0DA08D2}" name="Location" totalsRowLabel="Total Libraries Reporting (N)" dataDxfId="185" totalsRowDxfId="184"/>
    <tableColumn id="3" xr3:uid="{5D6419EB-47FB-4996-B84F-A023E66829D4}" name="Library Class" totalsRowFunction="count" totalsRowDxfId="183" dataCellStyle="sText"/>
    <tableColumn id="4" xr3:uid="{FCF5051C-68C2-407F-ACF9-3F85DD85E49C}" name="Total number of computers that the library provides for use by staff only" dataCellStyle="sInteger"/>
    <tableColumn id="5" xr3:uid="{1D0CD41F-0705-4CC8-8E72-0B911C831A7E}" name="Total number of computers that the library provides for public use" dataCellStyle="sInteger"/>
    <tableColumn id="6" xr3:uid="{8DC159CD-1672-49C0-9916-499683E1D536}" name="Is your library circulation system automated?" totalsRowDxfId="182" dataCellStyle="sText"/>
    <tableColumn id="7" xr3:uid="{5654F402-8FF4-4827-A294-D808CCE47067}" name="Circulation System Vendor Name" totalsRowDxfId="181" dataCellStyle="sText"/>
    <tableColumn id="8" xr3:uid="{8175BBFD-3B79-4DEA-BCC1-B53B46B6992A}" name="Is your card catalog automated?" totalsRowDxfId="180" dataCellStyle="sText"/>
    <tableColumn id="9" xr3:uid="{600EDAD6-7E17-4E96-BCFC-64F209094C63}" name="Card Catalog Vendor Name" totalsRowDxfId="179" dataCellStyle="sText"/>
    <tableColumn id="10" xr3:uid="{CC416154-DEED-4DD3-BCB0-E6C68A1DEE6B}" name="Patron Initiated ILL" totalsRowDxfId="178" dataCellStyle="sText"/>
    <tableColumn id="11" xr3:uid="{C770D17E-A5A3-4EDE-8191-76412D962B52}" name="Do you offer a Remote Catalog?" totalsRowDxfId="177" dataCellStyle="sText"/>
    <tableColumn id="12" xr3:uid="{191BC1A3-D001-4ADC-9364-A1DD16937FC3}" name="Do you provide Self Checkout?" totalsRowDxfId="176" dataCellStyle="sText"/>
    <tableColumn id="13" xr3:uid="{EF941875-326D-446D-A4C1-CFDF2AB1D602}" name="Is your Circulation System Shared?" totalsRowDxfId="175" dataCellStyle="sText"/>
    <tableColumn id="14" xr3:uid="{F4CB3089-477F-4839-B6AE-965AB6F72770}" name="Do you provide Wireless Internet Access to Patrons?" totalsRowDxfId="174" dataCellStyle="sText"/>
  </tableColumns>
  <tableStyleInfo name="Table Style 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B6AC875-5D38-4966-967A-5BE41DE97A6B}" name="Table6" displayName="Table6" ref="B3:AB397" totalsRowCount="1" headerRowDxfId="173" headerRowBorderDxfId="172" tableBorderDxfId="171">
  <autoFilter ref="B3:AB396" xr:uid="{511BCF05-F18D-45A4-985B-E19A19742EB4}"/>
  <tableColumns count="27">
    <tableColumn id="1" xr3:uid="{33D87093-16FC-4494-A9F8-9C2C7D6A780F}" name="Location" totalsRowLabel="Total Libraries Reporting (N)" dataDxfId="170" totalsRowDxfId="169"/>
    <tableColumn id="3" xr3:uid="{DC4E7D85-73AD-4E5F-9008-A1AC1B3E5C63}" name="Library Class" totalsRowFunction="count" dataDxfId="168" totalsRowDxfId="167" dataCellStyle="sText"/>
    <tableColumn id="4" xr3:uid="{40477F26-5D71-4D0A-A5AD-5EEC3257EE27}" name="County" dataDxfId="166" totalsRowDxfId="165" dataCellStyle="sText"/>
    <tableColumn id="5" xr3:uid="{11D15D55-5BF1-45F9-8433-63278CF809FD}" name="Report Start Period" dataDxfId="164" totalsRowDxfId="163" dataCellStyle="sShortDate"/>
    <tableColumn id="6" xr3:uid="{F9F3126C-F97C-423B-8BF1-F782F87771B1}" name="Report End Period" totalsRowLabel="Total" dataDxfId="162" totalsRowDxfId="161" dataCellStyle="sShortDate"/>
    <tableColumn id="7" xr3:uid="{B7291792-D01A-48C7-8AEF-3BF4A65E0AFB}" name="Total Population Served" totalsRowFunction="sum" dataDxfId="160" totalsRowDxfId="159" dataCellStyle="sInteger"/>
    <tableColumn id="8" xr3:uid="{F174EFFB-B061-4E61-BECC-623052869D28}" name="Subtotal Legal Service Area Population Served" totalsRowFunction="sum" dataDxfId="158" totalsRowDxfId="157" dataCellStyle="sInteger"/>
    <tableColumn id="9" xr3:uid="{2BBF76F9-14AA-4D97-B688-92EF79EE1C99}" name="Subtotal Local Penal Fine Revenues" totalsRowFunction="sum" dataDxfId="156" totalsRowDxfId="155"/>
    <tableColumn id="10" xr3:uid="{98D4F08E-B583-4E0A-A2A0-6B497F54F02F}" name="Subtotal Income From Voted Millage" totalsRowFunction="sum" dataDxfId="154" totalsRowDxfId="153"/>
    <tableColumn id="11" xr3:uid="{E7E12442-C960-4EF0-BC76-CC519C89E209}" name="Subtotal Appropriated Tax Income" totalsRowFunction="sum" dataDxfId="152" totalsRowDxfId="151"/>
    <tableColumn id="12" xr3:uid="{7A9A05A7-A3B2-484B-978C-7E4643C21C2A}" name="Subtotal Other Local Government Income" totalsRowFunction="sum" dataDxfId="150" totalsRowDxfId="149"/>
    <tableColumn id="13" xr3:uid="{40B911CD-7CDA-479D-8D66-AF01FBA62812}" name="Subtotal Total Local Government Income" totalsRowFunction="sum" dataDxfId="148" totalsRowDxfId="147"/>
    <tableColumn id="14" xr3:uid="{93E0F0CF-1C25-4B0B-8C5C-204D21FE884F}" name="Subtotal Other Local Operating Income" totalsRowFunction="sum" dataDxfId="146" totalsRowDxfId="145"/>
    <tableColumn id="15" xr3:uid="{84EAE74C-D1D4-44D8-9297-CE0AF5C3A8B5}" name="Contracted Municipality Population Served" totalsRowFunction="sum" dataDxfId="144" totalsRowDxfId="143" dataCellStyle="sText"/>
    <tableColumn id="16" xr3:uid="{EB69F237-C79E-47E7-8223-00A9A704EB62}" name="CM Penal Fine Revenues" totalsRowFunction="sum" dataDxfId="142" totalsRowDxfId="141" dataCellStyle="sText"/>
    <tableColumn id="17" xr3:uid="{5B11329B-C062-4C79-86FD-9813013D719A}" name="CM Income From Voted Millage" totalsRowFunction="sum" dataDxfId="140" totalsRowDxfId="139" dataCellStyle="sText"/>
    <tableColumn id="18" xr3:uid="{2D484720-2AD4-4A42-BB13-1601425B8CA8}" name="CM Appropriated Tax Income" totalsRowFunction="sum" dataDxfId="138" totalsRowDxfId="137" dataCellStyle="sText"/>
    <tableColumn id="19" xr3:uid="{BDCB0C8D-4E3B-4E9A-97BA-42E953AB812A}" name="Contract Fee Income" totalsRowFunction="sum" dataDxfId="136" totalsRowDxfId="135" dataCellStyle="sText"/>
    <tableColumn id="20" xr3:uid="{DDCC0B0C-6C5B-4C4A-A5CE-3DA81F9E029A}" name="CM Total Local Government Income" totalsRowFunction="sum" dataDxfId="134" totalsRowDxfId="133" dataCellStyle="sText"/>
    <tableColumn id="21" xr3:uid="{DB7F8611-B6E5-4332-9EE9-0721AD90757B}" name="CM Other Local Operating Income" totalsRowFunction="sum" dataDxfId="132" totalsRowDxfId="131" dataCellStyle="sText"/>
    <tableColumn id="22" xr3:uid="{410EE34B-BF6F-48E4-99D1-57E1AF866307}" name="Total Local Government Income" totalsRowFunction="sum" dataDxfId="130" totalsRowDxfId="129"/>
    <tableColumn id="23" xr3:uid="{D17FFE03-5CE3-4369-95F7-67B5CE0E67C0}" name="Total Other Local Operating Income" totalsRowFunction="sum" dataDxfId="128" totalsRowDxfId="127"/>
    <tableColumn id="24" xr3:uid="{F25C58FD-2E7B-449C-800B-12A20275E4E3}" name="Total Local Operating Income" totalsRowFunction="sum" dataDxfId="126" totalsRowDxfId="125"/>
    <tableColumn id="25" xr3:uid="{277BCFEF-9085-45C1-A981-6FA7983E7416}" name="State Government Operating Income" totalsRowFunction="sum" dataDxfId="124" totalsRowDxfId="123"/>
    <tableColumn id="26" xr3:uid="{2D1A1020-6A01-4757-B49A-9E295C412290}" name="Federal Government Operating Income" totalsRowFunction="sum" dataDxfId="122" totalsRowDxfId="121"/>
    <tableColumn id="27" xr3:uid="{58AF3179-10AE-4DC2-8C3A-B91A1AAE03C4}" name="Total Operating Income" totalsRowFunction="sum" dataDxfId="120" totalsRowDxfId="119"/>
    <tableColumn id="29" xr3:uid="{D6C2A80E-2739-47C9-802B-154C1361B5A5}" name="Total Operating Income Per Capita" dataDxfId="118" totalsRowDxfId="117">
      <calculatedColumnFormula>Table6[[#This Row],[Total Operating Income]]/Table6[[#This Row],[Total Population Served]]</calculatedColumnFormula>
    </tableColumn>
  </tableColumns>
  <tableStyleInfo name="Table Style 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4665561-2170-45B9-A69A-F054F3DCB9A2}" name="Table7" displayName="Table7" ref="A3:N396" totalsRowShown="0" headerRowDxfId="116" headerRowBorderDxfId="115" tableBorderDxfId="114">
  <autoFilter ref="A3:N396" xr:uid="{EE4766AF-2594-4A36-AD14-280E63FFC113}"/>
  <tableColumns count="14">
    <tableColumn id="1" xr3:uid="{6351268B-C134-4F77-941C-40CB8D73C22A}" name="FSCS" dataDxfId="113" dataCellStyle="sText"/>
    <tableColumn id="2" xr3:uid="{57BD27F2-00FF-41BC-86A4-3E431256045B}" name="Location" dataDxfId="112"/>
    <tableColumn id="3" xr3:uid="{3185083F-0195-4256-83AD-1E315C7AFC71}" name="Library Class" dataDxfId="111" dataCellStyle="sText"/>
    <tableColumn id="4" xr3:uid="{8E587041-1B91-4330-8B50-9E4C94DC5063}" name="Print Materials Expenditure" dataDxfId="110"/>
    <tableColumn id="5" xr3:uid="{B6F94AB6-A437-46E5-B62E-7C31FBB0764B}" name="Other Materials Expenditure" dataDxfId="109"/>
    <tableColumn id="6" xr3:uid="{26CBB6B2-B050-478A-92B0-5792D975219A}" name="Electronic Materials Expenditure" dataDxfId="108"/>
    <tableColumn id="7" xr3:uid="{B6D851BB-5334-47EC-95A6-7C72DBC30896}" name="Total Collection Expenditures" dataDxfId="107"/>
    <tableColumn id="8" xr3:uid="{4E263435-0883-4308-9484-4C23A9D2D3C9}" name="Salaries and Wages" dataDxfId="106"/>
    <tableColumn id="9" xr3:uid="{1508C301-B27D-472B-9076-BE3B968D4DB9}" name="Employee Benefits" dataDxfId="105"/>
    <tableColumn id="10" xr3:uid="{661DCD66-4DBA-4ACB-BCB2-80942794BC53}" name="Total Staff Expenditures" dataDxfId="104"/>
    <tableColumn id="11" xr3:uid="{92943CC4-779C-4C9A-9967-12012557ADE1}" name="Other Operating Expenditures" dataDxfId="103"/>
    <tableColumn id="12" xr3:uid="{63F97C6B-9D8D-432A-8F50-670E8C209B68}" name="Total Operating Expenditures" dataDxfId="102"/>
    <tableColumn id="13" xr3:uid="{0DAB3748-82D8-476C-A290-E57B8DB4FC88}" name="Total Operating Expenditures Per Capita" dataDxfId="101">
      <calculatedColumnFormula>L4/N4</calculatedColumnFormula>
    </tableColumn>
    <tableColumn id="14" xr3:uid="{EE4018BB-D3C9-4BCE-BEF8-8D4F87D61C0D}" name="Total Population Served" dataDxfId="100" dataCellStyle="sInteger"/>
  </tableColumns>
  <tableStyleInfo name="Table Style 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AD72AE4-599E-4300-8055-72EEF8580413}" name="Table8" displayName="Table8" ref="A3:N396" totalsRowShown="0" headerRowDxfId="99" headerRowBorderDxfId="98" tableBorderDxfId="97">
  <autoFilter ref="A3:N396" xr:uid="{8AF8FAD1-8890-4E2F-B31D-6AE73CF43890}"/>
  <tableColumns count="14">
    <tableColumn id="1" xr3:uid="{20D419D4-19BF-4DF8-A599-867C003AD6FB}" name="FSCS" dataDxfId="96" dataCellStyle="sText"/>
    <tableColumn id="2" xr3:uid="{AE3C93D6-14FC-4DEF-AF26-B9F59A67D849}" name="Location" dataDxfId="95"/>
    <tableColumn id="3" xr3:uid="{89FCBE0B-1394-41FA-ADF7-B886C7A3FB1F}" name="Library Class" dataDxfId="94" dataCellStyle="sText"/>
    <tableColumn id="4" xr3:uid="{38CE2960-C689-4ED7-8314-4171D2C4B433}" name="Federal Capital Income" dataDxfId="93"/>
    <tableColumn id="5" xr3:uid="{7B6AA6D4-2A2B-4477-AFAC-6C7AD0CC022E}" name="State Capital Income" dataDxfId="92"/>
    <tableColumn id="6" xr3:uid="{F83B8C4E-CFA5-40A5-BBF7-49A6A77078F2}" name="Local Capital Icome" dataDxfId="91"/>
    <tableColumn id="7" xr3:uid="{950312E0-257F-4202-96C9-F179BD803C97}" name="Private Capital Income" dataDxfId="90"/>
    <tableColumn id="8" xr3:uid="{8FA713E0-2ABA-44FC-98B3-C223BD94F42A}" name="Total Capital Income" dataDxfId="89"/>
    <tableColumn id="9" xr3:uid="{5BB06F6A-7ECC-4ABD-A1DA-E51539FE8465}" name="Total Population Served" dataDxfId="88" dataCellStyle="sInteger"/>
    <tableColumn id="10" xr3:uid="{31FF0EB6-077D-45E2-AE42-AAC82A35404B}" name="Capital Expenditures for Electronic Access" dataDxfId="87"/>
    <tableColumn id="11" xr3:uid="{8B2152B9-07D7-403F-9C2D-1C18B7E8669C}" name="Furnishings and Equipment Expenditures" dataDxfId="86"/>
    <tableColumn id="12" xr3:uid="{6903B79C-F549-4FF5-8E35-947E05A9F1B3}" name="Building Expenditures" dataDxfId="85"/>
    <tableColumn id="13" xr3:uid="{8EFA2A63-1B70-48B3-83CA-C6D50FFC19D2}" name="Other Capital Expenditures" dataDxfId="84"/>
    <tableColumn id="14" xr3:uid="{ECEEF19C-6F4D-47B6-864D-102236EB13DE}" name="Total Capital Expenditures" dataDxfId="83"/>
  </tableColumns>
  <tableStyleInfo name="Table Style 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495CC93-CCA0-4BD6-9547-451F2D9F8B53}" name="Table9" displayName="Table9" ref="A3:K396" totalsRowShown="0" headerRowDxfId="82" dataDxfId="80" headerRowBorderDxfId="81" tableBorderDxfId="79" dataCellStyle="sText">
  <autoFilter ref="A3:K396" xr:uid="{14642D34-B8A3-4612-8349-548EA1FA0DF0}"/>
  <tableColumns count="11">
    <tableColumn id="1" xr3:uid="{4C3AFC18-36A3-456E-A215-D8A4489194A5}" name="FSCS" dataDxfId="78" dataCellStyle="sText"/>
    <tableColumn id="2" xr3:uid="{963D25AB-C0EC-4383-B4FE-6427F4FC4E18}" name="Location" dataDxfId="77"/>
    <tableColumn id="3" xr3:uid="{5713A407-342E-4C81-AB02-5D60151CA8F8}" name="Library Class" dataDxfId="76" dataCellStyle="sText"/>
    <tableColumn id="4" xr3:uid="{B086B12A-6214-4456-8244-305111430239}" name="Total Population Served" dataDxfId="75" dataCellStyle="sInteger"/>
    <tableColumn id="5" xr3:uid="{E6D7B222-37CE-43D4-93AD-BF1210657996}" name="City" dataDxfId="74" dataCellStyle="sText"/>
    <tableColumn id="6" xr3:uid="{E6394E3A-E681-4742-A513-D2E057093A97}" name="County" dataDxfId="73" dataCellStyle="sText"/>
    <tableColumn id="7" xr3:uid="{A9A6C2D2-B77B-41A4-B26C-D3A82D18D805}" name="Cooperative" dataDxfId="72" dataCellStyle="sText"/>
    <tableColumn id="8" xr3:uid="{42806A5D-7281-41F3-BC1E-6C5246AFCA34}" name="Non-Resident Fee" dataDxfId="71" dataCellStyle="sText"/>
    <tableColumn id="9" xr3:uid="{8DFD9852-DBC9-4046-A6A3-87791074D571}" name="NR Fee Annual or One Time" dataDxfId="70" dataCellStyle="sText"/>
    <tableColumn id="10" xr3:uid="{CD970F71-6016-4077-BAEC-673F41CB43C4}" name="Fee schedule or non-resident rate (Example: $35/family;$25/individual)" dataDxfId="69" dataCellStyle="sText"/>
    <tableColumn id="11" xr3:uid="{FF2F68B7-9A76-46CD-9163-D45EC6AFE66D}" name="Full Library Service for Contracted Municipalities" dataDxfId="68" dataCellStyle="sText"/>
  </tableColumns>
  <tableStyleInfo name="Table Style 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568D2"/>
  </sheetPr>
  <dimension ref="B9:D32"/>
  <sheetViews>
    <sheetView tabSelected="1" zoomScaleNormal="100" workbookViewId="0">
      <selection activeCell="D31" sqref="D31"/>
    </sheetView>
  </sheetViews>
  <sheetFormatPr defaultRowHeight="12.75" x14ac:dyDescent="0.2"/>
  <cols>
    <col min="2" max="2" width="27.28515625" customWidth="1"/>
  </cols>
  <sheetData>
    <row r="9" spans="2:4" x14ac:dyDescent="0.2">
      <c r="B9" s="316" t="s">
        <v>2607</v>
      </c>
      <c r="C9" s="55"/>
      <c r="D9" s="55"/>
    </row>
    <row r="10" spans="2:4" x14ac:dyDescent="0.2">
      <c r="B10" s="46" t="s">
        <v>2608</v>
      </c>
      <c r="C10" s="47"/>
      <c r="D10" s="47"/>
    </row>
    <row r="11" spans="2:4" x14ac:dyDescent="0.2">
      <c r="B11" s="46" t="s">
        <v>2609</v>
      </c>
      <c r="C11" s="47"/>
      <c r="D11" s="47"/>
    </row>
    <row r="12" spans="2:4" x14ac:dyDescent="0.2">
      <c r="B12" s="46" t="s">
        <v>2610</v>
      </c>
      <c r="C12" s="47"/>
      <c r="D12" s="47"/>
    </row>
    <row r="13" spans="2:4" x14ac:dyDescent="0.2">
      <c r="B13" s="46" t="s">
        <v>2611</v>
      </c>
      <c r="C13" s="47"/>
      <c r="D13" s="47"/>
    </row>
    <row r="14" spans="2:4" x14ac:dyDescent="0.2">
      <c r="B14" s="46" t="s">
        <v>2612</v>
      </c>
      <c r="C14" s="47"/>
      <c r="D14" s="47"/>
    </row>
    <row r="15" spans="2:4" x14ac:dyDescent="0.2">
      <c r="B15" s="46" t="s">
        <v>2613</v>
      </c>
      <c r="C15" s="47"/>
      <c r="D15" s="47"/>
    </row>
    <row r="16" spans="2:4" x14ac:dyDescent="0.2">
      <c r="B16" s="46" t="s">
        <v>2614</v>
      </c>
      <c r="C16" s="47"/>
      <c r="D16" s="47"/>
    </row>
    <row r="17" spans="2:4" x14ac:dyDescent="0.2">
      <c r="B17" s="46" t="s">
        <v>2615</v>
      </c>
      <c r="C17" s="47"/>
      <c r="D17" s="47"/>
    </row>
    <row r="18" spans="2:4" x14ac:dyDescent="0.2">
      <c r="B18" s="46" t="s">
        <v>2616</v>
      </c>
      <c r="C18" s="47"/>
      <c r="D18" s="47"/>
    </row>
    <row r="19" spans="2:4" x14ac:dyDescent="0.2">
      <c r="B19" s="46" t="s">
        <v>2617</v>
      </c>
      <c r="C19" s="47"/>
      <c r="D19" s="47"/>
    </row>
    <row r="20" spans="2:4" x14ac:dyDescent="0.2">
      <c r="B20" s="46" t="s">
        <v>2618</v>
      </c>
      <c r="C20" s="47"/>
      <c r="D20" s="47"/>
    </row>
    <row r="21" spans="2:4" x14ac:dyDescent="0.2">
      <c r="B21" s="46" t="s">
        <v>2619</v>
      </c>
      <c r="C21" s="46"/>
      <c r="D21" s="47"/>
    </row>
    <row r="22" spans="2:4" x14ac:dyDescent="0.2">
      <c r="B22" s="46" t="s">
        <v>2620</v>
      </c>
      <c r="C22" s="47"/>
      <c r="D22" s="47"/>
    </row>
    <row r="25" spans="2:4" x14ac:dyDescent="0.2">
      <c r="C25" s="48"/>
    </row>
    <row r="26" spans="2:4" x14ac:dyDescent="0.2">
      <c r="C26" s="49"/>
    </row>
    <row r="27" spans="2:4" x14ac:dyDescent="0.2">
      <c r="C27" s="49"/>
    </row>
    <row r="28" spans="2:4" x14ac:dyDescent="0.2">
      <c r="C28" s="49"/>
    </row>
    <row r="29" spans="2:4" x14ac:dyDescent="0.2">
      <c r="C29" s="49"/>
    </row>
    <row r="30" spans="2:4" x14ac:dyDescent="0.2">
      <c r="C30" s="49"/>
    </row>
    <row r="31" spans="2:4" x14ac:dyDescent="0.2">
      <c r="C31" s="49"/>
    </row>
    <row r="32" spans="2:4" x14ac:dyDescent="0.2">
      <c r="C32" s="49"/>
    </row>
  </sheetData>
  <hyperlinks>
    <hyperlink ref="B12" location="Services!A1" display="Services" xr:uid="{00000000-0004-0000-0000-000000000000}"/>
    <hyperlink ref="B13" location="Programs!A1" display="Programs" xr:uid="{00000000-0004-0000-0000-000001000000}"/>
    <hyperlink ref="B15" location="Millages!A1" display="Millages" xr:uid="{00000000-0004-0000-0000-000002000000}"/>
    <hyperlink ref="B20" location="Staffing!A1" display="Staffing" xr:uid="{00000000-0004-0000-0000-000003000000}"/>
    <hyperlink ref="B22" location="'Other Employee Salary'!A1" display="Other Employee Salary" xr:uid="{00000000-0004-0000-0000-000004000000}"/>
    <hyperlink ref="B21" location="'Director''s Salary'!A1" display="Director's Salary" xr:uid="{00000000-0004-0000-0000-000005000000}"/>
    <hyperlink ref="B19" location="'Nonresident Fees'!A1" display="Nonresident Fees" xr:uid="{00000000-0004-0000-0000-000006000000}"/>
    <hyperlink ref="B18" location="'Capital Income &amp; Expenditure'!A1" display="Capital Income and Expenditure" xr:uid="{00000000-0004-0000-0000-000007000000}"/>
    <hyperlink ref="B17" location="'Operating Expenditures'!A1" display="Operating Expenditures" xr:uid="{00000000-0004-0000-0000-000008000000}"/>
    <hyperlink ref="B16" location="'Operating Income'!A1" display="Operating Income" xr:uid="{00000000-0004-0000-0000-000009000000}"/>
    <hyperlink ref="B14" location="Technology!A1" display="Technology" xr:uid="{00000000-0004-0000-0000-00000A000000}"/>
    <hyperlink ref="B11" location="Collections!A1" display="Collections" xr:uid="{00000000-0004-0000-0000-00000C000000}"/>
    <hyperlink ref="B10" location="'Outlets, Hours and SqFt'!A1" display="Outlets, Hours, SqFt" xr:uid="{00000000-0004-0000-0000-00000D000000}"/>
    <hyperlink ref="B21:C21" location="'Director''s Salary'!A1" display="Directors Salary" xr:uid="{00000000-0004-0000-0000-00000F000000}"/>
    <hyperlink ref="B9" location="'Summary &amp; Definitions'!A1" display="Summary and Definitions" xr:uid="{854E0418-1B6C-4DBB-BC78-8C097CA10209}"/>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568D2"/>
  </sheetPr>
  <dimension ref="A1:N399"/>
  <sheetViews>
    <sheetView zoomScaleNormal="100" workbookViewId="0">
      <pane ySplit="3" topLeftCell="A4" activePane="bottomLeft" state="frozen"/>
      <selection pane="bottomLeft" activeCell="C2" sqref="C2"/>
    </sheetView>
  </sheetViews>
  <sheetFormatPr defaultRowHeight="12.75" x14ac:dyDescent="0.2"/>
  <cols>
    <col min="1" max="1" width="8.85546875" customWidth="1"/>
    <col min="2" max="2" width="45.7109375" customWidth="1"/>
    <col min="3" max="3" width="24.7109375" customWidth="1"/>
    <col min="4" max="14" width="19.28515625" customWidth="1"/>
  </cols>
  <sheetData>
    <row r="1" spans="1:14" ht="18.75" x14ac:dyDescent="0.3">
      <c r="A1" s="55"/>
      <c r="B1" s="312" t="s">
        <v>3576</v>
      </c>
      <c r="C1" s="55"/>
      <c r="D1" s="314" t="s">
        <v>2615</v>
      </c>
      <c r="E1" s="55"/>
      <c r="F1" s="55"/>
      <c r="G1" s="315" t="s">
        <v>1844</v>
      </c>
      <c r="H1" s="55"/>
      <c r="I1" s="55"/>
      <c r="J1" s="55"/>
    </row>
    <row r="3" spans="1:14" s="5" customFormat="1" ht="50.45" customHeight="1" thickBot="1" x14ac:dyDescent="0.3">
      <c r="A3" s="74" t="s">
        <v>1</v>
      </c>
      <c r="B3" s="74" t="s">
        <v>0</v>
      </c>
      <c r="C3" s="74" t="s">
        <v>4</v>
      </c>
      <c r="D3" s="74" t="s">
        <v>1336</v>
      </c>
      <c r="E3" s="74" t="s">
        <v>1337</v>
      </c>
      <c r="F3" s="74" t="s">
        <v>1338</v>
      </c>
      <c r="G3" s="74" t="s">
        <v>1339</v>
      </c>
      <c r="H3" s="74" t="s">
        <v>1340</v>
      </c>
      <c r="I3" s="74" t="s">
        <v>1341</v>
      </c>
      <c r="J3" s="74" t="s">
        <v>1342</v>
      </c>
      <c r="K3" s="74" t="s">
        <v>1343</v>
      </c>
      <c r="L3" s="74" t="s">
        <v>1344</v>
      </c>
      <c r="M3" s="156" t="s">
        <v>2662</v>
      </c>
      <c r="N3" s="74" t="s">
        <v>844</v>
      </c>
    </row>
    <row r="4" spans="1:14" ht="13.5" thickBot="1" x14ac:dyDescent="0.25">
      <c r="A4" s="2" t="s">
        <v>40</v>
      </c>
      <c r="B4" s="1" t="s">
        <v>39</v>
      </c>
      <c r="C4" s="2" t="s">
        <v>19</v>
      </c>
      <c r="D4" s="6">
        <v>12957</v>
      </c>
      <c r="E4" s="6">
        <v>3001</v>
      </c>
      <c r="F4" s="6">
        <v>3722</v>
      </c>
      <c r="G4" s="6">
        <v>19680</v>
      </c>
      <c r="H4" s="6">
        <v>64456</v>
      </c>
      <c r="I4" s="6">
        <v>4931</v>
      </c>
      <c r="J4" s="6">
        <v>69387</v>
      </c>
      <c r="K4" s="6">
        <v>39227</v>
      </c>
      <c r="L4" s="6">
        <v>128294</v>
      </c>
      <c r="M4" s="142">
        <f t="shared" ref="M4:M67" si="0">L4/N4</f>
        <v>99.839688715953301</v>
      </c>
      <c r="N4" s="4">
        <v>1285</v>
      </c>
    </row>
    <row r="5" spans="1:14" ht="13.5" thickBot="1" x14ac:dyDescent="0.25">
      <c r="A5" s="2" t="s">
        <v>64</v>
      </c>
      <c r="B5" s="1" t="s">
        <v>63</v>
      </c>
      <c r="C5" s="2" t="s">
        <v>19</v>
      </c>
      <c r="D5" s="6">
        <v>5513</v>
      </c>
      <c r="E5" s="6">
        <v>0</v>
      </c>
      <c r="F5" s="6">
        <v>762</v>
      </c>
      <c r="G5" s="6">
        <v>6275</v>
      </c>
      <c r="H5" s="6">
        <v>1800</v>
      </c>
      <c r="I5" s="6">
        <v>647</v>
      </c>
      <c r="J5" s="6">
        <v>2447</v>
      </c>
      <c r="K5" s="6">
        <v>14590</v>
      </c>
      <c r="L5" s="6">
        <v>23312</v>
      </c>
      <c r="M5" s="142">
        <f t="shared" si="0"/>
        <v>7.1773399014778327</v>
      </c>
      <c r="N5" s="4">
        <v>3248</v>
      </c>
    </row>
    <row r="6" spans="1:14" ht="13.5" thickBot="1" x14ac:dyDescent="0.25">
      <c r="A6" s="2" t="s">
        <v>88</v>
      </c>
      <c r="B6" s="1" t="s">
        <v>87</v>
      </c>
      <c r="C6" s="2" t="s">
        <v>19</v>
      </c>
      <c r="D6" s="6">
        <v>7810</v>
      </c>
      <c r="E6" s="6">
        <v>2564</v>
      </c>
      <c r="F6" s="6">
        <v>1500</v>
      </c>
      <c r="G6" s="6">
        <v>11874</v>
      </c>
      <c r="H6" s="6">
        <v>66607</v>
      </c>
      <c r="I6" s="6">
        <v>6780</v>
      </c>
      <c r="J6" s="6">
        <v>73387</v>
      </c>
      <c r="K6" s="6">
        <v>47830</v>
      </c>
      <c r="L6" s="6">
        <v>133091</v>
      </c>
      <c r="M6" s="142">
        <f t="shared" si="0"/>
        <v>202.57382039573821</v>
      </c>
      <c r="N6" s="4">
        <v>657</v>
      </c>
    </row>
    <row r="7" spans="1:14" ht="13.5" thickBot="1" x14ac:dyDescent="0.25">
      <c r="A7" s="2" t="s">
        <v>90</v>
      </c>
      <c r="B7" s="1" t="s">
        <v>89</v>
      </c>
      <c r="C7" s="2" t="s">
        <v>19</v>
      </c>
      <c r="D7" s="6">
        <v>17162</v>
      </c>
      <c r="E7" s="6">
        <v>11532</v>
      </c>
      <c r="F7" s="6">
        <v>0</v>
      </c>
      <c r="G7" s="6">
        <v>28694</v>
      </c>
      <c r="H7" s="6">
        <v>65563</v>
      </c>
      <c r="I7" s="6">
        <v>5180</v>
      </c>
      <c r="J7" s="6">
        <v>70743</v>
      </c>
      <c r="K7" s="6">
        <v>38691</v>
      </c>
      <c r="L7" s="6">
        <v>138128</v>
      </c>
      <c r="M7" s="142">
        <f t="shared" si="0"/>
        <v>36.648447864154946</v>
      </c>
      <c r="N7" s="4">
        <v>3769</v>
      </c>
    </row>
    <row r="8" spans="1:14" ht="13.5" thickBot="1" x14ac:dyDescent="0.25">
      <c r="A8" s="2" t="s">
        <v>94</v>
      </c>
      <c r="B8" s="1" t="s">
        <v>93</v>
      </c>
      <c r="C8" s="2" t="s">
        <v>19</v>
      </c>
      <c r="D8" s="6">
        <v>1190</v>
      </c>
      <c r="E8" s="6">
        <v>0</v>
      </c>
      <c r="F8" s="6">
        <v>262</v>
      </c>
      <c r="G8" s="6">
        <v>1452</v>
      </c>
      <c r="H8" s="6">
        <v>15990</v>
      </c>
      <c r="I8" s="6">
        <v>5412</v>
      </c>
      <c r="J8" s="6">
        <v>21402</v>
      </c>
      <c r="K8" s="6">
        <v>12028</v>
      </c>
      <c r="L8" s="6">
        <v>34882</v>
      </c>
      <c r="M8" s="142">
        <f t="shared" si="0"/>
        <v>11.073650793650794</v>
      </c>
      <c r="N8" s="4">
        <v>3150</v>
      </c>
    </row>
    <row r="9" spans="1:14" ht="13.5" thickBot="1" x14ac:dyDescent="0.25">
      <c r="A9" s="2" t="s">
        <v>98</v>
      </c>
      <c r="B9" s="1" t="s">
        <v>97</v>
      </c>
      <c r="C9" s="2" t="s">
        <v>19</v>
      </c>
      <c r="D9" s="6">
        <v>25101</v>
      </c>
      <c r="E9" s="6">
        <v>4741</v>
      </c>
      <c r="F9" s="6">
        <v>5100</v>
      </c>
      <c r="G9" s="6">
        <v>34942</v>
      </c>
      <c r="H9" s="6">
        <v>162890</v>
      </c>
      <c r="I9" s="6">
        <v>21882</v>
      </c>
      <c r="J9" s="6">
        <v>184772</v>
      </c>
      <c r="K9" s="6">
        <v>93689</v>
      </c>
      <c r="L9" s="6">
        <v>313403</v>
      </c>
      <c r="M9" s="142">
        <f t="shared" si="0"/>
        <v>82.23642088690633</v>
      </c>
      <c r="N9" s="4">
        <v>3811</v>
      </c>
    </row>
    <row r="10" spans="1:14" ht="13.5" thickBot="1" x14ac:dyDescent="0.25">
      <c r="A10" s="2" t="s">
        <v>100</v>
      </c>
      <c r="B10" s="1" t="s">
        <v>99</v>
      </c>
      <c r="C10" s="2" t="s">
        <v>19</v>
      </c>
      <c r="D10" s="6">
        <v>9118</v>
      </c>
      <c r="E10" s="6">
        <v>4024</v>
      </c>
      <c r="F10" s="6">
        <v>2000</v>
      </c>
      <c r="G10" s="6">
        <v>15142</v>
      </c>
      <c r="H10" s="6">
        <v>53193</v>
      </c>
      <c r="I10" s="6">
        <v>4533</v>
      </c>
      <c r="J10" s="6">
        <v>57726</v>
      </c>
      <c r="K10" s="6">
        <v>30985</v>
      </c>
      <c r="L10" s="6">
        <v>103853</v>
      </c>
      <c r="M10" s="142">
        <f t="shared" si="0"/>
        <v>28.664918575765938</v>
      </c>
      <c r="N10" s="4">
        <v>3623</v>
      </c>
    </row>
    <row r="11" spans="1:14" ht="13.5" thickBot="1" x14ac:dyDescent="0.25">
      <c r="A11" s="2" t="s">
        <v>108</v>
      </c>
      <c r="B11" s="1" t="s">
        <v>107</v>
      </c>
      <c r="C11" s="2" t="s">
        <v>19</v>
      </c>
      <c r="D11" s="6">
        <v>5618</v>
      </c>
      <c r="E11" s="6">
        <v>349</v>
      </c>
      <c r="F11" s="6">
        <v>1707</v>
      </c>
      <c r="G11" s="6">
        <v>7674</v>
      </c>
      <c r="H11" s="6">
        <v>44521</v>
      </c>
      <c r="I11" s="6">
        <v>3406</v>
      </c>
      <c r="J11" s="6">
        <v>47927</v>
      </c>
      <c r="K11" s="6">
        <v>16309</v>
      </c>
      <c r="L11" s="6">
        <v>71910</v>
      </c>
      <c r="M11" s="142">
        <f t="shared" si="0"/>
        <v>24.484167517875385</v>
      </c>
      <c r="N11" s="4">
        <v>2937</v>
      </c>
    </row>
    <row r="12" spans="1:14" ht="13.5" thickBot="1" x14ac:dyDescent="0.25">
      <c r="A12" s="2" t="s">
        <v>138</v>
      </c>
      <c r="B12" s="1" t="s">
        <v>137</v>
      </c>
      <c r="C12" s="2" t="s">
        <v>19</v>
      </c>
      <c r="D12" s="6">
        <v>3200</v>
      </c>
      <c r="E12" s="6">
        <v>350</v>
      </c>
      <c r="F12" s="6">
        <v>200</v>
      </c>
      <c r="G12" s="6">
        <v>3750</v>
      </c>
      <c r="H12" s="6">
        <v>19500</v>
      </c>
      <c r="I12" s="6">
        <v>1300</v>
      </c>
      <c r="J12" s="6">
        <v>20800</v>
      </c>
      <c r="K12" s="6">
        <v>0</v>
      </c>
      <c r="L12" s="6">
        <v>24550</v>
      </c>
      <c r="M12" s="142">
        <f t="shared" si="0"/>
        <v>9.402527767139027</v>
      </c>
      <c r="N12" s="4">
        <v>2611</v>
      </c>
    </row>
    <row r="13" spans="1:14" ht="13.5" thickBot="1" x14ac:dyDescent="0.25">
      <c r="A13" s="2" t="s">
        <v>154</v>
      </c>
      <c r="B13" s="1" t="s">
        <v>153</v>
      </c>
      <c r="C13" s="2" t="s">
        <v>19</v>
      </c>
      <c r="D13" s="6">
        <v>1448</v>
      </c>
      <c r="E13" s="6">
        <v>403</v>
      </c>
      <c r="F13" s="6">
        <v>250</v>
      </c>
      <c r="G13" s="6">
        <v>2101</v>
      </c>
      <c r="H13" s="6">
        <v>13594</v>
      </c>
      <c r="I13" s="6">
        <v>1040</v>
      </c>
      <c r="J13" s="6">
        <v>14634</v>
      </c>
      <c r="K13" s="6">
        <v>9556</v>
      </c>
      <c r="L13" s="6">
        <v>26291</v>
      </c>
      <c r="M13" s="142">
        <f t="shared" si="0"/>
        <v>36.414127423822713</v>
      </c>
      <c r="N13" s="4">
        <v>722</v>
      </c>
    </row>
    <row r="14" spans="1:14" ht="13.5" thickBot="1" x14ac:dyDescent="0.25">
      <c r="A14" s="2" t="s">
        <v>164</v>
      </c>
      <c r="B14" s="1" t="s">
        <v>163</v>
      </c>
      <c r="C14" s="2" t="s">
        <v>19</v>
      </c>
      <c r="D14" s="6">
        <v>8484</v>
      </c>
      <c r="E14" s="6">
        <v>0</v>
      </c>
      <c r="F14" s="6">
        <v>2154</v>
      </c>
      <c r="G14" s="6">
        <v>10638</v>
      </c>
      <c r="H14" s="6">
        <v>74503</v>
      </c>
      <c r="I14" s="6">
        <v>5700</v>
      </c>
      <c r="J14" s="6">
        <v>80203</v>
      </c>
      <c r="K14" s="6">
        <v>44032</v>
      </c>
      <c r="L14" s="6">
        <v>134873</v>
      </c>
      <c r="M14" s="142">
        <f t="shared" si="0"/>
        <v>33.760450563204003</v>
      </c>
      <c r="N14" s="4">
        <v>3995</v>
      </c>
    </row>
    <row r="15" spans="1:14" ht="13.5" thickBot="1" x14ac:dyDescent="0.25">
      <c r="A15" s="2" t="s">
        <v>172</v>
      </c>
      <c r="B15" s="1" t="s">
        <v>171</v>
      </c>
      <c r="C15" s="2" t="s">
        <v>19</v>
      </c>
      <c r="D15" s="6">
        <v>617</v>
      </c>
      <c r="E15" s="6">
        <v>60</v>
      </c>
      <c r="F15" s="6">
        <v>0</v>
      </c>
      <c r="G15" s="6">
        <v>677</v>
      </c>
      <c r="H15" s="6">
        <v>14082</v>
      </c>
      <c r="I15" s="6">
        <v>5427</v>
      </c>
      <c r="J15" s="6">
        <v>19509</v>
      </c>
      <c r="K15" s="6">
        <v>12682</v>
      </c>
      <c r="L15" s="6">
        <v>32868</v>
      </c>
      <c r="M15" s="142">
        <f t="shared" si="0"/>
        <v>17.728155339805824</v>
      </c>
      <c r="N15" s="4">
        <v>1854</v>
      </c>
    </row>
    <row r="16" spans="1:14" ht="13.5" thickBot="1" x14ac:dyDescent="0.25">
      <c r="A16" s="2" t="s">
        <v>184</v>
      </c>
      <c r="B16" s="1" t="s">
        <v>183</v>
      </c>
      <c r="C16" s="2" t="s">
        <v>19</v>
      </c>
      <c r="D16" s="6">
        <v>14669</v>
      </c>
      <c r="E16" s="6">
        <v>2028</v>
      </c>
      <c r="F16" s="6">
        <v>370</v>
      </c>
      <c r="G16" s="6">
        <v>17067</v>
      </c>
      <c r="H16" s="6">
        <v>90330</v>
      </c>
      <c r="I16" s="6">
        <v>6890</v>
      </c>
      <c r="J16" s="6">
        <v>97220</v>
      </c>
      <c r="K16" s="6">
        <v>34653</v>
      </c>
      <c r="L16" s="6">
        <v>148940</v>
      </c>
      <c r="M16" s="142">
        <f t="shared" si="0"/>
        <v>41.326304106548278</v>
      </c>
      <c r="N16" s="4">
        <v>3604</v>
      </c>
    </row>
    <row r="17" spans="1:14" ht="13.5" thickBot="1" x14ac:dyDescent="0.25">
      <c r="A17" s="2" t="s">
        <v>192</v>
      </c>
      <c r="B17" s="1" t="s">
        <v>191</v>
      </c>
      <c r="C17" s="2" t="s">
        <v>19</v>
      </c>
      <c r="D17" s="6">
        <v>10800</v>
      </c>
      <c r="E17" s="6">
        <v>1422</v>
      </c>
      <c r="F17" s="6">
        <v>2273</v>
      </c>
      <c r="G17" s="6">
        <v>14495</v>
      </c>
      <c r="H17" s="6">
        <v>62400</v>
      </c>
      <c r="I17" s="6">
        <v>0</v>
      </c>
      <c r="J17" s="6">
        <v>62400</v>
      </c>
      <c r="K17" s="6">
        <v>38000</v>
      </c>
      <c r="L17" s="6">
        <v>114895</v>
      </c>
      <c r="M17" s="142">
        <f t="shared" si="0"/>
        <v>30.211674993426243</v>
      </c>
      <c r="N17" s="4">
        <v>3803</v>
      </c>
    </row>
    <row r="18" spans="1:14" ht="13.5" thickBot="1" x14ac:dyDescent="0.25">
      <c r="A18" s="2" t="s">
        <v>194</v>
      </c>
      <c r="B18" s="1" t="s">
        <v>193</v>
      </c>
      <c r="C18" s="2" t="s">
        <v>19</v>
      </c>
      <c r="D18" s="6">
        <v>8677</v>
      </c>
      <c r="E18" s="6">
        <v>3805</v>
      </c>
      <c r="F18" s="6">
        <v>957</v>
      </c>
      <c r="G18" s="6">
        <v>13439</v>
      </c>
      <c r="H18" s="6">
        <v>41500</v>
      </c>
      <c r="I18" s="6">
        <v>3189</v>
      </c>
      <c r="J18" s="6">
        <v>44689</v>
      </c>
      <c r="K18" s="6">
        <v>19109</v>
      </c>
      <c r="L18" s="6">
        <v>77237</v>
      </c>
      <c r="M18" s="142">
        <f t="shared" si="0"/>
        <v>32.548251158870627</v>
      </c>
      <c r="N18" s="4">
        <v>2373</v>
      </c>
    </row>
    <row r="19" spans="1:14" ht="13.5" thickBot="1" x14ac:dyDescent="0.25">
      <c r="A19" s="2" t="s">
        <v>210</v>
      </c>
      <c r="B19" s="1" t="s">
        <v>209</v>
      </c>
      <c r="C19" s="2" t="s">
        <v>19</v>
      </c>
      <c r="D19" s="6">
        <v>13418</v>
      </c>
      <c r="E19" s="6">
        <v>1110</v>
      </c>
      <c r="F19" s="6">
        <v>2000</v>
      </c>
      <c r="G19" s="6">
        <v>16528</v>
      </c>
      <c r="H19" s="6">
        <v>74892</v>
      </c>
      <c r="I19" s="6">
        <v>5729</v>
      </c>
      <c r="J19" s="6">
        <v>80621</v>
      </c>
      <c r="K19" s="6">
        <v>93688</v>
      </c>
      <c r="L19" s="6">
        <v>190837</v>
      </c>
      <c r="M19" s="142">
        <f t="shared" si="0"/>
        <v>48.276498861624084</v>
      </c>
      <c r="N19" s="4">
        <v>3953</v>
      </c>
    </row>
    <row r="20" spans="1:14" ht="13.5" thickBot="1" x14ac:dyDescent="0.25">
      <c r="A20" s="2" t="s">
        <v>212</v>
      </c>
      <c r="B20" s="1" t="s">
        <v>211</v>
      </c>
      <c r="C20" s="2" t="s">
        <v>19</v>
      </c>
      <c r="D20" s="6">
        <v>9282</v>
      </c>
      <c r="E20" s="6">
        <v>6861</v>
      </c>
      <c r="F20" s="6">
        <v>790</v>
      </c>
      <c r="G20" s="6">
        <v>16933</v>
      </c>
      <c r="H20" s="6">
        <v>49174</v>
      </c>
      <c r="I20" s="6">
        <v>3706</v>
      </c>
      <c r="J20" s="6">
        <v>52880</v>
      </c>
      <c r="K20" s="6">
        <v>0</v>
      </c>
      <c r="L20" s="6">
        <v>69813</v>
      </c>
      <c r="M20" s="142">
        <f t="shared" si="0"/>
        <v>21.627323420074351</v>
      </c>
      <c r="N20" s="4">
        <v>3228</v>
      </c>
    </row>
    <row r="21" spans="1:14" ht="13.5" thickBot="1" x14ac:dyDescent="0.25">
      <c r="A21" s="2" t="s">
        <v>214</v>
      </c>
      <c r="B21" s="1" t="s">
        <v>213</v>
      </c>
      <c r="C21" s="2" t="s">
        <v>19</v>
      </c>
      <c r="D21" s="6">
        <v>15247</v>
      </c>
      <c r="E21" s="6">
        <v>7669</v>
      </c>
      <c r="F21" s="6">
        <v>10433</v>
      </c>
      <c r="G21" s="6">
        <v>33349</v>
      </c>
      <c r="H21" s="6">
        <v>88513</v>
      </c>
      <c r="I21" s="6">
        <v>6779</v>
      </c>
      <c r="J21" s="6">
        <v>95292</v>
      </c>
      <c r="K21" s="6">
        <v>36302</v>
      </c>
      <c r="L21" s="6">
        <v>164943</v>
      </c>
      <c r="M21" s="142">
        <f t="shared" si="0"/>
        <v>47.76802780191138</v>
      </c>
      <c r="N21" s="4">
        <v>3453</v>
      </c>
    </row>
    <row r="22" spans="1:14" ht="13.5" thickBot="1" x14ac:dyDescent="0.25">
      <c r="A22" s="2" t="s">
        <v>216</v>
      </c>
      <c r="B22" s="1" t="s">
        <v>215</v>
      </c>
      <c r="C22" s="2" t="s">
        <v>19</v>
      </c>
      <c r="D22" s="6">
        <v>2165</v>
      </c>
      <c r="E22" s="6">
        <v>226</v>
      </c>
      <c r="F22" s="6">
        <v>1892</v>
      </c>
      <c r="G22" s="6">
        <v>4283</v>
      </c>
      <c r="H22" s="6">
        <v>21897</v>
      </c>
      <c r="I22" s="6">
        <v>1656</v>
      </c>
      <c r="J22" s="6">
        <v>23553</v>
      </c>
      <c r="K22" s="6">
        <v>14148</v>
      </c>
      <c r="L22" s="6">
        <v>41984</v>
      </c>
      <c r="M22" s="142">
        <f t="shared" si="0"/>
        <v>33.967637540453076</v>
      </c>
      <c r="N22" s="4">
        <v>1236</v>
      </c>
    </row>
    <row r="23" spans="1:14" ht="13.5" thickBot="1" x14ac:dyDescent="0.25">
      <c r="A23" s="2" t="s">
        <v>219</v>
      </c>
      <c r="B23" s="1" t="s">
        <v>218</v>
      </c>
      <c r="C23" s="2" t="s">
        <v>19</v>
      </c>
      <c r="D23" s="6">
        <v>14638</v>
      </c>
      <c r="E23" s="6">
        <v>4360</v>
      </c>
      <c r="F23" s="6">
        <v>2000</v>
      </c>
      <c r="G23" s="6">
        <v>20998</v>
      </c>
      <c r="H23" s="6">
        <v>47409</v>
      </c>
      <c r="I23" s="6">
        <v>0</v>
      </c>
      <c r="J23" s="6">
        <v>47409</v>
      </c>
      <c r="K23" s="6">
        <v>32888</v>
      </c>
      <c r="L23" s="6">
        <v>101295</v>
      </c>
      <c r="M23" s="142">
        <f t="shared" si="0"/>
        <v>31.863793645800566</v>
      </c>
      <c r="N23" s="4">
        <v>3179</v>
      </c>
    </row>
    <row r="24" spans="1:14" ht="13.5" thickBot="1" x14ac:dyDescent="0.25">
      <c r="A24" s="2" t="s">
        <v>231</v>
      </c>
      <c r="B24" s="1" t="s">
        <v>230</v>
      </c>
      <c r="C24" s="2" t="s">
        <v>19</v>
      </c>
      <c r="D24" s="6">
        <v>3116</v>
      </c>
      <c r="E24" s="6">
        <v>2456</v>
      </c>
      <c r="F24" s="6">
        <v>0</v>
      </c>
      <c r="G24" s="6">
        <v>5572</v>
      </c>
      <c r="H24" s="6">
        <v>18703</v>
      </c>
      <c r="I24" s="6">
        <v>6947</v>
      </c>
      <c r="J24" s="6">
        <v>25650</v>
      </c>
      <c r="K24" s="6">
        <v>16465</v>
      </c>
      <c r="L24" s="6">
        <v>47687</v>
      </c>
      <c r="M24" s="142">
        <f t="shared" si="0"/>
        <v>21.774885844748859</v>
      </c>
      <c r="N24" s="4">
        <v>2190</v>
      </c>
    </row>
    <row r="25" spans="1:14" ht="13.5" thickBot="1" x14ac:dyDescent="0.25">
      <c r="A25" s="2" t="s">
        <v>267</v>
      </c>
      <c r="B25" s="1" t="s">
        <v>266</v>
      </c>
      <c r="C25" s="2" t="s">
        <v>19</v>
      </c>
      <c r="D25" s="6">
        <v>7350</v>
      </c>
      <c r="E25" s="6">
        <v>0</v>
      </c>
      <c r="F25" s="6">
        <v>50</v>
      </c>
      <c r="G25" s="6">
        <v>7400</v>
      </c>
      <c r="H25" s="6">
        <v>26318</v>
      </c>
      <c r="I25" s="6">
        <v>2116</v>
      </c>
      <c r="J25" s="6">
        <v>28434</v>
      </c>
      <c r="K25" s="6">
        <v>10704</v>
      </c>
      <c r="L25" s="6">
        <v>46538</v>
      </c>
      <c r="M25" s="142">
        <f t="shared" si="0"/>
        <v>16.806789454676778</v>
      </c>
      <c r="N25" s="4">
        <v>2769</v>
      </c>
    </row>
    <row r="26" spans="1:14" ht="13.5" thickBot="1" x14ac:dyDescent="0.25">
      <c r="A26" s="2" t="s">
        <v>269</v>
      </c>
      <c r="B26" s="1" t="s">
        <v>268</v>
      </c>
      <c r="C26" s="2" t="s">
        <v>19</v>
      </c>
      <c r="D26" s="6">
        <v>10683</v>
      </c>
      <c r="E26" s="6">
        <v>871</v>
      </c>
      <c r="F26" s="6">
        <v>1383</v>
      </c>
      <c r="G26" s="6">
        <v>12937</v>
      </c>
      <c r="H26" s="6">
        <v>44891</v>
      </c>
      <c r="I26" s="6">
        <v>3434</v>
      </c>
      <c r="J26" s="6">
        <v>48325</v>
      </c>
      <c r="K26" s="6">
        <v>16758</v>
      </c>
      <c r="L26" s="6">
        <v>78020</v>
      </c>
      <c r="M26" s="142">
        <f t="shared" si="0"/>
        <v>20.872124130551096</v>
      </c>
      <c r="N26" s="4">
        <v>3738</v>
      </c>
    </row>
    <row r="27" spans="1:14" ht="13.5" thickBot="1" x14ac:dyDescent="0.25">
      <c r="A27" s="2" t="s">
        <v>275</v>
      </c>
      <c r="B27" s="1" t="s">
        <v>274</v>
      </c>
      <c r="C27" s="2" t="s">
        <v>19</v>
      </c>
      <c r="D27" s="6">
        <v>12083</v>
      </c>
      <c r="E27" s="6">
        <v>2736</v>
      </c>
      <c r="F27" s="6">
        <v>0</v>
      </c>
      <c r="G27" s="6">
        <v>14819</v>
      </c>
      <c r="H27" s="6">
        <v>83556</v>
      </c>
      <c r="I27" s="6">
        <v>6392</v>
      </c>
      <c r="J27" s="6">
        <v>89948</v>
      </c>
      <c r="K27" s="6">
        <v>23636</v>
      </c>
      <c r="L27" s="6">
        <v>128403</v>
      </c>
      <c r="M27" s="142">
        <f t="shared" si="0"/>
        <v>41.260604113110539</v>
      </c>
      <c r="N27" s="4">
        <v>3112</v>
      </c>
    </row>
    <row r="28" spans="1:14" ht="13.5" thickBot="1" x14ac:dyDescent="0.25">
      <c r="A28" s="2" t="s">
        <v>283</v>
      </c>
      <c r="B28" s="1" t="s">
        <v>282</v>
      </c>
      <c r="C28" s="2" t="s">
        <v>19</v>
      </c>
      <c r="D28" s="6">
        <v>14942</v>
      </c>
      <c r="E28" s="6">
        <v>2177</v>
      </c>
      <c r="F28" s="6">
        <v>0</v>
      </c>
      <c r="G28" s="6">
        <v>17119</v>
      </c>
      <c r="H28" s="6">
        <v>80341</v>
      </c>
      <c r="I28" s="6">
        <v>6130</v>
      </c>
      <c r="J28" s="6">
        <v>86471</v>
      </c>
      <c r="K28" s="6">
        <v>48893</v>
      </c>
      <c r="L28" s="6">
        <v>152483</v>
      </c>
      <c r="M28" s="142">
        <f t="shared" si="0"/>
        <v>54.633823002508059</v>
      </c>
      <c r="N28" s="4">
        <v>2791</v>
      </c>
    </row>
    <row r="29" spans="1:14" ht="13.5" thickBot="1" x14ac:dyDescent="0.25">
      <c r="A29" s="2" t="s">
        <v>299</v>
      </c>
      <c r="B29" s="1" t="s">
        <v>298</v>
      </c>
      <c r="C29" s="2" t="s">
        <v>19</v>
      </c>
      <c r="D29" s="6">
        <v>11213</v>
      </c>
      <c r="E29" s="6">
        <v>5086</v>
      </c>
      <c r="F29" s="6">
        <v>4275</v>
      </c>
      <c r="G29" s="6">
        <v>20574</v>
      </c>
      <c r="H29" s="6">
        <v>60470</v>
      </c>
      <c r="I29" s="6">
        <v>21205</v>
      </c>
      <c r="J29" s="6">
        <v>81675</v>
      </c>
      <c r="K29" s="6">
        <v>106979</v>
      </c>
      <c r="L29" s="6">
        <v>209228</v>
      </c>
      <c r="M29" s="142">
        <f t="shared" si="0"/>
        <v>66.421587301587309</v>
      </c>
      <c r="N29" s="4">
        <v>3150</v>
      </c>
    </row>
    <row r="30" spans="1:14" ht="13.5" thickBot="1" x14ac:dyDescent="0.25">
      <c r="A30" s="2" t="s">
        <v>311</v>
      </c>
      <c r="B30" s="1" t="s">
        <v>310</v>
      </c>
      <c r="C30" s="2" t="s">
        <v>19</v>
      </c>
      <c r="D30" s="6">
        <v>6751</v>
      </c>
      <c r="E30" s="6">
        <v>3720</v>
      </c>
      <c r="F30" s="6">
        <v>2000</v>
      </c>
      <c r="G30" s="6">
        <v>12471</v>
      </c>
      <c r="H30" s="6">
        <v>37189</v>
      </c>
      <c r="I30" s="6">
        <v>2500</v>
      </c>
      <c r="J30" s="6">
        <v>39689</v>
      </c>
      <c r="K30" s="6">
        <v>35193</v>
      </c>
      <c r="L30" s="6">
        <v>87353</v>
      </c>
      <c r="M30" s="142">
        <f t="shared" si="0"/>
        <v>28.706210976010517</v>
      </c>
      <c r="N30" s="4">
        <v>3043</v>
      </c>
    </row>
    <row r="31" spans="1:14" ht="13.5" thickBot="1" x14ac:dyDescent="0.25">
      <c r="A31" s="2" t="s">
        <v>319</v>
      </c>
      <c r="B31" s="1" t="s">
        <v>318</v>
      </c>
      <c r="C31" s="2" t="s">
        <v>19</v>
      </c>
      <c r="D31" s="6">
        <v>5935</v>
      </c>
      <c r="E31" s="6">
        <v>1435</v>
      </c>
      <c r="F31" s="6">
        <v>417</v>
      </c>
      <c r="G31" s="6">
        <v>7787</v>
      </c>
      <c r="H31" s="6">
        <v>19011</v>
      </c>
      <c r="I31" s="6">
        <v>1482</v>
      </c>
      <c r="J31" s="6">
        <v>20493</v>
      </c>
      <c r="K31" s="6">
        <v>9121</v>
      </c>
      <c r="L31" s="6">
        <v>37401</v>
      </c>
      <c r="M31" s="142">
        <f t="shared" si="0"/>
        <v>18.271128480703467</v>
      </c>
      <c r="N31" s="4">
        <v>2047</v>
      </c>
    </row>
    <row r="32" spans="1:14" ht="13.5" thickBot="1" x14ac:dyDescent="0.25">
      <c r="A32" s="2" t="s">
        <v>327</v>
      </c>
      <c r="B32" s="1" t="s">
        <v>326</v>
      </c>
      <c r="C32" s="2" t="s">
        <v>19</v>
      </c>
      <c r="D32" s="6">
        <v>15316</v>
      </c>
      <c r="E32" s="6">
        <v>6714</v>
      </c>
      <c r="F32" s="6">
        <v>6237</v>
      </c>
      <c r="G32" s="6">
        <v>28267</v>
      </c>
      <c r="H32" s="6">
        <v>100678</v>
      </c>
      <c r="I32" s="6">
        <v>13602</v>
      </c>
      <c r="J32" s="6">
        <v>114280</v>
      </c>
      <c r="K32" s="6">
        <v>29816</v>
      </c>
      <c r="L32" s="6">
        <v>172363</v>
      </c>
      <c r="M32" s="142">
        <f t="shared" si="0"/>
        <v>47.222739726027399</v>
      </c>
      <c r="N32" s="4">
        <v>3650</v>
      </c>
    </row>
    <row r="33" spans="1:14" ht="13.5" thickBot="1" x14ac:dyDescent="0.25">
      <c r="A33" s="2" t="s">
        <v>329</v>
      </c>
      <c r="B33" s="1" t="s">
        <v>328</v>
      </c>
      <c r="C33" s="2" t="s">
        <v>19</v>
      </c>
      <c r="D33" s="6">
        <v>5200</v>
      </c>
      <c r="E33" s="6">
        <v>650</v>
      </c>
      <c r="F33" s="6">
        <v>500</v>
      </c>
      <c r="G33" s="6">
        <v>6350</v>
      </c>
      <c r="H33" s="6">
        <v>16200</v>
      </c>
      <c r="I33" s="6">
        <v>0</v>
      </c>
      <c r="J33" s="6">
        <v>16200</v>
      </c>
      <c r="K33" s="6">
        <v>24990</v>
      </c>
      <c r="L33" s="6">
        <v>47540</v>
      </c>
      <c r="M33" s="142">
        <f t="shared" si="0"/>
        <v>26.006564551422318</v>
      </c>
      <c r="N33" s="4">
        <v>1828</v>
      </c>
    </row>
    <row r="34" spans="1:14" ht="13.5" thickBot="1" x14ac:dyDescent="0.25">
      <c r="A34" s="2" t="s">
        <v>379</v>
      </c>
      <c r="B34" s="1" t="s">
        <v>378</v>
      </c>
      <c r="C34" s="2" t="s">
        <v>19</v>
      </c>
      <c r="D34" s="6">
        <v>42641</v>
      </c>
      <c r="E34" s="6">
        <v>3868</v>
      </c>
      <c r="F34" s="6">
        <v>687</v>
      </c>
      <c r="G34" s="6">
        <v>47196</v>
      </c>
      <c r="H34" s="6">
        <v>89260</v>
      </c>
      <c r="I34" s="6">
        <v>23440</v>
      </c>
      <c r="J34" s="6">
        <v>112700</v>
      </c>
      <c r="K34" s="6">
        <v>61912</v>
      </c>
      <c r="L34" s="6">
        <v>221808</v>
      </c>
      <c r="M34" s="142">
        <f t="shared" si="0"/>
        <v>56.497198166072337</v>
      </c>
      <c r="N34" s="4">
        <v>3926</v>
      </c>
    </row>
    <row r="35" spans="1:14" ht="13.5" thickBot="1" x14ac:dyDescent="0.25">
      <c r="A35" s="2" t="s">
        <v>395</v>
      </c>
      <c r="B35" s="1" t="s">
        <v>394</v>
      </c>
      <c r="C35" s="2" t="s">
        <v>19</v>
      </c>
      <c r="D35" s="6">
        <v>12409</v>
      </c>
      <c r="E35" s="6">
        <v>393</v>
      </c>
      <c r="F35" s="6">
        <v>2000</v>
      </c>
      <c r="G35" s="6">
        <v>14802</v>
      </c>
      <c r="H35" s="6">
        <v>36515</v>
      </c>
      <c r="I35" s="6">
        <v>0</v>
      </c>
      <c r="J35" s="6">
        <v>36515</v>
      </c>
      <c r="K35" s="6">
        <v>41539</v>
      </c>
      <c r="L35" s="6">
        <v>92856</v>
      </c>
      <c r="M35" s="142">
        <f t="shared" si="0"/>
        <v>30.564845292955891</v>
      </c>
      <c r="N35" s="4">
        <v>3038</v>
      </c>
    </row>
    <row r="36" spans="1:14" ht="13.5" thickBot="1" x14ac:dyDescent="0.25">
      <c r="A36" s="2" t="s">
        <v>427</v>
      </c>
      <c r="B36" s="1" t="s">
        <v>426</v>
      </c>
      <c r="C36" s="2" t="s">
        <v>19</v>
      </c>
      <c r="D36" s="6">
        <v>4100</v>
      </c>
      <c r="E36" s="6">
        <v>514</v>
      </c>
      <c r="F36" s="6">
        <v>4847</v>
      </c>
      <c r="G36" s="6">
        <v>9461</v>
      </c>
      <c r="H36" s="6">
        <v>23539</v>
      </c>
      <c r="I36" s="6">
        <v>7685</v>
      </c>
      <c r="J36" s="6">
        <v>31224</v>
      </c>
      <c r="K36" s="6">
        <v>1278</v>
      </c>
      <c r="L36" s="6">
        <v>41963</v>
      </c>
      <c r="M36" s="142">
        <f t="shared" si="0"/>
        <v>11.250134048257372</v>
      </c>
      <c r="N36" s="4">
        <v>3730</v>
      </c>
    </row>
    <row r="37" spans="1:14" ht="13.5" thickBot="1" x14ac:dyDescent="0.25">
      <c r="A37" s="2" t="s">
        <v>433</v>
      </c>
      <c r="B37" s="1" t="s">
        <v>432</v>
      </c>
      <c r="C37" s="2" t="s">
        <v>19</v>
      </c>
      <c r="D37" s="6">
        <v>6200</v>
      </c>
      <c r="E37" s="6">
        <v>2861</v>
      </c>
      <c r="F37" s="6">
        <v>0</v>
      </c>
      <c r="G37" s="6">
        <v>9061</v>
      </c>
      <c r="H37" s="6">
        <v>4592</v>
      </c>
      <c r="I37" s="6">
        <v>0</v>
      </c>
      <c r="J37" s="6">
        <v>4592</v>
      </c>
      <c r="K37" s="6">
        <v>12999</v>
      </c>
      <c r="L37" s="6">
        <v>26652</v>
      </c>
      <c r="M37" s="142">
        <f t="shared" si="0"/>
        <v>9.7447897623400372</v>
      </c>
      <c r="N37" s="4">
        <v>2735</v>
      </c>
    </row>
    <row r="38" spans="1:14" ht="13.5" thickBot="1" x14ac:dyDescent="0.25">
      <c r="A38" s="2" t="s">
        <v>435</v>
      </c>
      <c r="B38" s="1" t="s">
        <v>434</v>
      </c>
      <c r="C38" s="2" t="s">
        <v>19</v>
      </c>
      <c r="D38" s="6">
        <v>28021</v>
      </c>
      <c r="E38" s="6">
        <v>4048</v>
      </c>
      <c r="F38" s="6">
        <v>1690</v>
      </c>
      <c r="G38" s="6">
        <v>33759</v>
      </c>
      <c r="H38" s="6">
        <v>67338</v>
      </c>
      <c r="I38" s="6">
        <v>6579</v>
      </c>
      <c r="J38" s="6">
        <v>73917</v>
      </c>
      <c r="K38" s="6">
        <v>24144</v>
      </c>
      <c r="L38" s="6">
        <v>131820</v>
      </c>
      <c r="M38" s="142">
        <f t="shared" si="0"/>
        <v>69.378947368421052</v>
      </c>
      <c r="N38" s="4">
        <v>1900</v>
      </c>
    </row>
    <row r="39" spans="1:14" ht="13.5" thickBot="1" x14ac:dyDescent="0.25">
      <c r="A39" s="2" t="s">
        <v>439</v>
      </c>
      <c r="B39" s="1" t="s">
        <v>438</v>
      </c>
      <c r="C39" s="2" t="s">
        <v>19</v>
      </c>
      <c r="D39" s="6">
        <v>15199</v>
      </c>
      <c r="E39" s="6">
        <v>5161</v>
      </c>
      <c r="F39" s="6">
        <v>2000</v>
      </c>
      <c r="G39" s="6">
        <v>22360</v>
      </c>
      <c r="H39" s="6">
        <v>60575</v>
      </c>
      <c r="I39" s="6">
        <v>31105</v>
      </c>
      <c r="J39" s="6">
        <v>91680</v>
      </c>
      <c r="K39" s="6">
        <v>23120</v>
      </c>
      <c r="L39" s="6">
        <v>137160</v>
      </c>
      <c r="M39" s="142">
        <f t="shared" si="0"/>
        <v>67.666502220029599</v>
      </c>
      <c r="N39" s="4">
        <v>2027</v>
      </c>
    </row>
    <row r="40" spans="1:14" ht="13.5" thickBot="1" x14ac:dyDescent="0.25">
      <c r="A40" s="2" t="s">
        <v>449</v>
      </c>
      <c r="B40" s="1" t="s">
        <v>448</v>
      </c>
      <c r="C40" s="2" t="s">
        <v>19</v>
      </c>
      <c r="D40" s="6">
        <v>3770</v>
      </c>
      <c r="E40" s="6">
        <v>462</v>
      </c>
      <c r="F40" s="6">
        <v>3780</v>
      </c>
      <c r="G40" s="6">
        <v>8012</v>
      </c>
      <c r="H40" s="6">
        <v>14031</v>
      </c>
      <c r="I40" s="6">
        <v>2850</v>
      </c>
      <c r="J40" s="6">
        <v>16881</v>
      </c>
      <c r="K40" s="6">
        <v>1428</v>
      </c>
      <c r="L40" s="6">
        <v>26321</v>
      </c>
      <c r="M40" s="142">
        <f t="shared" si="0"/>
        <v>9.284303350970017</v>
      </c>
      <c r="N40" s="4">
        <v>2835</v>
      </c>
    </row>
    <row r="41" spans="1:14" ht="13.5" thickBot="1" x14ac:dyDescent="0.25">
      <c r="A41" s="2" t="s">
        <v>455</v>
      </c>
      <c r="B41" s="1" t="s">
        <v>454</v>
      </c>
      <c r="C41" s="2" t="s">
        <v>19</v>
      </c>
      <c r="D41" s="6">
        <v>2109</v>
      </c>
      <c r="E41" s="6">
        <v>351</v>
      </c>
      <c r="F41" s="6">
        <v>0</v>
      </c>
      <c r="G41" s="6">
        <v>2460</v>
      </c>
      <c r="H41" s="6">
        <v>33142</v>
      </c>
      <c r="I41" s="6">
        <v>3714</v>
      </c>
      <c r="J41" s="6">
        <v>36856</v>
      </c>
      <c r="K41" s="6">
        <v>25116</v>
      </c>
      <c r="L41" s="6">
        <v>64432</v>
      </c>
      <c r="M41" s="142">
        <f t="shared" si="0"/>
        <v>27.163575042158516</v>
      </c>
      <c r="N41" s="4">
        <v>2372</v>
      </c>
    </row>
    <row r="42" spans="1:14" ht="13.5" thickBot="1" x14ac:dyDescent="0.25">
      <c r="A42" s="2" t="s">
        <v>469</v>
      </c>
      <c r="B42" s="1" t="s">
        <v>468</v>
      </c>
      <c r="C42" s="2" t="s">
        <v>19</v>
      </c>
      <c r="D42" s="6">
        <v>8230</v>
      </c>
      <c r="E42" s="6">
        <v>1133</v>
      </c>
      <c r="F42" s="6">
        <v>168</v>
      </c>
      <c r="G42" s="6">
        <v>9531</v>
      </c>
      <c r="H42" s="6">
        <v>75527</v>
      </c>
      <c r="I42" s="6">
        <v>0</v>
      </c>
      <c r="J42" s="6">
        <v>75527</v>
      </c>
      <c r="K42" s="6">
        <v>52904</v>
      </c>
      <c r="L42" s="6">
        <v>137962</v>
      </c>
      <c r="M42" s="142">
        <f t="shared" si="0"/>
        <v>37.622579765475869</v>
      </c>
      <c r="N42" s="4">
        <v>3667</v>
      </c>
    </row>
    <row r="43" spans="1:14" ht="13.5" thickBot="1" x14ac:dyDescent="0.25">
      <c r="A43" s="2" t="s">
        <v>476</v>
      </c>
      <c r="B43" s="1" t="s">
        <v>475</v>
      </c>
      <c r="C43" s="2" t="s">
        <v>19</v>
      </c>
      <c r="D43" s="6">
        <v>7509</v>
      </c>
      <c r="E43" s="6">
        <v>2457</v>
      </c>
      <c r="F43" s="6">
        <v>300</v>
      </c>
      <c r="G43" s="6">
        <v>10266</v>
      </c>
      <c r="H43" s="6">
        <v>41942</v>
      </c>
      <c r="I43" s="6">
        <v>6254</v>
      </c>
      <c r="J43" s="6">
        <v>48196</v>
      </c>
      <c r="K43" s="6">
        <v>14381</v>
      </c>
      <c r="L43" s="6">
        <v>72843</v>
      </c>
      <c r="M43" s="142">
        <f t="shared" si="0"/>
        <v>148.05487804878049</v>
      </c>
      <c r="N43" s="4">
        <v>492</v>
      </c>
    </row>
    <row r="44" spans="1:14" ht="13.5" thickBot="1" x14ac:dyDescent="0.25">
      <c r="A44" s="2" t="s">
        <v>492</v>
      </c>
      <c r="B44" s="1" t="s">
        <v>491</v>
      </c>
      <c r="C44" s="2" t="s">
        <v>19</v>
      </c>
      <c r="D44" s="6">
        <v>3485</v>
      </c>
      <c r="E44" s="6">
        <v>1883</v>
      </c>
      <c r="F44" s="6">
        <v>0</v>
      </c>
      <c r="G44" s="6">
        <v>5368</v>
      </c>
      <c r="H44" s="6">
        <v>21515</v>
      </c>
      <c r="I44" s="6">
        <v>125</v>
      </c>
      <c r="J44" s="6">
        <v>21640</v>
      </c>
      <c r="K44" s="6">
        <v>9684</v>
      </c>
      <c r="L44" s="6">
        <v>36692</v>
      </c>
      <c r="M44" s="142">
        <f t="shared" si="0"/>
        <v>11.779133226324237</v>
      </c>
      <c r="N44" s="4">
        <v>3115</v>
      </c>
    </row>
    <row r="45" spans="1:14" ht="13.5" thickBot="1" x14ac:dyDescent="0.25">
      <c r="A45" s="2" t="s">
        <v>508</v>
      </c>
      <c r="B45" s="1" t="s">
        <v>507</v>
      </c>
      <c r="C45" s="2" t="s">
        <v>19</v>
      </c>
      <c r="D45" s="6">
        <v>4244</v>
      </c>
      <c r="E45" s="6">
        <v>166</v>
      </c>
      <c r="F45" s="6">
        <v>710</v>
      </c>
      <c r="G45" s="6">
        <v>5120</v>
      </c>
      <c r="H45" s="6">
        <v>12500</v>
      </c>
      <c r="I45" s="6">
        <v>460</v>
      </c>
      <c r="J45" s="6">
        <v>12960</v>
      </c>
      <c r="K45" s="6">
        <v>45086</v>
      </c>
      <c r="L45" s="6">
        <v>63166</v>
      </c>
      <c r="M45" s="142">
        <f t="shared" si="0"/>
        <v>25.887704918032785</v>
      </c>
      <c r="N45" s="4">
        <v>2440</v>
      </c>
    </row>
    <row r="46" spans="1:14" ht="13.5" thickBot="1" x14ac:dyDescent="0.25">
      <c r="A46" s="2" t="s">
        <v>516</v>
      </c>
      <c r="B46" s="1" t="s">
        <v>515</v>
      </c>
      <c r="C46" s="2" t="s">
        <v>19</v>
      </c>
      <c r="D46" s="6">
        <v>5258</v>
      </c>
      <c r="E46" s="6">
        <v>422</v>
      </c>
      <c r="F46" s="6">
        <v>0</v>
      </c>
      <c r="G46" s="6">
        <v>5680</v>
      </c>
      <c r="H46" s="6">
        <v>35263</v>
      </c>
      <c r="I46" s="6">
        <v>2884</v>
      </c>
      <c r="J46" s="6">
        <v>38147</v>
      </c>
      <c r="K46" s="6">
        <v>19623</v>
      </c>
      <c r="L46" s="6">
        <v>63450</v>
      </c>
      <c r="M46" s="142">
        <f t="shared" si="0"/>
        <v>18.48237692979901</v>
      </c>
      <c r="N46" s="4">
        <v>3433</v>
      </c>
    </row>
    <row r="47" spans="1:14" ht="13.5" thickBot="1" x14ac:dyDescent="0.25">
      <c r="A47" s="2" t="s">
        <v>536</v>
      </c>
      <c r="B47" s="1" t="s">
        <v>535</v>
      </c>
      <c r="C47" s="2" t="s">
        <v>19</v>
      </c>
      <c r="D47" s="6">
        <v>9720</v>
      </c>
      <c r="E47" s="6">
        <v>4785</v>
      </c>
      <c r="F47" s="6">
        <v>0</v>
      </c>
      <c r="G47" s="6">
        <v>14505</v>
      </c>
      <c r="H47" s="6">
        <v>30109</v>
      </c>
      <c r="I47" s="6">
        <v>2304</v>
      </c>
      <c r="J47" s="6">
        <v>32413</v>
      </c>
      <c r="K47" s="6">
        <v>24488</v>
      </c>
      <c r="L47" s="6">
        <v>71406</v>
      </c>
      <c r="M47" s="142">
        <f t="shared" si="0"/>
        <v>38.63961038961039</v>
      </c>
      <c r="N47" s="4">
        <v>1848</v>
      </c>
    </row>
    <row r="48" spans="1:14" ht="13.5" thickBot="1" x14ac:dyDescent="0.25">
      <c r="A48" s="2" t="s">
        <v>552</v>
      </c>
      <c r="B48" s="1" t="s">
        <v>551</v>
      </c>
      <c r="C48" s="2" t="s">
        <v>19</v>
      </c>
      <c r="D48" s="6">
        <v>17748</v>
      </c>
      <c r="E48" s="6">
        <v>4157</v>
      </c>
      <c r="F48" s="6">
        <v>2000</v>
      </c>
      <c r="G48" s="6">
        <v>23905</v>
      </c>
      <c r="H48" s="6">
        <v>102816</v>
      </c>
      <c r="I48" s="6">
        <v>7909</v>
      </c>
      <c r="J48" s="6">
        <v>110725</v>
      </c>
      <c r="K48" s="6">
        <v>69025</v>
      </c>
      <c r="L48" s="6">
        <v>203655</v>
      </c>
      <c r="M48" s="142">
        <f t="shared" si="0"/>
        <v>55.872427983539097</v>
      </c>
      <c r="N48" s="4">
        <v>3645</v>
      </c>
    </row>
    <row r="49" spans="1:14" ht="13.5" thickBot="1" x14ac:dyDescent="0.25">
      <c r="A49" s="2" t="s">
        <v>566</v>
      </c>
      <c r="B49" s="1" t="s">
        <v>565</v>
      </c>
      <c r="C49" s="2" t="s">
        <v>19</v>
      </c>
      <c r="D49" s="6">
        <v>5500</v>
      </c>
      <c r="E49" s="6">
        <v>500</v>
      </c>
      <c r="F49" s="6">
        <v>0</v>
      </c>
      <c r="G49" s="6">
        <v>6000</v>
      </c>
      <c r="H49" s="6">
        <v>41667</v>
      </c>
      <c r="I49" s="6">
        <v>3426</v>
      </c>
      <c r="J49" s="6">
        <v>45093</v>
      </c>
      <c r="K49" s="6">
        <v>10515</v>
      </c>
      <c r="L49" s="6">
        <v>61608</v>
      </c>
      <c r="M49" s="142">
        <f t="shared" si="0"/>
        <v>16.745854851861917</v>
      </c>
      <c r="N49" s="4">
        <v>3679</v>
      </c>
    </row>
    <row r="50" spans="1:14" ht="13.5" thickBot="1" x14ac:dyDescent="0.25">
      <c r="A50" s="2" t="s">
        <v>570</v>
      </c>
      <c r="B50" s="1" t="s">
        <v>569</v>
      </c>
      <c r="C50" s="2" t="s">
        <v>19</v>
      </c>
      <c r="D50" s="6">
        <v>450</v>
      </c>
      <c r="E50" s="6">
        <v>174</v>
      </c>
      <c r="F50" s="6">
        <v>0</v>
      </c>
      <c r="G50" s="6">
        <v>624</v>
      </c>
      <c r="H50" s="6">
        <v>33644</v>
      </c>
      <c r="I50" s="6">
        <v>16239</v>
      </c>
      <c r="J50" s="6">
        <v>49883</v>
      </c>
      <c r="K50" s="6">
        <v>2397</v>
      </c>
      <c r="L50" s="6">
        <v>52904</v>
      </c>
      <c r="M50" s="142">
        <f t="shared" si="0"/>
        <v>28.909289617486341</v>
      </c>
      <c r="N50" s="4">
        <v>1830</v>
      </c>
    </row>
    <row r="51" spans="1:14" ht="13.5" thickBot="1" x14ac:dyDescent="0.25">
      <c r="A51" s="2" t="s">
        <v>592</v>
      </c>
      <c r="B51" s="1" t="s">
        <v>591</v>
      </c>
      <c r="C51" s="2" t="s">
        <v>19</v>
      </c>
      <c r="D51" s="6">
        <v>14708</v>
      </c>
      <c r="E51" s="6">
        <v>4580</v>
      </c>
      <c r="F51" s="6">
        <v>4987</v>
      </c>
      <c r="G51" s="6">
        <v>24275</v>
      </c>
      <c r="H51" s="6">
        <v>109839</v>
      </c>
      <c r="I51" s="6">
        <v>7449</v>
      </c>
      <c r="J51" s="6">
        <v>117288</v>
      </c>
      <c r="K51" s="6">
        <v>29743</v>
      </c>
      <c r="L51" s="6">
        <v>171306</v>
      </c>
      <c r="M51" s="142">
        <f t="shared" si="0"/>
        <v>88.347601856627122</v>
      </c>
      <c r="N51" s="4">
        <v>1939</v>
      </c>
    </row>
    <row r="52" spans="1:14" ht="13.5" thickBot="1" x14ac:dyDescent="0.25">
      <c r="A52" s="2" t="s">
        <v>612</v>
      </c>
      <c r="B52" s="1" t="s">
        <v>611</v>
      </c>
      <c r="C52" s="2" t="s">
        <v>19</v>
      </c>
      <c r="D52" s="6">
        <v>22951</v>
      </c>
      <c r="E52" s="6">
        <v>7500</v>
      </c>
      <c r="F52" s="6">
        <v>1300</v>
      </c>
      <c r="G52" s="6">
        <v>31751</v>
      </c>
      <c r="H52" s="6">
        <v>43000</v>
      </c>
      <c r="I52" s="6">
        <v>1150</v>
      </c>
      <c r="J52" s="6">
        <v>44150</v>
      </c>
      <c r="K52" s="6">
        <v>10900</v>
      </c>
      <c r="L52" s="6">
        <v>86801</v>
      </c>
      <c r="M52" s="142">
        <f t="shared" si="0"/>
        <v>17.246373932048481</v>
      </c>
      <c r="N52" s="4">
        <v>5033</v>
      </c>
    </row>
    <row r="53" spans="1:14" ht="13.5" thickBot="1" x14ac:dyDescent="0.25">
      <c r="A53" s="2" t="s">
        <v>632</v>
      </c>
      <c r="B53" s="1" t="s">
        <v>631</v>
      </c>
      <c r="C53" s="2" t="s">
        <v>19</v>
      </c>
      <c r="D53" s="6">
        <v>3481</v>
      </c>
      <c r="E53" s="6">
        <v>1946</v>
      </c>
      <c r="F53" s="6">
        <v>1906</v>
      </c>
      <c r="G53" s="6">
        <v>7333</v>
      </c>
      <c r="H53" s="6">
        <v>30688</v>
      </c>
      <c r="I53" s="6">
        <v>2382</v>
      </c>
      <c r="J53" s="6">
        <v>33070</v>
      </c>
      <c r="K53" s="6">
        <v>12229</v>
      </c>
      <c r="L53" s="6">
        <v>52632</v>
      </c>
      <c r="M53" s="142">
        <f t="shared" si="0"/>
        <v>14.076491040385129</v>
      </c>
      <c r="N53" s="4">
        <v>3739</v>
      </c>
    </row>
    <row r="54" spans="1:14" ht="13.5" thickBot="1" x14ac:dyDescent="0.25">
      <c r="A54" s="2" t="s">
        <v>642</v>
      </c>
      <c r="B54" s="1" t="s">
        <v>641</v>
      </c>
      <c r="C54" s="2" t="s">
        <v>19</v>
      </c>
      <c r="D54" s="6">
        <v>3883</v>
      </c>
      <c r="E54" s="6">
        <v>0</v>
      </c>
      <c r="F54" s="6">
        <v>0</v>
      </c>
      <c r="G54" s="6">
        <v>3883</v>
      </c>
      <c r="H54" s="6">
        <v>13153</v>
      </c>
      <c r="I54" s="6">
        <v>6095</v>
      </c>
      <c r="J54" s="6">
        <v>19248</v>
      </c>
      <c r="K54" s="6">
        <v>10410</v>
      </c>
      <c r="L54" s="6">
        <v>33541</v>
      </c>
      <c r="M54" s="142">
        <f t="shared" si="0"/>
        <v>22.242042440318304</v>
      </c>
      <c r="N54" s="4">
        <v>1508</v>
      </c>
    </row>
    <row r="55" spans="1:14" ht="13.5" thickBot="1" x14ac:dyDescent="0.25">
      <c r="A55" s="2" t="s">
        <v>644</v>
      </c>
      <c r="B55" s="1" t="s">
        <v>643</v>
      </c>
      <c r="C55" s="2" t="s">
        <v>19</v>
      </c>
      <c r="D55" s="6">
        <v>6795</v>
      </c>
      <c r="E55" s="6">
        <v>2493</v>
      </c>
      <c r="F55" s="6">
        <v>0</v>
      </c>
      <c r="G55" s="6">
        <v>9288</v>
      </c>
      <c r="H55" s="6">
        <v>33592</v>
      </c>
      <c r="I55" s="6">
        <v>722</v>
      </c>
      <c r="J55" s="6">
        <v>34314</v>
      </c>
      <c r="K55" s="6">
        <v>12823</v>
      </c>
      <c r="L55" s="6">
        <v>56425</v>
      </c>
      <c r="M55" s="142">
        <f t="shared" si="0"/>
        <v>15.123291342803538</v>
      </c>
      <c r="N55" s="4">
        <v>3731</v>
      </c>
    </row>
    <row r="56" spans="1:14" ht="13.5" thickBot="1" x14ac:dyDescent="0.25">
      <c r="A56" s="2" t="s">
        <v>650</v>
      </c>
      <c r="B56" s="1" t="s">
        <v>649</v>
      </c>
      <c r="C56" s="2" t="s">
        <v>19</v>
      </c>
      <c r="D56" s="6">
        <v>11445</v>
      </c>
      <c r="E56" s="6">
        <v>4692</v>
      </c>
      <c r="F56" s="6">
        <v>0</v>
      </c>
      <c r="G56" s="6">
        <v>16137</v>
      </c>
      <c r="H56" s="6">
        <v>43959</v>
      </c>
      <c r="I56" s="6">
        <v>3841</v>
      </c>
      <c r="J56" s="6">
        <v>47800</v>
      </c>
      <c r="K56" s="6">
        <v>13790</v>
      </c>
      <c r="L56" s="6">
        <v>77727</v>
      </c>
      <c r="M56" s="142">
        <f t="shared" si="0"/>
        <v>21.155960805661405</v>
      </c>
      <c r="N56" s="4">
        <v>3674</v>
      </c>
    </row>
    <row r="57" spans="1:14" ht="13.5" thickBot="1" x14ac:dyDescent="0.25">
      <c r="A57" s="2" t="s">
        <v>652</v>
      </c>
      <c r="B57" s="1" t="s">
        <v>651</v>
      </c>
      <c r="C57" s="2" t="s">
        <v>19</v>
      </c>
      <c r="D57" s="6">
        <v>7152</v>
      </c>
      <c r="E57" s="6">
        <v>0</v>
      </c>
      <c r="F57" s="6">
        <v>350</v>
      </c>
      <c r="G57" s="6">
        <v>7502</v>
      </c>
      <c r="H57" s="6">
        <v>17860</v>
      </c>
      <c r="I57" s="6">
        <v>407</v>
      </c>
      <c r="J57" s="6">
        <v>18267</v>
      </c>
      <c r="K57" s="6">
        <v>8216</v>
      </c>
      <c r="L57" s="6">
        <v>33985</v>
      </c>
      <c r="M57" s="142">
        <f t="shared" si="0"/>
        <v>38.531746031746032</v>
      </c>
      <c r="N57" s="4">
        <v>882</v>
      </c>
    </row>
    <row r="58" spans="1:14" ht="13.5" thickBot="1" x14ac:dyDescent="0.25">
      <c r="A58" s="2" t="s">
        <v>672</v>
      </c>
      <c r="B58" s="1" t="s">
        <v>671</v>
      </c>
      <c r="C58" s="2" t="s">
        <v>19</v>
      </c>
      <c r="D58" s="6">
        <v>2500</v>
      </c>
      <c r="E58" s="6">
        <v>650</v>
      </c>
      <c r="F58" s="6">
        <v>0</v>
      </c>
      <c r="G58" s="6">
        <v>3150</v>
      </c>
      <c r="H58" s="6">
        <v>31323</v>
      </c>
      <c r="I58" s="6">
        <v>0</v>
      </c>
      <c r="J58" s="6">
        <v>31323</v>
      </c>
      <c r="K58" s="6">
        <v>28580</v>
      </c>
      <c r="L58" s="6">
        <v>63053</v>
      </c>
      <c r="M58" s="142">
        <f t="shared" si="0"/>
        <v>26.06572964034725</v>
      </c>
      <c r="N58" s="4">
        <v>2419</v>
      </c>
    </row>
    <row r="59" spans="1:14" ht="13.5" thickBot="1" x14ac:dyDescent="0.25">
      <c r="A59" s="2" t="s">
        <v>698</v>
      </c>
      <c r="B59" s="1" t="s">
        <v>697</v>
      </c>
      <c r="C59" s="2" t="s">
        <v>19</v>
      </c>
      <c r="D59" s="6">
        <v>10590</v>
      </c>
      <c r="E59" s="6">
        <v>1345</v>
      </c>
      <c r="F59" s="6">
        <v>685</v>
      </c>
      <c r="G59" s="6">
        <v>12620</v>
      </c>
      <c r="H59" s="6">
        <v>120259</v>
      </c>
      <c r="I59" s="6">
        <v>3212</v>
      </c>
      <c r="J59" s="6">
        <v>123471</v>
      </c>
      <c r="K59" s="6">
        <v>51584</v>
      </c>
      <c r="L59" s="6">
        <v>187675</v>
      </c>
      <c r="M59" s="142">
        <f t="shared" si="0"/>
        <v>49.715231788079471</v>
      </c>
      <c r="N59" s="4">
        <v>3775</v>
      </c>
    </row>
    <row r="60" spans="1:14" ht="13.5" thickBot="1" x14ac:dyDescent="0.25">
      <c r="A60" s="2" t="s">
        <v>704</v>
      </c>
      <c r="B60" s="1" t="s">
        <v>703</v>
      </c>
      <c r="C60" s="2" t="s">
        <v>19</v>
      </c>
      <c r="D60" s="6">
        <v>8530</v>
      </c>
      <c r="E60" s="6">
        <v>550</v>
      </c>
      <c r="F60" s="6">
        <v>250</v>
      </c>
      <c r="G60" s="6">
        <v>9330</v>
      </c>
      <c r="H60" s="6">
        <v>41157</v>
      </c>
      <c r="I60" s="6">
        <v>0</v>
      </c>
      <c r="J60" s="6">
        <v>41157</v>
      </c>
      <c r="K60" s="6">
        <v>15704</v>
      </c>
      <c r="L60" s="6">
        <v>66191</v>
      </c>
      <c r="M60" s="142">
        <f t="shared" si="0"/>
        <v>21.093371574251115</v>
      </c>
      <c r="N60" s="4">
        <v>3138</v>
      </c>
    </row>
    <row r="61" spans="1:14" ht="13.5" thickBot="1" x14ac:dyDescent="0.25">
      <c r="A61" s="2" t="s">
        <v>714</v>
      </c>
      <c r="B61" s="1" t="s">
        <v>713</v>
      </c>
      <c r="C61" s="2" t="s">
        <v>19</v>
      </c>
      <c r="D61" s="6">
        <v>5482</v>
      </c>
      <c r="E61" s="6">
        <v>1293</v>
      </c>
      <c r="F61" s="6">
        <v>1764</v>
      </c>
      <c r="G61" s="6">
        <v>8539</v>
      </c>
      <c r="H61" s="6">
        <v>41242</v>
      </c>
      <c r="I61" s="6">
        <v>3657</v>
      </c>
      <c r="J61" s="6">
        <v>44899</v>
      </c>
      <c r="K61" s="6">
        <v>29844</v>
      </c>
      <c r="L61" s="6">
        <v>83282</v>
      </c>
      <c r="M61" s="142">
        <f t="shared" si="0"/>
        <v>24.294632438739789</v>
      </c>
      <c r="N61" s="4">
        <v>3428</v>
      </c>
    </row>
    <row r="62" spans="1:14" ht="13.5" thickBot="1" x14ac:dyDescent="0.25">
      <c r="A62" s="2" t="s">
        <v>716</v>
      </c>
      <c r="B62" s="1" t="s">
        <v>715</v>
      </c>
      <c r="C62" s="2" t="s">
        <v>19</v>
      </c>
      <c r="D62" s="6">
        <v>4500</v>
      </c>
      <c r="E62" s="6">
        <v>800</v>
      </c>
      <c r="F62" s="6">
        <v>0</v>
      </c>
      <c r="G62" s="6">
        <v>5300</v>
      </c>
      <c r="H62" s="6">
        <v>22000</v>
      </c>
      <c r="I62" s="6">
        <v>5000</v>
      </c>
      <c r="J62" s="6">
        <v>27000</v>
      </c>
      <c r="K62" s="6">
        <v>20347</v>
      </c>
      <c r="L62" s="6">
        <v>52647</v>
      </c>
      <c r="M62" s="142">
        <f t="shared" si="0"/>
        <v>27.25</v>
      </c>
      <c r="N62" s="4">
        <v>1932</v>
      </c>
    </row>
    <row r="63" spans="1:14" ht="13.5" thickBot="1" x14ac:dyDescent="0.25">
      <c r="A63" s="2" t="s">
        <v>738</v>
      </c>
      <c r="B63" s="1" t="s">
        <v>737</v>
      </c>
      <c r="C63" s="2" t="s">
        <v>19</v>
      </c>
      <c r="D63" s="6">
        <v>7712</v>
      </c>
      <c r="E63" s="6">
        <v>5432</v>
      </c>
      <c r="F63" s="6">
        <v>0</v>
      </c>
      <c r="G63" s="6">
        <v>13144</v>
      </c>
      <c r="H63" s="6">
        <v>37413</v>
      </c>
      <c r="I63" s="6">
        <v>2862</v>
      </c>
      <c r="J63" s="6">
        <v>40275</v>
      </c>
      <c r="K63" s="6">
        <v>68239</v>
      </c>
      <c r="L63" s="6">
        <v>121658</v>
      </c>
      <c r="M63" s="142">
        <f t="shared" si="0"/>
        <v>50.966904063678257</v>
      </c>
      <c r="N63" s="4">
        <v>2387</v>
      </c>
    </row>
    <row r="64" spans="1:14" ht="13.5" thickBot="1" x14ac:dyDescent="0.25">
      <c r="A64" s="2" t="s">
        <v>757</v>
      </c>
      <c r="B64" s="1" t="s">
        <v>756</v>
      </c>
      <c r="C64" s="2" t="s">
        <v>19</v>
      </c>
      <c r="D64" s="6">
        <v>4799</v>
      </c>
      <c r="E64" s="6">
        <v>425</v>
      </c>
      <c r="F64" s="6">
        <v>145</v>
      </c>
      <c r="G64" s="6">
        <v>5369</v>
      </c>
      <c r="H64" s="6">
        <v>16439</v>
      </c>
      <c r="I64" s="6">
        <v>1344</v>
      </c>
      <c r="J64" s="6">
        <v>17783</v>
      </c>
      <c r="K64" s="6">
        <v>15622</v>
      </c>
      <c r="L64" s="6">
        <v>38774</v>
      </c>
      <c r="M64" s="142">
        <f t="shared" si="0"/>
        <v>20.701548318206086</v>
      </c>
      <c r="N64" s="4">
        <v>1873</v>
      </c>
    </row>
    <row r="65" spans="1:14" ht="13.5" thickBot="1" x14ac:dyDescent="0.25">
      <c r="A65" s="2" t="s">
        <v>775</v>
      </c>
      <c r="B65" s="1" t="s">
        <v>774</v>
      </c>
      <c r="C65" s="2" t="s">
        <v>19</v>
      </c>
      <c r="D65" s="6">
        <v>3436</v>
      </c>
      <c r="E65" s="6">
        <v>320</v>
      </c>
      <c r="F65" s="6">
        <v>2000</v>
      </c>
      <c r="G65" s="6">
        <v>5756</v>
      </c>
      <c r="H65" s="6">
        <v>26319</v>
      </c>
      <c r="I65" s="6">
        <v>2041</v>
      </c>
      <c r="J65" s="6">
        <v>28360</v>
      </c>
      <c r="K65" s="6">
        <v>16762</v>
      </c>
      <c r="L65" s="6">
        <v>50878</v>
      </c>
      <c r="M65" s="142">
        <f t="shared" si="0"/>
        <v>30.797820823244553</v>
      </c>
      <c r="N65" s="4">
        <v>1652</v>
      </c>
    </row>
    <row r="66" spans="1:14" ht="13.5" thickBot="1" x14ac:dyDescent="0.25">
      <c r="A66" s="2" t="s">
        <v>787</v>
      </c>
      <c r="B66" s="1" t="s">
        <v>786</v>
      </c>
      <c r="C66" s="2" t="s">
        <v>19</v>
      </c>
      <c r="D66" s="6">
        <v>8578</v>
      </c>
      <c r="E66" s="6">
        <v>3456</v>
      </c>
      <c r="F66" s="6">
        <v>247</v>
      </c>
      <c r="G66" s="6">
        <v>12281</v>
      </c>
      <c r="H66" s="6">
        <v>45375</v>
      </c>
      <c r="I66" s="6">
        <v>4044</v>
      </c>
      <c r="J66" s="6">
        <v>49419</v>
      </c>
      <c r="K66" s="6">
        <v>26069</v>
      </c>
      <c r="L66" s="6">
        <v>87769</v>
      </c>
      <c r="M66" s="142">
        <f t="shared" si="0"/>
        <v>22.533761232349164</v>
      </c>
      <c r="N66" s="4">
        <v>3895</v>
      </c>
    </row>
    <row r="67" spans="1:14" ht="13.5" thickBot="1" x14ac:dyDescent="0.25">
      <c r="A67" s="2" t="s">
        <v>793</v>
      </c>
      <c r="B67" s="1" t="s">
        <v>792</v>
      </c>
      <c r="C67" s="2" t="s">
        <v>19</v>
      </c>
      <c r="D67" s="6">
        <v>7530</v>
      </c>
      <c r="E67" s="6">
        <v>955</v>
      </c>
      <c r="F67" s="6">
        <v>300</v>
      </c>
      <c r="G67" s="6">
        <v>8785</v>
      </c>
      <c r="H67" s="6">
        <v>34266</v>
      </c>
      <c r="I67" s="6">
        <v>32699</v>
      </c>
      <c r="J67" s="6">
        <v>66965</v>
      </c>
      <c r="K67" s="6">
        <v>11575</v>
      </c>
      <c r="L67" s="6">
        <v>87325</v>
      </c>
      <c r="M67" s="142">
        <f t="shared" si="0"/>
        <v>40.503246753246756</v>
      </c>
      <c r="N67" s="4">
        <v>2156</v>
      </c>
    </row>
    <row r="68" spans="1:14" ht="13.5" thickBot="1" x14ac:dyDescent="0.25">
      <c r="A68" s="2" t="s">
        <v>795</v>
      </c>
      <c r="B68" s="1" t="s">
        <v>794</v>
      </c>
      <c r="C68" s="2" t="s">
        <v>19</v>
      </c>
      <c r="D68" s="6">
        <v>4072</v>
      </c>
      <c r="E68" s="6">
        <v>1462</v>
      </c>
      <c r="F68" s="6">
        <v>0</v>
      </c>
      <c r="G68" s="6">
        <v>5534</v>
      </c>
      <c r="H68" s="6">
        <v>38775</v>
      </c>
      <c r="I68" s="6">
        <v>3143</v>
      </c>
      <c r="J68" s="6">
        <v>41918</v>
      </c>
      <c r="K68" s="6">
        <v>18719</v>
      </c>
      <c r="L68" s="6">
        <v>66171</v>
      </c>
      <c r="M68" s="142">
        <f t="shared" ref="M68:M131" si="1">L68/N68</f>
        <v>26.735757575757575</v>
      </c>
      <c r="N68" s="4">
        <v>2475</v>
      </c>
    </row>
    <row r="69" spans="1:14" ht="13.5" thickBot="1" x14ac:dyDescent="0.25">
      <c r="A69" s="2" t="s">
        <v>799</v>
      </c>
      <c r="B69" s="1" t="s">
        <v>798</v>
      </c>
      <c r="C69" s="2" t="s">
        <v>19</v>
      </c>
      <c r="D69" s="6">
        <v>1056</v>
      </c>
      <c r="E69" s="6">
        <v>0</v>
      </c>
      <c r="F69" s="6">
        <v>0</v>
      </c>
      <c r="G69" s="6">
        <v>1056</v>
      </c>
      <c r="H69" s="6">
        <v>11936</v>
      </c>
      <c r="I69" s="6">
        <v>7800</v>
      </c>
      <c r="J69" s="6">
        <v>19736</v>
      </c>
      <c r="K69" s="6">
        <v>5313</v>
      </c>
      <c r="L69" s="6">
        <v>26105</v>
      </c>
      <c r="M69" s="142">
        <f t="shared" si="1"/>
        <v>13.264735772357724</v>
      </c>
      <c r="N69" s="4">
        <v>1968</v>
      </c>
    </row>
    <row r="70" spans="1:14" ht="13.5" thickBot="1" x14ac:dyDescent="0.25">
      <c r="A70" s="2" t="s">
        <v>809</v>
      </c>
      <c r="B70" s="1" t="s">
        <v>808</v>
      </c>
      <c r="C70" s="2" t="s">
        <v>19</v>
      </c>
      <c r="D70" s="6">
        <v>2400</v>
      </c>
      <c r="E70" s="6">
        <v>0</v>
      </c>
      <c r="F70" s="6">
        <v>0</v>
      </c>
      <c r="G70" s="6">
        <v>2400</v>
      </c>
      <c r="H70" s="6">
        <v>11204</v>
      </c>
      <c r="I70" s="6">
        <v>0</v>
      </c>
      <c r="J70" s="6">
        <v>11204</v>
      </c>
      <c r="K70" s="6">
        <v>2302</v>
      </c>
      <c r="L70" s="6">
        <v>15906</v>
      </c>
      <c r="M70" s="142">
        <f t="shared" si="1"/>
        <v>7.223433242506812</v>
      </c>
      <c r="N70" s="4">
        <v>2202</v>
      </c>
    </row>
    <row r="71" spans="1:14" ht="13.5" thickBot="1" x14ac:dyDescent="0.25">
      <c r="A71" s="2" t="s">
        <v>821</v>
      </c>
      <c r="B71" s="1" t="s">
        <v>820</v>
      </c>
      <c r="C71" s="2" t="s">
        <v>19</v>
      </c>
      <c r="D71" s="6">
        <v>9021</v>
      </c>
      <c r="E71" s="6">
        <v>0</v>
      </c>
      <c r="F71" s="6">
        <v>0</v>
      </c>
      <c r="G71" s="6">
        <v>9021</v>
      </c>
      <c r="H71" s="6">
        <v>35295</v>
      </c>
      <c r="I71" s="6">
        <v>2700</v>
      </c>
      <c r="J71" s="6">
        <v>37995</v>
      </c>
      <c r="K71" s="6">
        <v>11419</v>
      </c>
      <c r="L71" s="6">
        <v>58435</v>
      </c>
      <c r="M71" s="142">
        <f t="shared" si="1"/>
        <v>20.060075523515277</v>
      </c>
      <c r="N71" s="4">
        <v>2913</v>
      </c>
    </row>
    <row r="72" spans="1:14" ht="13.5" thickBot="1" x14ac:dyDescent="0.25">
      <c r="A72" s="2" t="s">
        <v>833</v>
      </c>
      <c r="B72" s="1" t="s">
        <v>832</v>
      </c>
      <c r="C72" s="2" t="s">
        <v>19</v>
      </c>
      <c r="D72" s="6">
        <v>10950</v>
      </c>
      <c r="E72" s="6">
        <v>2742</v>
      </c>
      <c r="F72" s="6">
        <v>250</v>
      </c>
      <c r="G72" s="6">
        <v>13942</v>
      </c>
      <c r="H72" s="6">
        <v>26465</v>
      </c>
      <c r="I72" s="6">
        <v>0</v>
      </c>
      <c r="J72" s="6">
        <v>26465</v>
      </c>
      <c r="K72" s="6">
        <v>9654</v>
      </c>
      <c r="L72" s="6">
        <v>50061</v>
      </c>
      <c r="M72" s="142">
        <f t="shared" si="1"/>
        <v>87.062608695652173</v>
      </c>
      <c r="N72" s="4">
        <v>575</v>
      </c>
    </row>
    <row r="73" spans="1:14" ht="13.5" thickBot="1" x14ac:dyDescent="0.25">
      <c r="A73" s="2" t="s">
        <v>841</v>
      </c>
      <c r="B73" s="1" t="s">
        <v>840</v>
      </c>
      <c r="C73" s="2" t="s">
        <v>19</v>
      </c>
      <c r="D73" s="6">
        <v>11052</v>
      </c>
      <c r="E73" s="6">
        <v>1840</v>
      </c>
      <c r="F73" s="6">
        <v>460</v>
      </c>
      <c r="G73" s="6">
        <v>13352</v>
      </c>
      <c r="H73" s="6">
        <v>32268</v>
      </c>
      <c r="I73" s="6">
        <v>5641</v>
      </c>
      <c r="J73" s="6">
        <v>37909</v>
      </c>
      <c r="K73" s="6">
        <v>10150</v>
      </c>
      <c r="L73" s="6">
        <v>61411</v>
      </c>
      <c r="M73" s="142">
        <f t="shared" si="1"/>
        <v>22.429145361577795</v>
      </c>
      <c r="N73" s="4">
        <v>2738</v>
      </c>
    </row>
    <row r="74" spans="1:14" ht="13.5" thickBot="1" x14ac:dyDescent="0.25">
      <c r="A74" s="2" t="s">
        <v>21</v>
      </c>
      <c r="B74" s="1" t="s">
        <v>20</v>
      </c>
      <c r="C74" s="2" t="s">
        <v>24</v>
      </c>
      <c r="D74" s="6">
        <v>14520</v>
      </c>
      <c r="E74" s="6">
        <v>9337</v>
      </c>
      <c r="F74" s="6">
        <v>3682</v>
      </c>
      <c r="G74" s="6">
        <v>27539</v>
      </c>
      <c r="H74" s="6">
        <v>109033</v>
      </c>
      <c r="I74" s="6">
        <v>8341</v>
      </c>
      <c r="J74" s="6">
        <v>117374</v>
      </c>
      <c r="K74" s="6">
        <v>94023</v>
      </c>
      <c r="L74" s="6">
        <v>238936</v>
      </c>
      <c r="M74" s="142">
        <f t="shared" si="1"/>
        <v>37.621791843804125</v>
      </c>
      <c r="N74" s="4">
        <v>6351</v>
      </c>
    </row>
    <row r="75" spans="1:14" ht="13.5" thickBot="1" x14ac:dyDescent="0.25">
      <c r="A75" s="2" t="s">
        <v>51</v>
      </c>
      <c r="B75" s="1" t="s">
        <v>50</v>
      </c>
      <c r="C75" s="2" t="s">
        <v>24</v>
      </c>
      <c r="D75" s="6">
        <v>22926</v>
      </c>
      <c r="E75" s="6">
        <v>6970</v>
      </c>
      <c r="F75" s="6">
        <v>1500</v>
      </c>
      <c r="G75" s="6">
        <v>31396</v>
      </c>
      <c r="H75" s="6">
        <v>164429</v>
      </c>
      <c r="I75" s="6">
        <v>50114</v>
      </c>
      <c r="J75" s="6">
        <v>214543</v>
      </c>
      <c r="K75" s="6">
        <v>74934</v>
      </c>
      <c r="L75" s="6">
        <v>320873</v>
      </c>
      <c r="M75" s="142">
        <f t="shared" si="1"/>
        <v>48.742670514962782</v>
      </c>
      <c r="N75" s="4">
        <v>6583</v>
      </c>
    </row>
    <row r="76" spans="1:14" ht="13.5" thickBot="1" x14ac:dyDescent="0.25">
      <c r="A76" s="2" t="s">
        <v>62</v>
      </c>
      <c r="B76" s="1" t="s">
        <v>61</v>
      </c>
      <c r="C76" s="2" t="s">
        <v>24</v>
      </c>
      <c r="D76" s="6">
        <v>26232</v>
      </c>
      <c r="E76" s="6">
        <v>2403</v>
      </c>
      <c r="F76" s="6">
        <v>5022</v>
      </c>
      <c r="G76" s="6">
        <v>33657</v>
      </c>
      <c r="H76" s="6">
        <v>123387</v>
      </c>
      <c r="I76" s="6">
        <v>9439</v>
      </c>
      <c r="J76" s="6">
        <v>132826</v>
      </c>
      <c r="K76" s="6">
        <v>75447</v>
      </c>
      <c r="L76" s="6">
        <v>241930</v>
      </c>
      <c r="M76" s="142">
        <f t="shared" si="1"/>
        <v>44.976761479828966</v>
      </c>
      <c r="N76" s="4">
        <v>5379</v>
      </c>
    </row>
    <row r="77" spans="1:14" ht="13.5" thickBot="1" x14ac:dyDescent="0.25">
      <c r="A77" s="2" t="s">
        <v>66</v>
      </c>
      <c r="B77" s="1" t="s">
        <v>65</v>
      </c>
      <c r="C77" s="2" t="s">
        <v>24</v>
      </c>
      <c r="D77" s="6">
        <v>3884</v>
      </c>
      <c r="E77" s="6">
        <v>664</v>
      </c>
      <c r="F77" s="6">
        <v>355</v>
      </c>
      <c r="G77" s="6">
        <v>4903</v>
      </c>
      <c r="H77" s="6">
        <v>28441</v>
      </c>
      <c r="I77" s="6">
        <v>4960</v>
      </c>
      <c r="J77" s="6">
        <v>33401</v>
      </c>
      <c r="K77" s="6">
        <v>10926</v>
      </c>
      <c r="L77" s="6">
        <v>49230</v>
      </c>
      <c r="M77" s="142">
        <f t="shared" si="1"/>
        <v>11.542790152403283</v>
      </c>
      <c r="N77" s="4">
        <v>4265</v>
      </c>
    </row>
    <row r="78" spans="1:14" ht="13.5" thickBot="1" x14ac:dyDescent="0.25">
      <c r="A78" s="2" t="s">
        <v>78</v>
      </c>
      <c r="B78" s="1" t="s">
        <v>77</v>
      </c>
      <c r="C78" s="2" t="s">
        <v>24</v>
      </c>
      <c r="D78" s="6">
        <v>15877</v>
      </c>
      <c r="E78" s="6">
        <v>2361</v>
      </c>
      <c r="F78" s="6">
        <v>6424</v>
      </c>
      <c r="G78" s="6">
        <v>24662</v>
      </c>
      <c r="H78" s="6">
        <v>125954</v>
      </c>
      <c r="I78" s="6">
        <v>24810</v>
      </c>
      <c r="J78" s="6">
        <v>150764</v>
      </c>
      <c r="K78" s="6">
        <v>51644</v>
      </c>
      <c r="L78" s="6">
        <v>227070</v>
      </c>
      <c r="M78" s="142">
        <f t="shared" si="1"/>
        <v>34.295423652016311</v>
      </c>
      <c r="N78" s="4">
        <v>6621</v>
      </c>
    </row>
    <row r="79" spans="1:14" ht="13.5" thickBot="1" x14ac:dyDescent="0.25">
      <c r="A79" s="2" t="s">
        <v>82</v>
      </c>
      <c r="B79" s="1" t="s">
        <v>81</v>
      </c>
      <c r="C79" s="2" t="s">
        <v>24</v>
      </c>
      <c r="D79" s="6">
        <v>16539</v>
      </c>
      <c r="E79" s="6">
        <v>2407</v>
      </c>
      <c r="F79" s="6">
        <v>2000</v>
      </c>
      <c r="G79" s="6">
        <v>20946</v>
      </c>
      <c r="H79" s="6">
        <v>84069</v>
      </c>
      <c r="I79" s="6">
        <v>6386</v>
      </c>
      <c r="J79" s="6">
        <v>90455</v>
      </c>
      <c r="K79" s="6">
        <v>31468</v>
      </c>
      <c r="L79" s="6">
        <v>142869</v>
      </c>
      <c r="M79" s="142">
        <f t="shared" si="1"/>
        <v>35.059877300613493</v>
      </c>
      <c r="N79" s="4">
        <v>4075</v>
      </c>
    </row>
    <row r="80" spans="1:14" ht="13.5" thickBot="1" x14ac:dyDescent="0.25">
      <c r="A80" s="2" t="s">
        <v>106</v>
      </c>
      <c r="B80" s="1" t="s">
        <v>105</v>
      </c>
      <c r="C80" s="2" t="s">
        <v>24</v>
      </c>
      <c r="D80" s="6">
        <v>15584</v>
      </c>
      <c r="E80" s="6">
        <v>2396</v>
      </c>
      <c r="F80" s="6">
        <v>350</v>
      </c>
      <c r="G80" s="6">
        <v>18330</v>
      </c>
      <c r="H80" s="6">
        <v>52277</v>
      </c>
      <c r="I80" s="6">
        <v>23522</v>
      </c>
      <c r="J80" s="6">
        <v>75799</v>
      </c>
      <c r="K80" s="6">
        <v>11950</v>
      </c>
      <c r="L80" s="6">
        <v>106079</v>
      </c>
      <c r="M80" s="142">
        <f t="shared" si="1"/>
        <v>19.593461396379755</v>
      </c>
      <c r="N80" s="4">
        <v>5414</v>
      </c>
    </row>
    <row r="81" spans="1:14" ht="13.5" thickBot="1" x14ac:dyDescent="0.25">
      <c r="A81" s="2" t="s">
        <v>126</v>
      </c>
      <c r="B81" s="1" t="s">
        <v>125</v>
      </c>
      <c r="C81" s="2" t="s">
        <v>24</v>
      </c>
      <c r="D81" s="6">
        <v>21851</v>
      </c>
      <c r="E81" s="6">
        <v>5363</v>
      </c>
      <c r="F81" s="6">
        <v>7000</v>
      </c>
      <c r="G81" s="6">
        <v>34214</v>
      </c>
      <c r="H81" s="6">
        <v>243578</v>
      </c>
      <c r="I81" s="6">
        <v>1552</v>
      </c>
      <c r="J81" s="6">
        <v>245130</v>
      </c>
      <c r="K81" s="6">
        <v>134807</v>
      </c>
      <c r="L81" s="6">
        <v>414151</v>
      </c>
      <c r="M81" s="142">
        <f t="shared" si="1"/>
        <v>65.780019059720459</v>
      </c>
      <c r="N81" s="4">
        <v>6296</v>
      </c>
    </row>
    <row r="82" spans="1:14" ht="13.5" thickBot="1" x14ac:dyDescent="0.25">
      <c r="A82" s="2" t="s">
        <v>132</v>
      </c>
      <c r="B82" s="1" t="s">
        <v>131</v>
      </c>
      <c r="C82" s="2" t="s">
        <v>24</v>
      </c>
      <c r="D82" s="6">
        <v>3512</v>
      </c>
      <c r="E82" s="6">
        <v>0</v>
      </c>
      <c r="F82" s="6">
        <v>0</v>
      </c>
      <c r="G82" s="6">
        <v>3512</v>
      </c>
      <c r="H82" s="6">
        <v>30791</v>
      </c>
      <c r="I82" s="6">
        <v>1640</v>
      </c>
      <c r="J82" s="6">
        <v>32431</v>
      </c>
      <c r="K82" s="6">
        <v>10861</v>
      </c>
      <c r="L82" s="6">
        <v>46804</v>
      </c>
      <c r="M82" s="142">
        <f t="shared" si="1"/>
        <v>11.686392009987516</v>
      </c>
      <c r="N82" s="4">
        <v>4005</v>
      </c>
    </row>
    <row r="83" spans="1:14" ht="13.5" thickBot="1" x14ac:dyDescent="0.25">
      <c r="A83" s="2" t="s">
        <v>146</v>
      </c>
      <c r="B83" s="1" t="s">
        <v>145</v>
      </c>
      <c r="C83" s="2" t="s">
        <v>24</v>
      </c>
      <c r="D83" s="6">
        <v>6402</v>
      </c>
      <c r="E83" s="6">
        <v>1147</v>
      </c>
      <c r="F83" s="6">
        <v>1424</v>
      </c>
      <c r="G83" s="6">
        <v>8973</v>
      </c>
      <c r="H83" s="6">
        <v>34158</v>
      </c>
      <c r="I83" s="6">
        <v>0</v>
      </c>
      <c r="J83" s="6">
        <v>34158</v>
      </c>
      <c r="K83" s="6">
        <v>23243</v>
      </c>
      <c r="L83" s="6">
        <v>66374</v>
      </c>
      <c r="M83" s="142">
        <f t="shared" si="1"/>
        <v>15.837270341207349</v>
      </c>
      <c r="N83" s="4">
        <v>4191</v>
      </c>
    </row>
    <row r="84" spans="1:14" ht="13.5" thickBot="1" x14ac:dyDescent="0.25">
      <c r="A84" s="2" t="s">
        <v>188</v>
      </c>
      <c r="B84" s="1" t="s">
        <v>187</v>
      </c>
      <c r="C84" s="2" t="s">
        <v>24</v>
      </c>
      <c r="D84" s="6">
        <v>7721</v>
      </c>
      <c r="E84" s="6">
        <v>2310</v>
      </c>
      <c r="F84" s="6">
        <v>2000</v>
      </c>
      <c r="G84" s="6">
        <v>12031</v>
      </c>
      <c r="H84" s="6">
        <v>82710</v>
      </c>
      <c r="I84" s="6">
        <v>8261</v>
      </c>
      <c r="J84" s="6">
        <v>90971</v>
      </c>
      <c r="K84" s="6">
        <v>36881</v>
      </c>
      <c r="L84" s="6">
        <v>139883</v>
      </c>
      <c r="M84" s="142">
        <f t="shared" si="1"/>
        <v>30.264604067503246</v>
      </c>
      <c r="N84" s="4">
        <v>4622</v>
      </c>
    </row>
    <row r="85" spans="1:14" ht="13.5" thickBot="1" x14ac:dyDescent="0.25">
      <c r="A85" s="2" t="s">
        <v>202</v>
      </c>
      <c r="B85" s="1" t="s">
        <v>201</v>
      </c>
      <c r="C85" s="2" t="s">
        <v>24</v>
      </c>
      <c r="D85" s="6">
        <v>13574</v>
      </c>
      <c r="E85" s="6">
        <v>2290</v>
      </c>
      <c r="F85" s="6">
        <v>911</v>
      </c>
      <c r="G85" s="6">
        <v>16775</v>
      </c>
      <c r="H85" s="6">
        <v>95729</v>
      </c>
      <c r="I85" s="6">
        <v>0</v>
      </c>
      <c r="J85" s="6">
        <v>95729</v>
      </c>
      <c r="K85" s="6">
        <v>56426</v>
      </c>
      <c r="L85" s="6">
        <v>168930</v>
      </c>
      <c r="M85" s="142">
        <f t="shared" si="1"/>
        <v>33.880866425992778</v>
      </c>
      <c r="N85" s="4">
        <v>4986</v>
      </c>
    </row>
    <row r="86" spans="1:14" ht="13.5" thickBot="1" x14ac:dyDescent="0.25">
      <c r="A86" s="2" t="s">
        <v>225</v>
      </c>
      <c r="B86" s="1" t="s">
        <v>224</v>
      </c>
      <c r="C86" s="2" t="s">
        <v>24</v>
      </c>
      <c r="D86" s="6">
        <v>11165</v>
      </c>
      <c r="E86" s="6">
        <v>906</v>
      </c>
      <c r="F86" s="6">
        <v>0</v>
      </c>
      <c r="G86" s="6">
        <v>12071</v>
      </c>
      <c r="H86" s="6">
        <v>35698</v>
      </c>
      <c r="I86" s="6">
        <v>0</v>
      </c>
      <c r="J86" s="6">
        <v>35698</v>
      </c>
      <c r="K86" s="6">
        <v>6885</v>
      </c>
      <c r="L86" s="6">
        <v>54654</v>
      </c>
      <c r="M86" s="142">
        <f t="shared" si="1"/>
        <v>12.107665042091272</v>
      </c>
      <c r="N86" s="4">
        <v>4514</v>
      </c>
    </row>
    <row r="87" spans="1:14" ht="13.5" thickBot="1" x14ac:dyDescent="0.25">
      <c r="A87" s="2" t="s">
        <v>241</v>
      </c>
      <c r="B87" s="1" t="s">
        <v>240</v>
      </c>
      <c r="C87" s="2" t="s">
        <v>24</v>
      </c>
      <c r="D87" s="6">
        <v>14622</v>
      </c>
      <c r="E87" s="6">
        <v>1200</v>
      </c>
      <c r="F87" s="6">
        <v>0</v>
      </c>
      <c r="G87" s="6">
        <v>15822</v>
      </c>
      <c r="H87" s="6">
        <v>57779</v>
      </c>
      <c r="I87" s="6">
        <v>3807</v>
      </c>
      <c r="J87" s="6">
        <v>61586</v>
      </c>
      <c r="K87" s="6">
        <v>26242</v>
      </c>
      <c r="L87" s="6">
        <v>103650</v>
      </c>
      <c r="M87" s="142">
        <f t="shared" si="1"/>
        <v>15.157940918397193</v>
      </c>
      <c r="N87" s="4">
        <v>6838</v>
      </c>
    </row>
    <row r="88" spans="1:14" ht="13.5" thickBot="1" x14ac:dyDescent="0.25">
      <c r="A88" s="2" t="s">
        <v>247</v>
      </c>
      <c r="B88" s="1" t="s">
        <v>246</v>
      </c>
      <c r="C88" s="2" t="s">
        <v>24</v>
      </c>
      <c r="D88" s="6">
        <v>4638</v>
      </c>
      <c r="E88" s="6">
        <v>1000</v>
      </c>
      <c r="F88" s="6">
        <v>0</v>
      </c>
      <c r="G88" s="6">
        <v>5638</v>
      </c>
      <c r="H88" s="6">
        <v>27765</v>
      </c>
      <c r="I88" s="6">
        <v>1157</v>
      </c>
      <c r="J88" s="6">
        <v>28922</v>
      </c>
      <c r="K88" s="6">
        <v>20005</v>
      </c>
      <c r="L88" s="6">
        <v>54565</v>
      </c>
      <c r="M88" s="142">
        <f t="shared" si="1"/>
        <v>11.20661326761142</v>
      </c>
      <c r="N88" s="4">
        <v>4869</v>
      </c>
    </row>
    <row r="89" spans="1:14" ht="13.5" thickBot="1" x14ac:dyDescent="0.25">
      <c r="A89" s="2" t="s">
        <v>249</v>
      </c>
      <c r="B89" s="1" t="s">
        <v>248</v>
      </c>
      <c r="C89" s="2" t="s">
        <v>24</v>
      </c>
      <c r="D89" s="6">
        <v>12240</v>
      </c>
      <c r="E89" s="6">
        <v>6044</v>
      </c>
      <c r="F89" s="6">
        <v>2200</v>
      </c>
      <c r="G89" s="6">
        <v>20484</v>
      </c>
      <c r="H89" s="6">
        <v>62450</v>
      </c>
      <c r="I89" s="6">
        <v>3872</v>
      </c>
      <c r="J89" s="6">
        <v>66322</v>
      </c>
      <c r="K89" s="6">
        <v>37871</v>
      </c>
      <c r="L89" s="6">
        <v>124677</v>
      </c>
      <c r="M89" s="142">
        <f t="shared" si="1"/>
        <v>26.148699664429529</v>
      </c>
      <c r="N89" s="4">
        <v>4768</v>
      </c>
    </row>
    <row r="90" spans="1:14" ht="13.5" thickBot="1" x14ac:dyDescent="0.25">
      <c r="A90" s="2" t="s">
        <v>263</v>
      </c>
      <c r="B90" s="1" t="s">
        <v>262</v>
      </c>
      <c r="C90" s="2" t="s">
        <v>24</v>
      </c>
      <c r="D90" s="6">
        <v>27610</v>
      </c>
      <c r="E90" s="6">
        <v>2998</v>
      </c>
      <c r="F90" s="6">
        <v>2172</v>
      </c>
      <c r="G90" s="6">
        <v>32780</v>
      </c>
      <c r="H90" s="6">
        <v>161593</v>
      </c>
      <c r="I90" s="6">
        <v>20643</v>
      </c>
      <c r="J90" s="6">
        <v>182236</v>
      </c>
      <c r="K90" s="6">
        <v>58014</v>
      </c>
      <c r="L90" s="6">
        <v>273030</v>
      </c>
      <c r="M90" s="142">
        <f t="shared" si="1"/>
        <v>50.263254786450666</v>
      </c>
      <c r="N90" s="4">
        <v>5432</v>
      </c>
    </row>
    <row r="91" spans="1:14" ht="13.5" thickBot="1" x14ac:dyDescent="0.25">
      <c r="A91" s="2" t="s">
        <v>293</v>
      </c>
      <c r="B91" s="1" t="s">
        <v>292</v>
      </c>
      <c r="C91" s="2" t="s">
        <v>24</v>
      </c>
      <c r="D91" s="6">
        <v>15972</v>
      </c>
      <c r="E91" s="6">
        <v>1542</v>
      </c>
      <c r="F91" s="6">
        <v>750</v>
      </c>
      <c r="G91" s="6">
        <v>18264</v>
      </c>
      <c r="H91" s="6">
        <v>87705</v>
      </c>
      <c r="I91" s="6">
        <v>11043</v>
      </c>
      <c r="J91" s="6">
        <v>98748</v>
      </c>
      <c r="K91" s="6">
        <v>51327</v>
      </c>
      <c r="L91" s="6">
        <v>168339</v>
      </c>
      <c r="M91" s="142">
        <f t="shared" si="1"/>
        <v>27.310025957170669</v>
      </c>
      <c r="N91" s="4">
        <v>6164</v>
      </c>
    </row>
    <row r="92" spans="1:14" ht="13.5" thickBot="1" x14ac:dyDescent="0.25">
      <c r="A92" s="2" t="s">
        <v>303</v>
      </c>
      <c r="B92" s="1" t="s">
        <v>302</v>
      </c>
      <c r="C92" s="2" t="s">
        <v>24</v>
      </c>
      <c r="D92" s="6">
        <v>5625</v>
      </c>
      <c r="E92" s="6">
        <v>1736</v>
      </c>
      <c r="F92" s="6">
        <v>1850</v>
      </c>
      <c r="G92" s="6">
        <v>9211</v>
      </c>
      <c r="H92" s="6">
        <v>57883</v>
      </c>
      <c r="I92" s="6">
        <v>4407</v>
      </c>
      <c r="J92" s="6">
        <v>62290</v>
      </c>
      <c r="K92" s="6">
        <v>25359</v>
      </c>
      <c r="L92" s="6">
        <v>96860</v>
      </c>
      <c r="M92" s="142">
        <f t="shared" si="1"/>
        <v>17.170714412338238</v>
      </c>
      <c r="N92" s="4">
        <v>5641</v>
      </c>
    </row>
    <row r="93" spans="1:14" ht="13.5" thickBot="1" x14ac:dyDescent="0.25">
      <c r="A93" s="2" t="s">
        <v>347</v>
      </c>
      <c r="B93" s="1" t="s">
        <v>346</v>
      </c>
      <c r="C93" s="2" t="s">
        <v>24</v>
      </c>
      <c r="D93" s="6">
        <v>631</v>
      </c>
      <c r="E93" s="6">
        <v>350</v>
      </c>
      <c r="F93" s="6">
        <v>0</v>
      </c>
      <c r="G93" s="6">
        <v>981</v>
      </c>
      <c r="H93" s="6">
        <v>36457</v>
      </c>
      <c r="I93" s="6">
        <v>16383</v>
      </c>
      <c r="J93" s="6">
        <v>52840</v>
      </c>
      <c r="K93" s="6">
        <v>10065</v>
      </c>
      <c r="L93" s="6">
        <v>63886</v>
      </c>
      <c r="M93" s="142">
        <f t="shared" si="1"/>
        <v>9.3523642219294398</v>
      </c>
      <c r="N93" s="4">
        <v>6831</v>
      </c>
    </row>
    <row r="94" spans="1:14" ht="13.5" thickBot="1" x14ac:dyDescent="0.25">
      <c r="A94" s="2" t="s">
        <v>349</v>
      </c>
      <c r="B94" s="1" t="s">
        <v>348</v>
      </c>
      <c r="C94" s="2" t="s">
        <v>24</v>
      </c>
      <c r="D94" s="6">
        <v>12851</v>
      </c>
      <c r="E94" s="6">
        <v>7784</v>
      </c>
      <c r="F94" s="6">
        <v>2914</v>
      </c>
      <c r="G94" s="6">
        <v>23549</v>
      </c>
      <c r="H94" s="6">
        <v>199964</v>
      </c>
      <c r="I94" s="6">
        <v>63076</v>
      </c>
      <c r="J94" s="6">
        <v>263040</v>
      </c>
      <c r="K94" s="6">
        <v>250182</v>
      </c>
      <c r="L94" s="6">
        <v>536771</v>
      </c>
      <c r="M94" s="142">
        <f t="shared" si="1"/>
        <v>87.722013400882503</v>
      </c>
      <c r="N94" s="4">
        <v>6119</v>
      </c>
    </row>
    <row r="95" spans="1:14" ht="13.5" thickBot="1" x14ac:dyDescent="0.25">
      <c r="A95" s="2" t="s">
        <v>359</v>
      </c>
      <c r="B95" s="1" t="s">
        <v>358</v>
      </c>
      <c r="C95" s="2" t="s">
        <v>24</v>
      </c>
      <c r="D95" s="6">
        <v>16252</v>
      </c>
      <c r="E95" s="6">
        <v>6527</v>
      </c>
      <c r="F95" s="6">
        <v>2767</v>
      </c>
      <c r="G95" s="6">
        <v>25546</v>
      </c>
      <c r="H95" s="6">
        <v>116017</v>
      </c>
      <c r="I95" s="6">
        <v>12231</v>
      </c>
      <c r="J95" s="6">
        <v>128248</v>
      </c>
      <c r="K95" s="6">
        <v>66893</v>
      </c>
      <c r="L95" s="6">
        <v>220687</v>
      </c>
      <c r="M95" s="142">
        <f t="shared" si="1"/>
        <v>33.528866605894862</v>
      </c>
      <c r="N95" s="4">
        <v>6582</v>
      </c>
    </row>
    <row r="96" spans="1:14" ht="13.5" thickBot="1" x14ac:dyDescent="0.25">
      <c r="A96" s="2" t="s">
        <v>369</v>
      </c>
      <c r="B96" s="1" t="s">
        <v>368</v>
      </c>
      <c r="C96" s="2" t="s">
        <v>24</v>
      </c>
      <c r="D96" s="6">
        <v>26573</v>
      </c>
      <c r="E96" s="6">
        <v>6115</v>
      </c>
      <c r="F96" s="6">
        <v>4772</v>
      </c>
      <c r="G96" s="6">
        <v>37460</v>
      </c>
      <c r="H96" s="6">
        <v>111969</v>
      </c>
      <c r="I96" s="6">
        <v>8475</v>
      </c>
      <c r="J96" s="6">
        <v>120444</v>
      </c>
      <c r="K96" s="6">
        <v>83974</v>
      </c>
      <c r="L96" s="6">
        <v>241878</v>
      </c>
      <c r="M96" s="142">
        <f t="shared" si="1"/>
        <v>40.768245407045342</v>
      </c>
      <c r="N96" s="4">
        <v>5933</v>
      </c>
    </row>
    <row r="97" spans="1:14" ht="13.5" thickBot="1" x14ac:dyDescent="0.25">
      <c r="A97" s="2" t="s">
        <v>377</v>
      </c>
      <c r="B97" s="1" t="s">
        <v>376</v>
      </c>
      <c r="C97" s="2" t="s">
        <v>24</v>
      </c>
      <c r="D97" s="6">
        <v>5592</v>
      </c>
      <c r="E97" s="6">
        <v>1972</v>
      </c>
      <c r="F97" s="6">
        <v>5727</v>
      </c>
      <c r="G97" s="6">
        <v>13291</v>
      </c>
      <c r="H97" s="6">
        <v>57225</v>
      </c>
      <c r="I97" s="6">
        <v>6531</v>
      </c>
      <c r="J97" s="6">
        <v>63756</v>
      </c>
      <c r="K97" s="6">
        <v>32774</v>
      </c>
      <c r="L97" s="6">
        <v>109821</v>
      </c>
      <c r="M97" s="142">
        <f t="shared" si="1"/>
        <v>26.023933649289098</v>
      </c>
      <c r="N97" s="4">
        <v>4220</v>
      </c>
    </row>
    <row r="98" spans="1:14" ht="13.5" thickBot="1" x14ac:dyDescent="0.25">
      <c r="A98" s="2" t="s">
        <v>381</v>
      </c>
      <c r="B98" s="1" t="s">
        <v>380</v>
      </c>
      <c r="C98" s="2" t="s">
        <v>24</v>
      </c>
      <c r="D98" s="6">
        <v>3479</v>
      </c>
      <c r="E98" s="6">
        <v>3044</v>
      </c>
      <c r="F98" s="6">
        <v>3531</v>
      </c>
      <c r="G98" s="6">
        <v>10054</v>
      </c>
      <c r="H98" s="6">
        <v>48006</v>
      </c>
      <c r="I98" s="6">
        <v>0</v>
      </c>
      <c r="J98" s="6">
        <v>48006</v>
      </c>
      <c r="K98" s="6">
        <v>55052</v>
      </c>
      <c r="L98" s="6">
        <v>113112</v>
      </c>
      <c r="M98" s="142">
        <f t="shared" si="1"/>
        <v>24.536225596529285</v>
      </c>
      <c r="N98" s="4">
        <v>4610</v>
      </c>
    </row>
    <row r="99" spans="1:14" ht="13.5" thickBot="1" x14ac:dyDescent="0.25">
      <c r="A99" s="2" t="s">
        <v>387</v>
      </c>
      <c r="B99" s="1" t="s">
        <v>386</v>
      </c>
      <c r="C99" s="2" t="s">
        <v>24</v>
      </c>
      <c r="D99" s="6">
        <v>2906</v>
      </c>
      <c r="E99" s="6">
        <v>475</v>
      </c>
      <c r="F99" s="6">
        <v>664</v>
      </c>
      <c r="G99" s="6">
        <v>4045</v>
      </c>
      <c r="H99" s="6">
        <v>46922</v>
      </c>
      <c r="I99" s="6">
        <v>8400</v>
      </c>
      <c r="J99" s="6">
        <v>55322</v>
      </c>
      <c r="K99" s="6">
        <v>31963</v>
      </c>
      <c r="L99" s="6">
        <v>91330</v>
      </c>
      <c r="M99" s="142">
        <f t="shared" si="1"/>
        <v>16.512384740553244</v>
      </c>
      <c r="N99" s="4">
        <v>5531</v>
      </c>
    </row>
    <row r="100" spans="1:14" ht="13.5" thickBot="1" x14ac:dyDescent="0.25">
      <c r="A100" s="2" t="s">
        <v>391</v>
      </c>
      <c r="B100" s="1" t="s">
        <v>390</v>
      </c>
      <c r="C100" s="2" t="s">
        <v>24</v>
      </c>
      <c r="D100" s="6">
        <v>13494</v>
      </c>
      <c r="E100" s="6">
        <v>0</v>
      </c>
      <c r="F100" s="6">
        <v>708</v>
      </c>
      <c r="G100" s="6">
        <v>14202</v>
      </c>
      <c r="H100" s="6">
        <v>51322</v>
      </c>
      <c r="I100" s="6">
        <v>7800</v>
      </c>
      <c r="J100" s="6">
        <v>59122</v>
      </c>
      <c r="K100" s="6">
        <v>54218</v>
      </c>
      <c r="L100" s="6">
        <v>127542</v>
      </c>
      <c r="M100" s="142">
        <f t="shared" si="1"/>
        <v>24.973957313491287</v>
      </c>
      <c r="N100" s="4">
        <v>5107</v>
      </c>
    </row>
    <row r="101" spans="1:14" ht="13.5" thickBot="1" x14ac:dyDescent="0.25">
      <c r="A101" s="2" t="s">
        <v>397</v>
      </c>
      <c r="B101" s="1" t="s">
        <v>396</v>
      </c>
      <c r="C101" s="2" t="s">
        <v>24</v>
      </c>
      <c r="D101" s="6">
        <v>13892</v>
      </c>
      <c r="E101" s="6">
        <v>3662</v>
      </c>
      <c r="F101" s="6">
        <v>0</v>
      </c>
      <c r="G101" s="6">
        <v>17554</v>
      </c>
      <c r="H101" s="6">
        <v>136655</v>
      </c>
      <c r="I101" s="6">
        <v>0</v>
      </c>
      <c r="J101" s="6">
        <v>136655</v>
      </c>
      <c r="K101" s="6">
        <v>52877</v>
      </c>
      <c r="L101" s="6">
        <v>207086</v>
      </c>
      <c r="M101" s="142">
        <f t="shared" si="1"/>
        <v>35.803250345781464</v>
      </c>
      <c r="N101" s="4">
        <v>5784</v>
      </c>
    </row>
    <row r="102" spans="1:14" ht="13.5" thickBot="1" x14ac:dyDescent="0.25">
      <c r="A102" s="2" t="s">
        <v>403</v>
      </c>
      <c r="B102" s="1" t="s">
        <v>402</v>
      </c>
      <c r="C102" s="2" t="s">
        <v>24</v>
      </c>
      <c r="D102" s="6">
        <v>14976</v>
      </c>
      <c r="E102" s="6">
        <v>2033</v>
      </c>
      <c r="F102" s="6">
        <v>1150</v>
      </c>
      <c r="G102" s="6">
        <v>18159</v>
      </c>
      <c r="H102" s="6">
        <v>46689</v>
      </c>
      <c r="I102" s="6">
        <v>24216</v>
      </c>
      <c r="J102" s="6">
        <v>70905</v>
      </c>
      <c r="K102" s="6">
        <v>56352</v>
      </c>
      <c r="L102" s="6">
        <v>145416</v>
      </c>
      <c r="M102" s="142">
        <f t="shared" si="1"/>
        <v>25.453527043584806</v>
      </c>
      <c r="N102" s="4">
        <v>5713</v>
      </c>
    </row>
    <row r="103" spans="1:14" ht="13.5" thickBot="1" x14ac:dyDescent="0.25">
      <c r="A103" s="2" t="s">
        <v>407</v>
      </c>
      <c r="B103" s="1" t="s">
        <v>406</v>
      </c>
      <c r="C103" s="2" t="s">
        <v>24</v>
      </c>
      <c r="D103" s="6">
        <v>7673</v>
      </c>
      <c r="E103" s="6">
        <v>3661</v>
      </c>
      <c r="F103" s="6">
        <v>0</v>
      </c>
      <c r="G103" s="6">
        <v>11334</v>
      </c>
      <c r="H103" s="6">
        <v>41357</v>
      </c>
      <c r="I103" s="6">
        <v>3602</v>
      </c>
      <c r="J103" s="6">
        <v>44959</v>
      </c>
      <c r="K103" s="6">
        <v>13366</v>
      </c>
      <c r="L103" s="6">
        <v>69659</v>
      </c>
      <c r="M103" s="142">
        <f t="shared" si="1"/>
        <v>10.811578457240415</v>
      </c>
      <c r="N103" s="4">
        <v>6443</v>
      </c>
    </row>
    <row r="104" spans="1:14" ht="13.5" thickBot="1" x14ac:dyDescent="0.25">
      <c r="A104" s="2" t="s">
        <v>411</v>
      </c>
      <c r="B104" s="1" t="s">
        <v>410</v>
      </c>
      <c r="C104" s="2" t="s">
        <v>24</v>
      </c>
      <c r="D104" s="6">
        <v>2597</v>
      </c>
      <c r="E104" s="6">
        <v>994</v>
      </c>
      <c r="F104" s="6">
        <v>937</v>
      </c>
      <c r="G104" s="6">
        <v>4528</v>
      </c>
      <c r="H104" s="6">
        <v>24430</v>
      </c>
      <c r="I104" s="6">
        <v>10757</v>
      </c>
      <c r="J104" s="6">
        <v>35187</v>
      </c>
      <c r="K104" s="6">
        <v>6400</v>
      </c>
      <c r="L104" s="6">
        <v>46115</v>
      </c>
      <c r="M104" s="142">
        <f t="shared" si="1"/>
        <v>11.302696078431373</v>
      </c>
      <c r="N104" s="4">
        <v>4080</v>
      </c>
    </row>
    <row r="105" spans="1:14" ht="13.5" thickBot="1" x14ac:dyDescent="0.25">
      <c r="A105" s="2" t="s">
        <v>413</v>
      </c>
      <c r="B105" s="1" t="s">
        <v>412</v>
      </c>
      <c r="C105" s="2" t="s">
        <v>24</v>
      </c>
      <c r="D105" s="6">
        <v>15154</v>
      </c>
      <c r="E105" s="6">
        <v>5173</v>
      </c>
      <c r="F105" s="6">
        <v>404</v>
      </c>
      <c r="G105" s="6">
        <v>20731</v>
      </c>
      <c r="H105" s="6">
        <v>86513</v>
      </c>
      <c r="I105" s="6">
        <v>8795</v>
      </c>
      <c r="J105" s="6">
        <v>95308</v>
      </c>
      <c r="K105" s="6">
        <v>39503</v>
      </c>
      <c r="L105" s="6">
        <v>155542</v>
      </c>
      <c r="M105" s="142">
        <f t="shared" si="1"/>
        <v>29.854510556621882</v>
      </c>
      <c r="N105" s="4">
        <v>5210</v>
      </c>
    </row>
    <row r="106" spans="1:14" ht="13.5" thickBot="1" x14ac:dyDescent="0.25">
      <c r="A106" s="2" t="s">
        <v>415</v>
      </c>
      <c r="B106" s="1" t="s">
        <v>414</v>
      </c>
      <c r="C106" s="2" t="s">
        <v>24</v>
      </c>
      <c r="D106" s="6">
        <v>18990</v>
      </c>
      <c r="E106" s="6">
        <v>5375</v>
      </c>
      <c r="F106" s="6">
        <v>10081</v>
      </c>
      <c r="G106" s="6">
        <v>34446</v>
      </c>
      <c r="H106" s="6">
        <v>142238</v>
      </c>
      <c r="I106" s="6">
        <v>25499</v>
      </c>
      <c r="J106" s="6">
        <v>167737</v>
      </c>
      <c r="K106" s="6">
        <v>93831</v>
      </c>
      <c r="L106" s="6">
        <v>296014</v>
      </c>
      <c r="M106" s="142">
        <f t="shared" si="1"/>
        <v>42.305845362298129</v>
      </c>
      <c r="N106" s="4">
        <v>6997</v>
      </c>
    </row>
    <row r="107" spans="1:14" ht="13.5" thickBot="1" x14ac:dyDescent="0.25">
      <c r="A107" s="2" t="s">
        <v>429</v>
      </c>
      <c r="B107" s="1" t="s">
        <v>428</v>
      </c>
      <c r="C107" s="2" t="s">
        <v>24</v>
      </c>
      <c r="D107" s="6">
        <v>19331</v>
      </c>
      <c r="E107" s="6">
        <v>12765</v>
      </c>
      <c r="F107" s="6">
        <v>3435</v>
      </c>
      <c r="G107" s="6">
        <v>35531</v>
      </c>
      <c r="H107" s="6">
        <v>110488</v>
      </c>
      <c r="I107" s="6">
        <v>13675</v>
      </c>
      <c r="J107" s="6">
        <v>124163</v>
      </c>
      <c r="K107" s="6">
        <v>137141</v>
      </c>
      <c r="L107" s="6">
        <v>296835</v>
      </c>
      <c r="M107" s="142">
        <f t="shared" si="1"/>
        <v>71.217610364683296</v>
      </c>
      <c r="N107" s="4">
        <v>4168</v>
      </c>
    </row>
    <row r="108" spans="1:14" ht="13.5" thickBot="1" x14ac:dyDescent="0.25">
      <c r="A108" s="2" t="s">
        <v>441</v>
      </c>
      <c r="B108" s="1" t="s">
        <v>440</v>
      </c>
      <c r="C108" s="2" t="s">
        <v>24</v>
      </c>
      <c r="D108" s="6">
        <v>24710</v>
      </c>
      <c r="E108" s="6">
        <v>15414</v>
      </c>
      <c r="F108" s="6">
        <v>1600</v>
      </c>
      <c r="G108" s="6">
        <v>41724</v>
      </c>
      <c r="H108" s="6">
        <v>109031</v>
      </c>
      <c r="I108" s="6">
        <v>8020</v>
      </c>
      <c r="J108" s="6">
        <v>117051</v>
      </c>
      <c r="K108" s="6">
        <v>51813</v>
      </c>
      <c r="L108" s="6">
        <v>210588</v>
      </c>
      <c r="M108" s="142">
        <f t="shared" si="1"/>
        <v>42.680989055533033</v>
      </c>
      <c r="N108" s="4">
        <v>4934</v>
      </c>
    </row>
    <row r="109" spans="1:14" ht="13.5" thickBot="1" x14ac:dyDescent="0.25">
      <c r="A109" s="2" t="s">
        <v>443</v>
      </c>
      <c r="B109" s="1" t="s">
        <v>442</v>
      </c>
      <c r="C109" s="2" t="s">
        <v>24</v>
      </c>
      <c r="D109" s="6">
        <v>16915</v>
      </c>
      <c r="E109" s="6">
        <v>7326</v>
      </c>
      <c r="F109" s="6">
        <v>2694</v>
      </c>
      <c r="G109" s="6">
        <v>26935</v>
      </c>
      <c r="H109" s="6">
        <v>101858</v>
      </c>
      <c r="I109" s="6">
        <v>10133</v>
      </c>
      <c r="J109" s="6">
        <v>111991</v>
      </c>
      <c r="K109" s="6">
        <v>33775</v>
      </c>
      <c r="L109" s="6">
        <v>172701</v>
      </c>
      <c r="M109" s="142">
        <f t="shared" si="1"/>
        <v>29.486255762335666</v>
      </c>
      <c r="N109" s="4">
        <v>5857</v>
      </c>
    </row>
    <row r="110" spans="1:14" ht="13.5" thickBot="1" x14ac:dyDescent="0.25">
      <c r="A110" s="2" t="s">
        <v>465</v>
      </c>
      <c r="B110" s="1" t="s">
        <v>464</v>
      </c>
      <c r="C110" s="2" t="s">
        <v>24</v>
      </c>
      <c r="D110" s="6">
        <v>4357</v>
      </c>
      <c r="E110" s="6">
        <v>360</v>
      </c>
      <c r="F110" s="6">
        <v>6348</v>
      </c>
      <c r="G110" s="6">
        <v>11065</v>
      </c>
      <c r="H110" s="6">
        <v>27592</v>
      </c>
      <c r="I110" s="6">
        <v>4408</v>
      </c>
      <c r="J110" s="6">
        <v>32000</v>
      </c>
      <c r="K110" s="6">
        <v>36662</v>
      </c>
      <c r="L110" s="6">
        <v>79727</v>
      </c>
      <c r="M110" s="142">
        <f t="shared" si="1"/>
        <v>19.253078966433229</v>
      </c>
      <c r="N110" s="4">
        <v>4141</v>
      </c>
    </row>
    <row r="111" spans="1:14" ht="13.5" thickBot="1" x14ac:dyDescent="0.25">
      <c r="A111" s="2" t="s">
        <v>472</v>
      </c>
      <c r="B111" s="1" t="s">
        <v>471</v>
      </c>
      <c r="C111" s="2" t="s">
        <v>24</v>
      </c>
      <c r="D111" s="6">
        <v>3000</v>
      </c>
      <c r="E111" s="6">
        <v>328</v>
      </c>
      <c r="F111" s="6">
        <v>237</v>
      </c>
      <c r="G111" s="6">
        <v>3565</v>
      </c>
      <c r="H111" s="6">
        <v>38592</v>
      </c>
      <c r="I111" s="6">
        <v>6303</v>
      </c>
      <c r="J111" s="6">
        <v>44895</v>
      </c>
      <c r="K111" s="6">
        <v>12826</v>
      </c>
      <c r="L111" s="6">
        <v>61286</v>
      </c>
      <c r="M111" s="142">
        <f t="shared" si="1"/>
        <v>14.602335001191328</v>
      </c>
      <c r="N111" s="4">
        <v>4197</v>
      </c>
    </row>
    <row r="112" spans="1:14" ht="13.5" thickBot="1" x14ac:dyDescent="0.25">
      <c r="A112" s="2" t="s">
        <v>478</v>
      </c>
      <c r="B112" s="1" t="s">
        <v>477</v>
      </c>
      <c r="C112" s="2" t="s">
        <v>24</v>
      </c>
      <c r="D112" s="6">
        <v>20529</v>
      </c>
      <c r="E112" s="6">
        <v>2648</v>
      </c>
      <c r="F112" s="6">
        <v>3531</v>
      </c>
      <c r="G112" s="6">
        <v>26708</v>
      </c>
      <c r="H112" s="6">
        <v>99925</v>
      </c>
      <c r="I112" s="6">
        <v>3534</v>
      </c>
      <c r="J112" s="6">
        <v>103459</v>
      </c>
      <c r="K112" s="6">
        <v>35704</v>
      </c>
      <c r="L112" s="6">
        <v>165871</v>
      </c>
      <c r="M112" s="142">
        <f t="shared" si="1"/>
        <v>32.729084451460139</v>
      </c>
      <c r="N112" s="4">
        <v>5068</v>
      </c>
    </row>
    <row r="113" spans="1:14" ht="13.5" thickBot="1" x14ac:dyDescent="0.25">
      <c r="A113" s="2" t="s">
        <v>482</v>
      </c>
      <c r="B113" s="1" t="s">
        <v>481</v>
      </c>
      <c r="C113" s="2" t="s">
        <v>24</v>
      </c>
      <c r="D113" s="6">
        <v>6031</v>
      </c>
      <c r="E113" s="6">
        <v>680</v>
      </c>
      <c r="F113" s="6">
        <v>0</v>
      </c>
      <c r="G113" s="6">
        <v>6711</v>
      </c>
      <c r="H113" s="6">
        <v>30671</v>
      </c>
      <c r="I113" s="6">
        <v>2358</v>
      </c>
      <c r="J113" s="6">
        <v>33029</v>
      </c>
      <c r="K113" s="6">
        <v>19569</v>
      </c>
      <c r="L113" s="6">
        <v>59309</v>
      </c>
      <c r="M113" s="142">
        <f t="shared" si="1"/>
        <v>11.938204508856682</v>
      </c>
      <c r="N113" s="4">
        <v>4968</v>
      </c>
    </row>
    <row r="114" spans="1:14" ht="13.5" thickBot="1" x14ac:dyDescent="0.25">
      <c r="A114" s="2" t="s">
        <v>494</v>
      </c>
      <c r="B114" s="1" t="s">
        <v>493</v>
      </c>
      <c r="C114" s="2" t="s">
        <v>24</v>
      </c>
      <c r="D114" s="6">
        <v>9500</v>
      </c>
      <c r="E114" s="6">
        <v>4927</v>
      </c>
      <c r="F114" s="6">
        <v>3900</v>
      </c>
      <c r="G114" s="6">
        <v>18327</v>
      </c>
      <c r="H114" s="6">
        <v>93970</v>
      </c>
      <c r="I114" s="6">
        <v>12412</v>
      </c>
      <c r="J114" s="6">
        <v>106382</v>
      </c>
      <c r="K114" s="6">
        <v>19257</v>
      </c>
      <c r="L114" s="6">
        <v>143966</v>
      </c>
      <c r="M114" s="142">
        <f t="shared" si="1"/>
        <v>35.105096317971224</v>
      </c>
      <c r="N114" s="4">
        <v>4101</v>
      </c>
    </row>
    <row r="115" spans="1:14" ht="13.5" thickBot="1" x14ac:dyDescent="0.25">
      <c r="A115" s="2" t="s">
        <v>496</v>
      </c>
      <c r="B115" s="1" t="s">
        <v>495</v>
      </c>
      <c r="C115" s="2" t="s">
        <v>24</v>
      </c>
      <c r="D115" s="6">
        <v>11189</v>
      </c>
      <c r="E115" s="6">
        <v>1859</v>
      </c>
      <c r="F115" s="6">
        <v>0</v>
      </c>
      <c r="G115" s="6">
        <v>13048</v>
      </c>
      <c r="H115" s="6">
        <v>47041</v>
      </c>
      <c r="I115" s="6">
        <v>3439</v>
      </c>
      <c r="J115" s="6">
        <v>50480</v>
      </c>
      <c r="K115" s="6">
        <v>35019</v>
      </c>
      <c r="L115" s="6">
        <v>98547</v>
      </c>
      <c r="M115" s="142">
        <f t="shared" si="1"/>
        <v>18.803091013165428</v>
      </c>
      <c r="N115" s="4">
        <v>5241</v>
      </c>
    </row>
    <row r="116" spans="1:14" ht="13.5" thickBot="1" x14ac:dyDescent="0.25">
      <c r="A116" s="2" t="s">
        <v>504</v>
      </c>
      <c r="B116" s="1" t="s">
        <v>503</v>
      </c>
      <c r="C116" s="2" t="s">
        <v>24</v>
      </c>
      <c r="D116" s="6">
        <v>17509</v>
      </c>
      <c r="E116" s="6">
        <v>5612</v>
      </c>
      <c r="F116" s="6">
        <v>992</v>
      </c>
      <c r="G116" s="6">
        <v>24113</v>
      </c>
      <c r="H116" s="6">
        <v>81797</v>
      </c>
      <c r="I116" s="6">
        <v>6258</v>
      </c>
      <c r="J116" s="6">
        <v>88055</v>
      </c>
      <c r="K116" s="6">
        <v>38802</v>
      </c>
      <c r="L116" s="6">
        <v>150970</v>
      </c>
      <c r="M116" s="142">
        <f t="shared" si="1"/>
        <v>29.257751937984494</v>
      </c>
      <c r="N116" s="4">
        <v>5160</v>
      </c>
    </row>
    <row r="117" spans="1:14" ht="13.5" thickBot="1" x14ac:dyDescent="0.25">
      <c r="A117" s="2" t="s">
        <v>506</v>
      </c>
      <c r="B117" s="1" t="s">
        <v>505</v>
      </c>
      <c r="C117" s="2" t="s">
        <v>24</v>
      </c>
      <c r="D117" s="6">
        <v>11986</v>
      </c>
      <c r="E117" s="6">
        <v>6718</v>
      </c>
      <c r="F117" s="6">
        <v>2070</v>
      </c>
      <c r="G117" s="6">
        <v>20774</v>
      </c>
      <c r="H117" s="6">
        <v>61841</v>
      </c>
      <c r="I117" s="6">
        <v>31840</v>
      </c>
      <c r="J117" s="6">
        <v>93681</v>
      </c>
      <c r="K117" s="6">
        <v>6910</v>
      </c>
      <c r="L117" s="6">
        <v>121365</v>
      </c>
      <c r="M117" s="142">
        <f t="shared" si="1"/>
        <v>20.778120184899844</v>
      </c>
      <c r="N117" s="4">
        <v>5841</v>
      </c>
    </row>
    <row r="118" spans="1:14" ht="13.5" thickBot="1" x14ac:dyDescent="0.25">
      <c r="A118" s="2" t="s">
        <v>512</v>
      </c>
      <c r="B118" s="1" t="s">
        <v>511</v>
      </c>
      <c r="C118" s="2" t="s">
        <v>24</v>
      </c>
      <c r="D118" s="6">
        <v>12306</v>
      </c>
      <c r="E118" s="6">
        <v>5392</v>
      </c>
      <c r="F118" s="6">
        <v>0</v>
      </c>
      <c r="G118" s="6">
        <v>17698</v>
      </c>
      <c r="H118" s="6">
        <v>50130</v>
      </c>
      <c r="I118" s="6">
        <v>6370</v>
      </c>
      <c r="J118" s="6">
        <v>56500</v>
      </c>
      <c r="K118" s="6">
        <v>11321</v>
      </c>
      <c r="L118" s="6">
        <v>85519</v>
      </c>
      <c r="M118" s="142">
        <f t="shared" si="1"/>
        <v>18.080126849894292</v>
      </c>
      <c r="N118" s="4">
        <v>4730</v>
      </c>
    </row>
    <row r="119" spans="1:14" ht="13.5" thickBot="1" x14ac:dyDescent="0.25">
      <c r="A119" s="2" t="s">
        <v>530</v>
      </c>
      <c r="B119" s="1" t="s">
        <v>529</v>
      </c>
      <c r="C119" s="2" t="s">
        <v>24</v>
      </c>
      <c r="D119" s="6">
        <v>16906</v>
      </c>
      <c r="E119" s="6">
        <v>4961</v>
      </c>
      <c r="F119" s="6">
        <v>4003</v>
      </c>
      <c r="G119" s="6">
        <v>25870</v>
      </c>
      <c r="H119" s="6">
        <v>89086</v>
      </c>
      <c r="I119" s="6">
        <v>3837</v>
      </c>
      <c r="J119" s="6">
        <v>92923</v>
      </c>
      <c r="K119" s="6">
        <v>52500</v>
      </c>
      <c r="L119" s="6">
        <v>171293</v>
      </c>
      <c r="M119" s="142">
        <f t="shared" si="1"/>
        <v>33.772279179810724</v>
      </c>
      <c r="N119" s="4">
        <v>5072</v>
      </c>
    </row>
    <row r="120" spans="1:14" ht="13.5" thickBot="1" x14ac:dyDescent="0.25">
      <c r="A120" s="2" t="s">
        <v>532</v>
      </c>
      <c r="B120" s="1" t="s">
        <v>531</v>
      </c>
      <c r="C120" s="2" t="s">
        <v>24</v>
      </c>
      <c r="D120" s="6">
        <v>19000</v>
      </c>
      <c r="E120" s="6">
        <v>3445</v>
      </c>
      <c r="F120" s="6">
        <v>8243</v>
      </c>
      <c r="G120" s="6">
        <v>30688</v>
      </c>
      <c r="H120" s="6">
        <v>124611</v>
      </c>
      <c r="I120" s="6">
        <v>41848</v>
      </c>
      <c r="J120" s="6">
        <v>166459</v>
      </c>
      <c r="K120" s="6">
        <v>95645</v>
      </c>
      <c r="L120" s="6">
        <v>292792</v>
      </c>
      <c r="M120" s="142">
        <f t="shared" si="1"/>
        <v>44.135061802833889</v>
      </c>
      <c r="N120" s="4">
        <v>6634</v>
      </c>
    </row>
    <row r="121" spans="1:14" ht="13.5" thickBot="1" x14ac:dyDescent="0.25">
      <c r="A121" s="2" t="s">
        <v>544</v>
      </c>
      <c r="B121" s="1" t="s">
        <v>543</v>
      </c>
      <c r="C121" s="2" t="s">
        <v>24</v>
      </c>
      <c r="D121" s="6">
        <v>20484</v>
      </c>
      <c r="E121" s="6">
        <v>7019</v>
      </c>
      <c r="F121" s="6">
        <v>2500</v>
      </c>
      <c r="G121" s="6">
        <v>30003</v>
      </c>
      <c r="H121" s="6">
        <v>221324</v>
      </c>
      <c r="I121" s="6">
        <v>13834</v>
      </c>
      <c r="J121" s="6">
        <v>235158</v>
      </c>
      <c r="K121" s="6">
        <v>124966</v>
      </c>
      <c r="L121" s="6">
        <v>390127</v>
      </c>
      <c r="M121" s="142">
        <f t="shared" si="1"/>
        <v>73.581101471142958</v>
      </c>
      <c r="N121" s="4">
        <v>5302</v>
      </c>
    </row>
    <row r="122" spans="1:14" ht="13.5" thickBot="1" x14ac:dyDescent="0.25">
      <c r="A122" s="2" t="s">
        <v>546</v>
      </c>
      <c r="B122" s="1" t="s">
        <v>545</v>
      </c>
      <c r="C122" s="2" t="s">
        <v>24</v>
      </c>
      <c r="D122" s="6">
        <v>17063</v>
      </c>
      <c r="E122" s="6">
        <v>4926</v>
      </c>
      <c r="F122" s="6">
        <v>2610</v>
      </c>
      <c r="G122" s="6">
        <v>24599</v>
      </c>
      <c r="H122" s="6">
        <v>126794</v>
      </c>
      <c r="I122" s="6">
        <v>12925</v>
      </c>
      <c r="J122" s="6">
        <v>139719</v>
      </c>
      <c r="K122" s="6">
        <v>123959</v>
      </c>
      <c r="L122" s="6">
        <v>288277</v>
      </c>
      <c r="M122" s="142">
        <f t="shared" si="1"/>
        <v>42.18276265730173</v>
      </c>
      <c r="N122" s="4">
        <v>6834</v>
      </c>
    </row>
    <row r="123" spans="1:14" ht="13.5" thickBot="1" x14ac:dyDescent="0.25">
      <c r="A123" s="2" t="s">
        <v>550</v>
      </c>
      <c r="B123" s="1" t="s">
        <v>549</v>
      </c>
      <c r="C123" s="2" t="s">
        <v>24</v>
      </c>
      <c r="D123" s="6">
        <v>6517</v>
      </c>
      <c r="E123" s="6">
        <v>320</v>
      </c>
      <c r="F123" s="6">
        <v>2555</v>
      </c>
      <c r="G123" s="6">
        <v>9392</v>
      </c>
      <c r="H123" s="6">
        <v>25616</v>
      </c>
      <c r="I123" s="6">
        <v>0</v>
      </c>
      <c r="J123" s="6">
        <v>25616</v>
      </c>
      <c r="K123" s="6">
        <v>27206</v>
      </c>
      <c r="L123" s="6">
        <v>62214</v>
      </c>
      <c r="M123" s="142">
        <f t="shared" si="1"/>
        <v>13.921235175654509</v>
      </c>
      <c r="N123" s="4">
        <v>4469</v>
      </c>
    </row>
    <row r="124" spans="1:14" ht="13.5" thickBot="1" x14ac:dyDescent="0.25">
      <c r="A124" s="2" t="s">
        <v>558</v>
      </c>
      <c r="B124" s="1" t="s">
        <v>557</v>
      </c>
      <c r="C124" s="2" t="s">
        <v>24</v>
      </c>
      <c r="D124" s="6">
        <v>27007</v>
      </c>
      <c r="E124" s="6">
        <v>4114</v>
      </c>
      <c r="F124" s="6">
        <v>1492</v>
      </c>
      <c r="G124" s="6">
        <v>32613</v>
      </c>
      <c r="H124" s="6">
        <v>119477</v>
      </c>
      <c r="I124" s="6">
        <v>10884</v>
      </c>
      <c r="J124" s="6">
        <v>130361</v>
      </c>
      <c r="K124" s="6">
        <v>39843</v>
      </c>
      <c r="L124" s="6">
        <v>202817</v>
      </c>
      <c r="M124" s="142">
        <f t="shared" si="1"/>
        <v>32.850178166504698</v>
      </c>
      <c r="N124" s="4">
        <v>6174</v>
      </c>
    </row>
    <row r="125" spans="1:14" ht="13.5" thickBot="1" x14ac:dyDescent="0.25">
      <c r="A125" s="2" t="s">
        <v>578</v>
      </c>
      <c r="B125" s="1" t="s">
        <v>577</v>
      </c>
      <c r="C125" s="2" t="s">
        <v>24</v>
      </c>
      <c r="D125" s="6">
        <v>9884</v>
      </c>
      <c r="E125" s="6">
        <v>0</v>
      </c>
      <c r="F125" s="6">
        <v>1204</v>
      </c>
      <c r="G125" s="6">
        <v>11088</v>
      </c>
      <c r="H125" s="6">
        <v>75338</v>
      </c>
      <c r="I125" s="6">
        <v>7046</v>
      </c>
      <c r="J125" s="6">
        <v>82384</v>
      </c>
      <c r="K125" s="6">
        <v>38777</v>
      </c>
      <c r="L125" s="6">
        <v>132249</v>
      </c>
      <c r="M125" s="142">
        <f t="shared" si="1"/>
        <v>24.929123468426013</v>
      </c>
      <c r="N125" s="4">
        <v>5305</v>
      </c>
    </row>
    <row r="126" spans="1:14" ht="13.5" thickBot="1" x14ac:dyDescent="0.25">
      <c r="A126" s="2" t="s">
        <v>584</v>
      </c>
      <c r="B126" s="1" t="s">
        <v>583</v>
      </c>
      <c r="C126" s="2" t="s">
        <v>24</v>
      </c>
      <c r="D126" s="6">
        <v>22562</v>
      </c>
      <c r="E126" s="6">
        <v>7100</v>
      </c>
      <c r="F126" s="6">
        <v>4350</v>
      </c>
      <c r="G126" s="6">
        <v>34012</v>
      </c>
      <c r="H126" s="6">
        <v>55360</v>
      </c>
      <c r="I126" s="6">
        <v>13000</v>
      </c>
      <c r="J126" s="6">
        <v>68360</v>
      </c>
      <c r="K126" s="6">
        <v>76040</v>
      </c>
      <c r="L126" s="6">
        <v>178412</v>
      </c>
      <c r="M126" s="142">
        <f t="shared" si="1"/>
        <v>28.136256111023499</v>
      </c>
      <c r="N126" s="4">
        <v>6341</v>
      </c>
    </row>
    <row r="127" spans="1:14" ht="13.5" thickBot="1" x14ac:dyDescent="0.25">
      <c r="A127" s="2" t="s">
        <v>590</v>
      </c>
      <c r="B127" s="1" t="s">
        <v>589</v>
      </c>
      <c r="C127" s="2" t="s">
        <v>24</v>
      </c>
      <c r="D127" s="6">
        <v>17428</v>
      </c>
      <c r="E127" s="6">
        <v>5148</v>
      </c>
      <c r="F127" s="6">
        <v>0</v>
      </c>
      <c r="G127" s="6">
        <v>22576</v>
      </c>
      <c r="H127" s="6">
        <v>116827</v>
      </c>
      <c r="I127" s="6">
        <v>17061</v>
      </c>
      <c r="J127" s="6">
        <v>133888</v>
      </c>
      <c r="K127" s="6">
        <v>53940</v>
      </c>
      <c r="L127" s="6">
        <v>210404</v>
      </c>
      <c r="M127" s="142">
        <f t="shared" si="1"/>
        <v>38.727038468617707</v>
      </c>
      <c r="N127" s="4">
        <v>5433</v>
      </c>
    </row>
    <row r="128" spans="1:14" ht="13.5" thickBot="1" x14ac:dyDescent="0.25">
      <c r="A128" s="2" t="s">
        <v>602</v>
      </c>
      <c r="B128" s="1" t="s">
        <v>601</v>
      </c>
      <c r="C128" s="2" t="s">
        <v>24</v>
      </c>
      <c r="D128" s="6">
        <v>31618</v>
      </c>
      <c r="E128" s="6">
        <v>7466</v>
      </c>
      <c r="F128" s="6">
        <v>1839</v>
      </c>
      <c r="G128" s="6">
        <v>40923</v>
      </c>
      <c r="H128" s="6">
        <v>133285</v>
      </c>
      <c r="I128" s="6">
        <v>23884</v>
      </c>
      <c r="J128" s="6">
        <v>157169</v>
      </c>
      <c r="K128" s="6">
        <v>65648</v>
      </c>
      <c r="L128" s="6">
        <v>263740</v>
      </c>
      <c r="M128" s="142">
        <f t="shared" si="1"/>
        <v>39.636308987075445</v>
      </c>
      <c r="N128" s="4">
        <v>6654</v>
      </c>
    </row>
    <row r="129" spans="1:14" ht="13.5" thickBot="1" x14ac:dyDescent="0.25">
      <c r="A129" s="2" t="s">
        <v>606</v>
      </c>
      <c r="B129" s="1" t="s">
        <v>605</v>
      </c>
      <c r="C129" s="2" t="s">
        <v>24</v>
      </c>
      <c r="D129" s="6">
        <v>10965</v>
      </c>
      <c r="E129" s="6">
        <v>1130</v>
      </c>
      <c r="F129" s="6">
        <v>0</v>
      </c>
      <c r="G129" s="6">
        <v>12095</v>
      </c>
      <c r="H129" s="6">
        <v>32261</v>
      </c>
      <c r="I129" s="6">
        <v>2430</v>
      </c>
      <c r="J129" s="6">
        <v>34691</v>
      </c>
      <c r="K129" s="6">
        <v>28504</v>
      </c>
      <c r="L129" s="6">
        <v>75290</v>
      </c>
      <c r="M129" s="142">
        <f t="shared" si="1"/>
        <v>18.341047503045068</v>
      </c>
      <c r="N129" s="4">
        <v>4105</v>
      </c>
    </row>
    <row r="130" spans="1:14" ht="13.5" thickBot="1" x14ac:dyDescent="0.25">
      <c r="A130" s="2" t="s">
        <v>620</v>
      </c>
      <c r="B130" s="1" t="s">
        <v>619</v>
      </c>
      <c r="C130" s="2" t="s">
        <v>24</v>
      </c>
      <c r="D130" s="6">
        <v>6390</v>
      </c>
      <c r="E130" s="6">
        <v>0</v>
      </c>
      <c r="F130" s="6">
        <v>1430</v>
      </c>
      <c r="G130" s="6">
        <v>7820</v>
      </c>
      <c r="H130" s="6">
        <v>43480</v>
      </c>
      <c r="I130" s="6">
        <v>4818</v>
      </c>
      <c r="J130" s="6">
        <v>48298</v>
      </c>
      <c r="K130" s="6">
        <v>34505</v>
      </c>
      <c r="L130" s="6">
        <v>90623</v>
      </c>
      <c r="M130" s="142">
        <f t="shared" si="1"/>
        <v>16.74173286532422</v>
      </c>
      <c r="N130" s="4">
        <v>5413</v>
      </c>
    </row>
    <row r="131" spans="1:14" ht="13.5" thickBot="1" x14ac:dyDescent="0.25">
      <c r="A131" s="2" t="s">
        <v>626</v>
      </c>
      <c r="B131" s="1" t="s">
        <v>625</v>
      </c>
      <c r="C131" s="2" t="s">
        <v>24</v>
      </c>
      <c r="D131" s="6">
        <v>5398</v>
      </c>
      <c r="E131" s="6">
        <v>1072</v>
      </c>
      <c r="F131" s="6">
        <v>435</v>
      </c>
      <c r="G131" s="6">
        <v>6905</v>
      </c>
      <c r="H131" s="6">
        <v>72179</v>
      </c>
      <c r="I131" s="6">
        <v>4054</v>
      </c>
      <c r="J131" s="6">
        <v>76233</v>
      </c>
      <c r="K131" s="6">
        <v>50755</v>
      </c>
      <c r="L131" s="6">
        <v>133893</v>
      </c>
      <c r="M131" s="142">
        <f t="shared" si="1"/>
        <v>19.554987585804003</v>
      </c>
      <c r="N131" s="4">
        <v>6847</v>
      </c>
    </row>
    <row r="132" spans="1:14" ht="13.5" thickBot="1" x14ac:dyDescent="0.25">
      <c r="A132" s="2" t="s">
        <v>628</v>
      </c>
      <c r="B132" s="1" t="s">
        <v>627</v>
      </c>
      <c r="C132" s="2" t="s">
        <v>24</v>
      </c>
      <c r="D132" s="6">
        <v>10952</v>
      </c>
      <c r="E132" s="6">
        <v>888</v>
      </c>
      <c r="F132" s="6">
        <v>1399</v>
      </c>
      <c r="G132" s="6">
        <v>13239</v>
      </c>
      <c r="H132" s="6">
        <v>77412</v>
      </c>
      <c r="I132" s="6">
        <v>19328</v>
      </c>
      <c r="J132" s="6">
        <v>96740</v>
      </c>
      <c r="K132" s="6">
        <v>30822</v>
      </c>
      <c r="L132" s="6">
        <v>140801</v>
      </c>
      <c r="M132" s="142">
        <f t="shared" ref="M132:M195" si="2">L132/N132</f>
        <v>22.56426282051282</v>
      </c>
      <c r="N132" s="4">
        <v>6240</v>
      </c>
    </row>
    <row r="133" spans="1:14" ht="13.5" thickBot="1" x14ac:dyDescent="0.25">
      <c r="A133" s="2" t="s">
        <v>634</v>
      </c>
      <c r="B133" s="1" t="s">
        <v>633</v>
      </c>
      <c r="C133" s="2" t="s">
        <v>24</v>
      </c>
      <c r="D133" s="6">
        <v>5819</v>
      </c>
      <c r="E133" s="6">
        <v>1281</v>
      </c>
      <c r="F133" s="6">
        <v>1000</v>
      </c>
      <c r="G133" s="6">
        <v>8100</v>
      </c>
      <c r="H133" s="6">
        <v>37144</v>
      </c>
      <c r="I133" s="6">
        <v>1313</v>
      </c>
      <c r="J133" s="6">
        <v>38457</v>
      </c>
      <c r="K133" s="6">
        <v>25711</v>
      </c>
      <c r="L133" s="6">
        <v>72268</v>
      </c>
      <c r="M133" s="142">
        <f t="shared" si="2"/>
        <v>13.442708333333334</v>
      </c>
      <c r="N133" s="4">
        <v>5376</v>
      </c>
    </row>
    <row r="134" spans="1:14" ht="13.5" thickBot="1" x14ac:dyDescent="0.25">
      <c r="A134" s="2" t="s">
        <v>640</v>
      </c>
      <c r="B134" s="1" t="s">
        <v>639</v>
      </c>
      <c r="C134" s="2" t="s">
        <v>24</v>
      </c>
      <c r="D134" s="6">
        <v>19804</v>
      </c>
      <c r="E134" s="6">
        <v>6617</v>
      </c>
      <c r="F134" s="6">
        <v>1557</v>
      </c>
      <c r="G134" s="6">
        <v>27978</v>
      </c>
      <c r="H134" s="6">
        <v>89329</v>
      </c>
      <c r="I134" s="6">
        <v>0</v>
      </c>
      <c r="J134" s="6">
        <v>89329</v>
      </c>
      <c r="K134" s="6">
        <v>39498</v>
      </c>
      <c r="L134" s="6">
        <v>156805</v>
      </c>
      <c r="M134" s="142">
        <f t="shared" si="2"/>
        <v>28.391272858953467</v>
      </c>
      <c r="N134" s="4">
        <v>5523</v>
      </c>
    </row>
    <row r="135" spans="1:14" ht="13.5" thickBot="1" x14ac:dyDescent="0.25">
      <c r="A135" s="2" t="s">
        <v>654</v>
      </c>
      <c r="B135" s="1" t="s">
        <v>653</v>
      </c>
      <c r="C135" s="2" t="s">
        <v>24</v>
      </c>
      <c r="D135" s="6">
        <v>13117</v>
      </c>
      <c r="E135" s="6">
        <v>7767</v>
      </c>
      <c r="F135" s="6">
        <v>3030</v>
      </c>
      <c r="G135" s="6">
        <v>23914</v>
      </c>
      <c r="H135" s="6">
        <v>67147</v>
      </c>
      <c r="I135" s="6">
        <v>5100</v>
      </c>
      <c r="J135" s="6">
        <v>72247</v>
      </c>
      <c r="K135" s="6">
        <v>42157</v>
      </c>
      <c r="L135" s="6">
        <v>138318</v>
      </c>
      <c r="M135" s="142">
        <f t="shared" si="2"/>
        <v>29.688345138441726</v>
      </c>
      <c r="N135" s="4">
        <v>4659</v>
      </c>
    </row>
    <row r="136" spans="1:14" ht="13.5" thickBot="1" x14ac:dyDescent="0.25">
      <c r="A136" s="2" t="s">
        <v>666</v>
      </c>
      <c r="B136" s="1" t="s">
        <v>665</v>
      </c>
      <c r="C136" s="2" t="s">
        <v>24</v>
      </c>
      <c r="D136" s="6">
        <v>20572</v>
      </c>
      <c r="E136" s="6">
        <v>12775</v>
      </c>
      <c r="F136" s="6">
        <v>10840</v>
      </c>
      <c r="G136" s="6">
        <v>44187</v>
      </c>
      <c r="H136" s="6">
        <v>141589</v>
      </c>
      <c r="I136" s="6">
        <v>18299</v>
      </c>
      <c r="J136" s="6">
        <v>159888</v>
      </c>
      <c r="K136" s="6">
        <v>106700</v>
      </c>
      <c r="L136" s="6">
        <v>310775</v>
      </c>
      <c r="M136" s="142">
        <f t="shared" si="2"/>
        <v>49.368546465448766</v>
      </c>
      <c r="N136" s="4">
        <v>6295</v>
      </c>
    </row>
    <row r="137" spans="1:14" ht="13.5" thickBot="1" x14ac:dyDescent="0.25">
      <c r="A137" s="2" t="s">
        <v>682</v>
      </c>
      <c r="B137" s="1" t="s">
        <v>681</v>
      </c>
      <c r="C137" s="2" t="s">
        <v>24</v>
      </c>
      <c r="D137" s="6">
        <v>12400</v>
      </c>
      <c r="E137" s="6">
        <v>2924</v>
      </c>
      <c r="F137" s="6">
        <v>2600</v>
      </c>
      <c r="G137" s="6">
        <v>17924</v>
      </c>
      <c r="H137" s="6">
        <v>68000</v>
      </c>
      <c r="I137" s="6">
        <v>1105</v>
      </c>
      <c r="J137" s="6">
        <v>69105</v>
      </c>
      <c r="K137" s="6">
        <v>75949</v>
      </c>
      <c r="L137" s="6">
        <v>162978</v>
      </c>
      <c r="M137" s="142">
        <f t="shared" si="2"/>
        <v>36.756427604871448</v>
      </c>
      <c r="N137" s="4">
        <v>4434</v>
      </c>
    </row>
    <row r="138" spans="1:14" ht="13.5" thickBot="1" x14ac:dyDescent="0.25">
      <c r="A138" s="2" t="s">
        <v>692</v>
      </c>
      <c r="B138" s="1" t="s">
        <v>691</v>
      </c>
      <c r="C138" s="2" t="s">
        <v>24</v>
      </c>
      <c r="D138" s="6">
        <v>18586</v>
      </c>
      <c r="E138" s="6">
        <v>4852</v>
      </c>
      <c r="F138" s="6">
        <v>3233</v>
      </c>
      <c r="G138" s="6">
        <v>26671</v>
      </c>
      <c r="H138" s="6">
        <v>92004</v>
      </c>
      <c r="I138" s="6">
        <v>7034</v>
      </c>
      <c r="J138" s="6">
        <v>99038</v>
      </c>
      <c r="K138" s="6">
        <v>43670</v>
      </c>
      <c r="L138" s="6">
        <v>169379</v>
      </c>
      <c r="M138" s="142">
        <f t="shared" si="2"/>
        <v>38.715200000000003</v>
      </c>
      <c r="N138" s="4">
        <v>4375</v>
      </c>
    </row>
    <row r="139" spans="1:14" ht="13.5" thickBot="1" x14ac:dyDescent="0.25">
      <c r="A139" s="2" t="s">
        <v>696</v>
      </c>
      <c r="B139" s="1" t="s">
        <v>695</v>
      </c>
      <c r="C139" s="2" t="s">
        <v>24</v>
      </c>
      <c r="D139" s="6">
        <v>18600</v>
      </c>
      <c r="E139" s="6">
        <v>3966</v>
      </c>
      <c r="F139" s="6">
        <v>14574</v>
      </c>
      <c r="G139" s="6">
        <v>37140</v>
      </c>
      <c r="H139" s="6">
        <v>144207</v>
      </c>
      <c r="I139" s="6">
        <v>12620</v>
      </c>
      <c r="J139" s="6">
        <v>156827</v>
      </c>
      <c r="K139" s="6">
        <v>120419</v>
      </c>
      <c r="L139" s="6">
        <v>314386</v>
      </c>
      <c r="M139" s="142">
        <f t="shared" si="2"/>
        <v>61.632228974710841</v>
      </c>
      <c r="N139" s="4">
        <v>5101</v>
      </c>
    </row>
    <row r="140" spans="1:14" ht="13.5" thickBot="1" x14ac:dyDescent="0.25">
      <c r="A140" s="2" t="s">
        <v>702</v>
      </c>
      <c r="B140" s="1" t="s">
        <v>701</v>
      </c>
      <c r="C140" s="2" t="s">
        <v>24</v>
      </c>
      <c r="D140" s="6">
        <v>4770</v>
      </c>
      <c r="E140" s="6">
        <v>4087</v>
      </c>
      <c r="F140" s="6">
        <v>857</v>
      </c>
      <c r="G140" s="6">
        <v>9714</v>
      </c>
      <c r="H140" s="6">
        <v>46381</v>
      </c>
      <c r="I140" s="6">
        <v>17348</v>
      </c>
      <c r="J140" s="6">
        <v>63729</v>
      </c>
      <c r="K140" s="6">
        <v>34469</v>
      </c>
      <c r="L140" s="6">
        <v>107912</v>
      </c>
      <c r="M140" s="142">
        <f t="shared" si="2"/>
        <v>26.724120851906886</v>
      </c>
      <c r="N140" s="4">
        <v>4038</v>
      </c>
    </row>
    <row r="141" spans="1:14" ht="13.5" thickBot="1" x14ac:dyDescent="0.25">
      <c r="A141" s="2" t="s">
        <v>710</v>
      </c>
      <c r="B141" s="1" t="s">
        <v>709</v>
      </c>
      <c r="C141" s="2" t="s">
        <v>24</v>
      </c>
      <c r="D141" s="6">
        <v>7684</v>
      </c>
      <c r="E141" s="6">
        <v>1399</v>
      </c>
      <c r="F141" s="6">
        <v>1679</v>
      </c>
      <c r="G141" s="6">
        <v>10762</v>
      </c>
      <c r="H141" s="6">
        <v>64544</v>
      </c>
      <c r="I141" s="6">
        <v>4937</v>
      </c>
      <c r="J141" s="6">
        <v>69481</v>
      </c>
      <c r="K141" s="6">
        <v>11406</v>
      </c>
      <c r="L141" s="6">
        <v>91649</v>
      </c>
      <c r="M141" s="142">
        <f t="shared" si="2"/>
        <v>16.264241348713398</v>
      </c>
      <c r="N141" s="4">
        <v>5635</v>
      </c>
    </row>
    <row r="142" spans="1:14" ht="13.5" thickBot="1" x14ac:dyDescent="0.25">
      <c r="A142" s="2" t="s">
        <v>732</v>
      </c>
      <c r="B142" s="1" t="s">
        <v>731</v>
      </c>
      <c r="C142" s="2" t="s">
        <v>24</v>
      </c>
      <c r="D142" s="6">
        <v>11264</v>
      </c>
      <c r="E142" s="6">
        <v>2193</v>
      </c>
      <c r="F142" s="6">
        <v>1407</v>
      </c>
      <c r="G142" s="6">
        <v>14864</v>
      </c>
      <c r="H142" s="6">
        <v>65573</v>
      </c>
      <c r="I142" s="6">
        <v>18802</v>
      </c>
      <c r="J142" s="6">
        <v>84375</v>
      </c>
      <c r="K142" s="6">
        <v>38775</v>
      </c>
      <c r="L142" s="6">
        <v>138014</v>
      </c>
      <c r="M142" s="142">
        <f t="shared" si="2"/>
        <v>34.11122095897182</v>
      </c>
      <c r="N142" s="4">
        <v>4046</v>
      </c>
    </row>
    <row r="143" spans="1:14" ht="13.5" thickBot="1" x14ac:dyDescent="0.25">
      <c r="A143" s="2" t="s">
        <v>744</v>
      </c>
      <c r="B143" s="1" t="s">
        <v>743</v>
      </c>
      <c r="C143" s="2" t="s">
        <v>24</v>
      </c>
      <c r="D143" s="6">
        <v>20849</v>
      </c>
      <c r="E143" s="6">
        <v>3325</v>
      </c>
      <c r="F143" s="6">
        <v>2150</v>
      </c>
      <c r="G143" s="6">
        <v>26324</v>
      </c>
      <c r="H143" s="6">
        <v>123240</v>
      </c>
      <c r="I143" s="6">
        <v>8219</v>
      </c>
      <c r="J143" s="6">
        <v>131459</v>
      </c>
      <c r="K143" s="6">
        <v>78635</v>
      </c>
      <c r="L143" s="6">
        <v>236418</v>
      </c>
      <c r="M143" s="142">
        <f t="shared" si="2"/>
        <v>43.149844862201128</v>
      </c>
      <c r="N143" s="4">
        <v>5479</v>
      </c>
    </row>
    <row r="144" spans="1:14" ht="13.5" thickBot="1" x14ac:dyDescent="0.25">
      <c r="A144" s="2" t="s">
        <v>753</v>
      </c>
      <c r="B144" s="1" t="s">
        <v>752</v>
      </c>
      <c r="C144" s="2" t="s">
        <v>24</v>
      </c>
      <c r="D144" s="6">
        <v>10000</v>
      </c>
      <c r="E144" s="6">
        <v>3900</v>
      </c>
      <c r="F144" s="6">
        <v>0</v>
      </c>
      <c r="G144" s="6">
        <v>13900</v>
      </c>
      <c r="H144" s="6">
        <v>38553</v>
      </c>
      <c r="I144" s="6">
        <v>3140</v>
      </c>
      <c r="J144" s="6">
        <v>41693</v>
      </c>
      <c r="K144" s="6">
        <v>17625</v>
      </c>
      <c r="L144" s="6">
        <v>73218</v>
      </c>
      <c r="M144" s="142">
        <f t="shared" si="2"/>
        <v>10.960778443113773</v>
      </c>
      <c r="N144" s="4">
        <v>6680</v>
      </c>
    </row>
    <row r="145" spans="1:14" ht="13.5" thickBot="1" x14ac:dyDescent="0.25">
      <c r="A145" s="2" t="s">
        <v>761</v>
      </c>
      <c r="B145" s="1" t="s">
        <v>760</v>
      </c>
      <c r="C145" s="2" t="s">
        <v>24</v>
      </c>
      <c r="D145" s="6">
        <v>8272</v>
      </c>
      <c r="E145" s="6">
        <v>1572</v>
      </c>
      <c r="F145" s="6">
        <v>4479</v>
      </c>
      <c r="G145" s="6">
        <v>14323</v>
      </c>
      <c r="H145" s="6">
        <v>64294</v>
      </c>
      <c r="I145" s="6">
        <v>4505</v>
      </c>
      <c r="J145" s="6">
        <v>68799</v>
      </c>
      <c r="K145" s="6">
        <v>27672</v>
      </c>
      <c r="L145" s="6">
        <v>110794</v>
      </c>
      <c r="M145" s="142">
        <f t="shared" si="2"/>
        <v>18.364661030996189</v>
      </c>
      <c r="N145" s="4">
        <v>6033</v>
      </c>
    </row>
    <row r="146" spans="1:14" ht="13.5" thickBot="1" x14ac:dyDescent="0.25">
      <c r="A146" s="2" t="s">
        <v>769</v>
      </c>
      <c r="B146" s="1" t="s">
        <v>768</v>
      </c>
      <c r="C146" s="2" t="s">
        <v>24</v>
      </c>
      <c r="D146" s="6">
        <v>8228</v>
      </c>
      <c r="E146" s="6">
        <v>8418</v>
      </c>
      <c r="F146" s="6">
        <v>2055</v>
      </c>
      <c r="G146" s="6">
        <v>18701</v>
      </c>
      <c r="H146" s="6">
        <v>59321</v>
      </c>
      <c r="I146" s="6">
        <v>4464</v>
      </c>
      <c r="J146" s="6">
        <v>63785</v>
      </c>
      <c r="K146" s="6">
        <v>52451</v>
      </c>
      <c r="L146" s="6">
        <v>134937</v>
      </c>
      <c r="M146" s="142">
        <f t="shared" si="2"/>
        <v>29.48798076923077</v>
      </c>
      <c r="N146" s="4">
        <v>4576</v>
      </c>
    </row>
    <row r="147" spans="1:14" ht="13.5" thickBot="1" x14ac:dyDescent="0.25">
      <c r="A147" s="2" t="s">
        <v>783</v>
      </c>
      <c r="B147" s="1" t="s">
        <v>782</v>
      </c>
      <c r="C147" s="2" t="s">
        <v>24</v>
      </c>
      <c r="D147" s="6">
        <v>11080</v>
      </c>
      <c r="E147" s="6">
        <v>4860</v>
      </c>
      <c r="F147" s="6">
        <v>1960</v>
      </c>
      <c r="G147" s="6">
        <v>17900</v>
      </c>
      <c r="H147" s="6">
        <v>96102</v>
      </c>
      <c r="I147" s="6">
        <v>49534</v>
      </c>
      <c r="J147" s="6">
        <v>145636</v>
      </c>
      <c r="K147" s="6">
        <v>40673</v>
      </c>
      <c r="L147" s="6">
        <v>204209</v>
      </c>
      <c r="M147" s="142">
        <f t="shared" si="2"/>
        <v>42.928105949127598</v>
      </c>
      <c r="N147" s="4">
        <v>4757</v>
      </c>
    </row>
    <row r="148" spans="1:14" ht="13.5" thickBot="1" x14ac:dyDescent="0.25">
      <c r="A148" s="2" t="s">
        <v>789</v>
      </c>
      <c r="B148" s="1" t="s">
        <v>788</v>
      </c>
      <c r="C148" s="2" t="s">
        <v>24</v>
      </c>
      <c r="D148" s="6">
        <v>4390</v>
      </c>
      <c r="E148" s="6">
        <v>334</v>
      </c>
      <c r="F148" s="6">
        <v>2000</v>
      </c>
      <c r="G148" s="6">
        <v>6724</v>
      </c>
      <c r="H148" s="6">
        <v>47388</v>
      </c>
      <c r="I148" s="6">
        <v>205</v>
      </c>
      <c r="J148" s="6">
        <v>47593</v>
      </c>
      <c r="K148" s="6">
        <v>21285</v>
      </c>
      <c r="L148" s="6">
        <v>75602</v>
      </c>
      <c r="M148" s="142">
        <f t="shared" si="2"/>
        <v>16.385348938014737</v>
      </c>
      <c r="N148" s="4">
        <v>4614</v>
      </c>
    </row>
    <row r="149" spans="1:14" ht="13.5" thickBot="1" x14ac:dyDescent="0.25">
      <c r="A149" s="2" t="s">
        <v>801</v>
      </c>
      <c r="B149" s="1" t="s">
        <v>800</v>
      </c>
      <c r="C149" s="2" t="s">
        <v>24</v>
      </c>
      <c r="D149" s="6">
        <v>32420</v>
      </c>
      <c r="E149" s="6">
        <v>10302</v>
      </c>
      <c r="F149" s="6">
        <v>4637</v>
      </c>
      <c r="G149" s="6">
        <v>47359</v>
      </c>
      <c r="H149" s="6">
        <v>147905</v>
      </c>
      <c r="I149" s="6">
        <v>31894</v>
      </c>
      <c r="J149" s="6">
        <v>179799</v>
      </c>
      <c r="K149" s="6">
        <v>105667</v>
      </c>
      <c r="L149" s="6">
        <v>332825</v>
      </c>
      <c r="M149" s="142">
        <f t="shared" si="2"/>
        <v>47.553221888841264</v>
      </c>
      <c r="N149" s="4">
        <v>6999</v>
      </c>
    </row>
    <row r="150" spans="1:14" ht="13.5" thickBot="1" x14ac:dyDescent="0.25">
      <c r="A150" s="2" t="s">
        <v>811</v>
      </c>
      <c r="B150" s="1" t="s">
        <v>810</v>
      </c>
      <c r="C150" s="2" t="s">
        <v>24</v>
      </c>
      <c r="D150" s="6">
        <v>19315</v>
      </c>
      <c r="E150" s="6">
        <v>906</v>
      </c>
      <c r="F150" s="6">
        <v>4664</v>
      </c>
      <c r="G150" s="6">
        <v>24885</v>
      </c>
      <c r="H150" s="6">
        <v>107035</v>
      </c>
      <c r="I150" s="6">
        <v>8112</v>
      </c>
      <c r="J150" s="6">
        <v>115147</v>
      </c>
      <c r="K150" s="6">
        <v>36927</v>
      </c>
      <c r="L150" s="6">
        <v>176959</v>
      </c>
      <c r="M150" s="142">
        <f t="shared" si="2"/>
        <v>36.584453173454619</v>
      </c>
      <c r="N150" s="4">
        <v>4837</v>
      </c>
    </row>
    <row r="151" spans="1:14" ht="13.5" thickBot="1" x14ac:dyDescent="0.25">
      <c r="A151" s="2" t="s">
        <v>829</v>
      </c>
      <c r="B151" s="1" t="s">
        <v>828</v>
      </c>
      <c r="C151" s="2" t="s">
        <v>24</v>
      </c>
      <c r="D151" s="6">
        <v>11309</v>
      </c>
      <c r="E151" s="6">
        <v>1155</v>
      </c>
      <c r="F151" s="6">
        <v>3677</v>
      </c>
      <c r="G151" s="6">
        <v>16141</v>
      </c>
      <c r="H151" s="6">
        <v>136593</v>
      </c>
      <c r="I151" s="6">
        <v>0</v>
      </c>
      <c r="J151" s="6">
        <v>136593</v>
      </c>
      <c r="K151" s="6">
        <v>63818</v>
      </c>
      <c r="L151" s="6">
        <v>216552</v>
      </c>
      <c r="M151" s="142">
        <f t="shared" si="2"/>
        <v>41.326717557251911</v>
      </c>
      <c r="N151" s="4">
        <v>5240</v>
      </c>
    </row>
    <row r="152" spans="1:14" ht="13.5" thickBot="1" x14ac:dyDescent="0.25">
      <c r="A152" s="2" t="s">
        <v>31</v>
      </c>
      <c r="B152" s="1" t="s">
        <v>30</v>
      </c>
      <c r="C152" s="2" t="s">
        <v>32</v>
      </c>
      <c r="D152" s="6">
        <v>27079</v>
      </c>
      <c r="E152" s="6">
        <v>5144</v>
      </c>
      <c r="F152" s="6">
        <v>4269</v>
      </c>
      <c r="G152" s="6">
        <v>36492</v>
      </c>
      <c r="H152" s="6">
        <v>94143</v>
      </c>
      <c r="I152" s="6">
        <v>23545</v>
      </c>
      <c r="J152" s="6">
        <v>117688</v>
      </c>
      <c r="K152" s="6">
        <v>60641</v>
      </c>
      <c r="L152" s="6">
        <v>214821</v>
      </c>
      <c r="M152" s="142">
        <f t="shared" si="2"/>
        <v>28.990688259109312</v>
      </c>
      <c r="N152" s="4">
        <v>7410</v>
      </c>
    </row>
    <row r="153" spans="1:14" ht="13.5" thickBot="1" x14ac:dyDescent="0.25">
      <c r="A153" s="2" t="s">
        <v>34</v>
      </c>
      <c r="B153" s="1" t="s">
        <v>33</v>
      </c>
      <c r="C153" s="2" t="s">
        <v>32</v>
      </c>
      <c r="D153" s="6">
        <v>11345</v>
      </c>
      <c r="E153" s="6">
        <v>0</v>
      </c>
      <c r="F153" s="6">
        <v>1000</v>
      </c>
      <c r="G153" s="6">
        <v>12345</v>
      </c>
      <c r="H153" s="6">
        <v>68825</v>
      </c>
      <c r="I153" s="6">
        <v>6317</v>
      </c>
      <c r="J153" s="6">
        <v>75142</v>
      </c>
      <c r="K153" s="6">
        <v>36775</v>
      </c>
      <c r="L153" s="6">
        <v>124262</v>
      </c>
      <c r="M153" s="142">
        <f t="shared" si="2"/>
        <v>10.712241379310345</v>
      </c>
      <c r="N153" s="4">
        <v>11600</v>
      </c>
    </row>
    <row r="154" spans="1:14" ht="13.5" thickBot="1" x14ac:dyDescent="0.25">
      <c r="A154" s="2" t="s">
        <v>36</v>
      </c>
      <c r="B154" s="1" t="s">
        <v>35</v>
      </c>
      <c r="C154" s="2" t="s">
        <v>32</v>
      </c>
      <c r="D154" s="6">
        <v>14727</v>
      </c>
      <c r="E154" s="6">
        <v>6490</v>
      </c>
      <c r="F154" s="6">
        <v>2467</v>
      </c>
      <c r="G154" s="6">
        <v>23684</v>
      </c>
      <c r="H154" s="6">
        <v>298423</v>
      </c>
      <c r="I154" s="6">
        <v>60451</v>
      </c>
      <c r="J154" s="6">
        <v>358874</v>
      </c>
      <c r="K154" s="6">
        <v>229892</v>
      </c>
      <c r="L154" s="6">
        <v>612450</v>
      </c>
      <c r="M154" s="142">
        <f t="shared" si="2"/>
        <v>52.938888408678366</v>
      </c>
      <c r="N154" s="4">
        <v>11569</v>
      </c>
    </row>
    <row r="155" spans="1:14" ht="13.5" thickBot="1" x14ac:dyDescent="0.25">
      <c r="A155" s="2" t="s">
        <v>38</v>
      </c>
      <c r="B155" s="1" t="s">
        <v>37</v>
      </c>
      <c r="C155" s="2" t="s">
        <v>32</v>
      </c>
      <c r="D155" s="6">
        <v>25419</v>
      </c>
      <c r="E155" s="6">
        <v>7445</v>
      </c>
      <c r="F155" s="6">
        <v>17900</v>
      </c>
      <c r="G155" s="6">
        <v>50764</v>
      </c>
      <c r="H155" s="6">
        <v>261412</v>
      </c>
      <c r="I155" s="6">
        <v>94348</v>
      </c>
      <c r="J155" s="6">
        <v>355760</v>
      </c>
      <c r="K155" s="6">
        <v>72364</v>
      </c>
      <c r="L155" s="6">
        <v>478888</v>
      </c>
      <c r="M155" s="142">
        <f t="shared" si="2"/>
        <v>49.339377704512671</v>
      </c>
      <c r="N155" s="4">
        <v>9706</v>
      </c>
    </row>
    <row r="156" spans="1:14" ht="13.5" thickBot="1" x14ac:dyDescent="0.25">
      <c r="A156" s="2" t="s">
        <v>49</v>
      </c>
      <c r="B156" s="1" t="s">
        <v>48</v>
      </c>
      <c r="C156" s="2" t="s">
        <v>32</v>
      </c>
      <c r="D156" s="6">
        <v>39679</v>
      </c>
      <c r="E156" s="6">
        <v>27743</v>
      </c>
      <c r="F156" s="6">
        <v>7623</v>
      </c>
      <c r="G156" s="6">
        <v>75045</v>
      </c>
      <c r="H156" s="6">
        <v>235193</v>
      </c>
      <c r="I156" s="6">
        <v>63887</v>
      </c>
      <c r="J156" s="6">
        <v>299080</v>
      </c>
      <c r="K156" s="6">
        <v>215572</v>
      </c>
      <c r="L156" s="6">
        <v>589697</v>
      </c>
      <c r="M156" s="142">
        <f t="shared" si="2"/>
        <v>49.5460426819022</v>
      </c>
      <c r="N156" s="4">
        <v>11902</v>
      </c>
    </row>
    <row r="157" spans="1:14" ht="13.5" thickBot="1" x14ac:dyDescent="0.25">
      <c r="A157" s="2" t="s">
        <v>57</v>
      </c>
      <c r="B157" s="1" t="s">
        <v>56</v>
      </c>
      <c r="C157" s="2" t="s">
        <v>32</v>
      </c>
      <c r="D157" s="6">
        <v>20072</v>
      </c>
      <c r="E157" s="6">
        <v>4700</v>
      </c>
      <c r="F157" s="6">
        <v>1250</v>
      </c>
      <c r="G157" s="6">
        <v>26022</v>
      </c>
      <c r="H157" s="6">
        <v>135654</v>
      </c>
      <c r="I157" s="6">
        <v>18598</v>
      </c>
      <c r="J157" s="6">
        <v>154252</v>
      </c>
      <c r="K157" s="6">
        <v>97587</v>
      </c>
      <c r="L157" s="6">
        <v>277861</v>
      </c>
      <c r="M157" s="142">
        <f t="shared" si="2"/>
        <v>25.260090909090909</v>
      </c>
      <c r="N157" s="4">
        <v>11000</v>
      </c>
    </row>
    <row r="158" spans="1:14" ht="13.5" thickBot="1" x14ac:dyDescent="0.25">
      <c r="A158" s="2" t="s">
        <v>74</v>
      </c>
      <c r="B158" s="1" t="s">
        <v>73</v>
      </c>
      <c r="C158" s="2" t="s">
        <v>32</v>
      </c>
      <c r="D158" s="6">
        <v>13919</v>
      </c>
      <c r="E158" s="6">
        <v>3480</v>
      </c>
      <c r="F158" s="6">
        <v>2660</v>
      </c>
      <c r="G158" s="6">
        <v>20059</v>
      </c>
      <c r="H158" s="6">
        <v>125989</v>
      </c>
      <c r="I158" s="6">
        <v>13188</v>
      </c>
      <c r="J158" s="6">
        <v>139177</v>
      </c>
      <c r="K158" s="6">
        <v>26146</v>
      </c>
      <c r="L158" s="6">
        <v>185382</v>
      </c>
      <c r="M158" s="142">
        <f t="shared" si="2"/>
        <v>25.848020078081429</v>
      </c>
      <c r="N158" s="4">
        <v>7172</v>
      </c>
    </row>
    <row r="159" spans="1:14" ht="13.5" thickBot="1" x14ac:dyDescent="0.25">
      <c r="A159" s="2" t="s">
        <v>84</v>
      </c>
      <c r="B159" s="1" t="s">
        <v>83</v>
      </c>
      <c r="C159" s="2" t="s">
        <v>32</v>
      </c>
      <c r="D159" s="6">
        <v>4000</v>
      </c>
      <c r="E159" s="6">
        <v>2000</v>
      </c>
      <c r="F159" s="6">
        <v>0</v>
      </c>
      <c r="G159" s="6">
        <v>6000</v>
      </c>
      <c r="H159" s="6">
        <v>34570</v>
      </c>
      <c r="I159" s="6">
        <v>3213</v>
      </c>
      <c r="J159" s="6">
        <v>37783</v>
      </c>
      <c r="K159" s="6">
        <v>27890</v>
      </c>
      <c r="L159" s="6">
        <v>71673</v>
      </c>
      <c r="M159" s="142">
        <f t="shared" si="2"/>
        <v>6.1797723745473361</v>
      </c>
      <c r="N159" s="4">
        <v>11598</v>
      </c>
    </row>
    <row r="160" spans="1:14" ht="13.5" thickBot="1" x14ac:dyDescent="0.25">
      <c r="A160" s="2" t="s">
        <v>104</v>
      </c>
      <c r="B160" s="1" t="s">
        <v>103</v>
      </c>
      <c r="C160" s="2" t="s">
        <v>32</v>
      </c>
      <c r="D160" s="6">
        <v>22775</v>
      </c>
      <c r="E160" s="6">
        <v>10515</v>
      </c>
      <c r="F160" s="6">
        <v>6410</v>
      </c>
      <c r="G160" s="6">
        <v>39700</v>
      </c>
      <c r="H160" s="6">
        <v>171350</v>
      </c>
      <c r="I160" s="6">
        <v>27155</v>
      </c>
      <c r="J160" s="6">
        <v>198505</v>
      </c>
      <c r="K160" s="6">
        <v>75804</v>
      </c>
      <c r="L160" s="6">
        <v>314009</v>
      </c>
      <c r="M160" s="142">
        <f t="shared" si="2"/>
        <v>34.14254648254866</v>
      </c>
      <c r="N160" s="4">
        <v>9197</v>
      </c>
    </row>
    <row r="161" spans="1:14" ht="13.5" thickBot="1" x14ac:dyDescent="0.25">
      <c r="A161" s="2" t="s">
        <v>112</v>
      </c>
      <c r="B161" s="1" t="s">
        <v>111</v>
      </c>
      <c r="C161" s="2" t="s">
        <v>32</v>
      </c>
      <c r="D161" s="6">
        <v>49609</v>
      </c>
      <c r="E161" s="6">
        <v>5514</v>
      </c>
      <c r="F161" s="6">
        <v>2050</v>
      </c>
      <c r="G161" s="6">
        <v>57173</v>
      </c>
      <c r="H161" s="6">
        <v>210202</v>
      </c>
      <c r="I161" s="6">
        <v>117479</v>
      </c>
      <c r="J161" s="6">
        <v>327681</v>
      </c>
      <c r="K161" s="6">
        <v>97390</v>
      </c>
      <c r="L161" s="6">
        <v>482244</v>
      </c>
      <c r="M161" s="142">
        <f t="shared" si="2"/>
        <v>40.781733615221988</v>
      </c>
      <c r="N161" s="4">
        <v>11825</v>
      </c>
    </row>
    <row r="162" spans="1:14" ht="13.5" thickBot="1" x14ac:dyDescent="0.25">
      <c r="A162" s="2" t="s">
        <v>116</v>
      </c>
      <c r="B162" s="1" t="s">
        <v>115</v>
      </c>
      <c r="C162" s="2" t="s">
        <v>32</v>
      </c>
      <c r="D162" s="6">
        <v>43175</v>
      </c>
      <c r="E162" s="6">
        <v>4026</v>
      </c>
      <c r="F162" s="6">
        <v>11221</v>
      </c>
      <c r="G162" s="6">
        <v>58422</v>
      </c>
      <c r="H162" s="6">
        <v>251278</v>
      </c>
      <c r="I162" s="6">
        <v>45865</v>
      </c>
      <c r="J162" s="6">
        <v>297143</v>
      </c>
      <c r="K162" s="6">
        <v>186374</v>
      </c>
      <c r="L162" s="6">
        <v>541939</v>
      </c>
      <c r="M162" s="142">
        <f t="shared" si="2"/>
        <v>74.998477719346809</v>
      </c>
      <c r="N162" s="4">
        <v>7226</v>
      </c>
    </row>
    <row r="163" spans="1:14" ht="13.5" thickBot="1" x14ac:dyDescent="0.25">
      <c r="A163" s="2" t="s">
        <v>134</v>
      </c>
      <c r="B163" s="1" t="s">
        <v>133</v>
      </c>
      <c r="C163" s="2" t="s">
        <v>32</v>
      </c>
      <c r="D163" s="6">
        <v>33299</v>
      </c>
      <c r="E163" s="6">
        <v>0</v>
      </c>
      <c r="F163" s="6">
        <v>1500</v>
      </c>
      <c r="G163" s="6">
        <v>34799</v>
      </c>
      <c r="H163" s="6">
        <v>214799</v>
      </c>
      <c r="I163" s="6">
        <v>69954</v>
      </c>
      <c r="J163" s="6">
        <v>284753</v>
      </c>
      <c r="K163" s="6">
        <v>108654</v>
      </c>
      <c r="L163" s="6">
        <v>428206</v>
      </c>
      <c r="M163" s="142">
        <f t="shared" si="2"/>
        <v>42.438652130822597</v>
      </c>
      <c r="N163" s="4">
        <v>10090</v>
      </c>
    </row>
    <row r="164" spans="1:14" ht="13.5" thickBot="1" x14ac:dyDescent="0.25">
      <c r="A164" s="2" t="s">
        <v>136</v>
      </c>
      <c r="B164" s="1" t="s">
        <v>135</v>
      </c>
      <c r="C164" s="2" t="s">
        <v>32</v>
      </c>
      <c r="D164" s="6">
        <v>23782</v>
      </c>
      <c r="E164" s="6">
        <v>4852</v>
      </c>
      <c r="F164" s="6">
        <v>1752</v>
      </c>
      <c r="G164" s="6">
        <v>30386</v>
      </c>
      <c r="H164" s="6">
        <v>136932</v>
      </c>
      <c r="I164" s="6">
        <v>14774</v>
      </c>
      <c r="J164" s="6">
        <v>151706</v>
      </c>
      <c r="K164" s="6">
        <v>313143</v>
      </c>
      <c r="L164" s="6">
        <v>495235</v>
      </c>
      <c r="M164" s="142">
        <f t="shared" si="2"/>
        <v>51.028851107676452</v>
      </c>
      <c r="N164" s="4">
        <v>9705</v>
      </c>
    </row>
    <row r="165" spans="1:14" ht="13.5" thickBot="1" x14ac:dyDescent="0.25">
      <c r="A165" s="2" t="s">
        <v>144</v>
      </c>
      <c r="B165" s="1" t="s">
        <v>143</v>
      </c>
      <c r="C165" s="2" t="s">
        <v>32</v>
      </c>
      <c r="D165" s="6">
        <v>10832</v>
      </c>
      <c r="E165" s="6">
        <v>1299</v>
      </c>
      <c r="F165" s="6">
        <v>2311</v>
      </c>
      <c r="G165" s="6">
        <v>14442</v>
      </c>
      <c r="H165" s="6">
        <v>75126</v>
      </c>
      <c r="I165" s="6">
        <v>14282</v>
      </c>
      <c r="J165" s="6">
        <v>89408</v>
      </c>
      <c r="K165" s="6">
        <v>9085</v>
      </c>
      <c r="L165" s="6">
        <v>112935</v>
      </c>
      <c r="M165" s="142">
        <f t="shared" si="2"/>
        <v>12.992982052462034</v>
      </c>
      <c r="N165" s="4">
        <v>8692</v>
      </c>
    </row>
    <row r="166" spans="1:14" ht="13.5" thickBot="1" x14ac:dyDescent="0.25">
      <c r="A166" s="2" t="s">
        <v>152</v>
      </c>
      <c r="B166" s="1" t="s">
        <v>151</v>
      </c>
      <c r="C166" s="2" t="s">
        <v>32</v>
      </c>
      <c r="D166" s="6">
        <v>31718</v>
      </c>
      <c r="E166" s="6">
        <v>9144</v>
      </c>
      <c r="F166" s="6">
        <v>16685</v>
      </c>
      <c r="G166" s="6">
        <v>57547</v>
      </c>
      <c r="H166" s="6">
        <v>262505</v>
      </c>
      <c r="I166" s="6">
        <v>49794</v>
      </c>
      <c r="J166" s="6">
        <v>312299</v>
      </c>
      <c r="K166" s="6">
        <v>154137</v>
      </c>
      <c r="L166" s="6">
        <v>523983</v>
      </c>
      <c r="M166" s="142">
        <f t="shared" si="2"/>
        <v>44.28150088734894</v>
      </c>
      <c r="N166" s="4">
        <v>11833</v>
      </c>
    </row>
    <row r="167" spans="1:14" ht="13.5" thickBot="1" x14ac:dyDescent="0.25">
      <c r="A167" s="2" t="s">
        <v>156</v>
      </c>
      <c r="B167" s="1" t="s">
        <v>155</v>
      </c>
      <c r="C167" s="2" t="s">
        <v>32</v>
      </c>
      <c r="D167" s="6">
        <v>13253</v>
      </c>
      <c r="E167" s="6">
        <v>2981</v>
      </c>
      <c r="F167" s="6">
        <v>3985</v>
      </c>
      <c r="G167" s="6">
        <v>20219</v>
      </c>
      <c r="H167" s="6">
        <v>120408</v>
      </c>
      <c r="I167" s="6">
        <v>10776</v>
      </c>
      <c r="J167" s="6">
        <v>131184</v>
      </c>
      <c r="K167" s="6">
        <v>53997</v>
      </c>
      <c r="L167" s="6">
        <v>205400</v>
      </c>
      <c r="M167" s="142">
        <f t="shared" si="2"/>
        <v>18.918669982499768</v>
      </c>
      <c r="N167" s="4">
        <v>10857</v>
      </c>
    </row>
    <row r="168" spans="1:14" ht="13.5" thickBot="1" x14ac:dyDescent="0.25">
      <c r="A168" s="2" t="s">
        <v>160</v>
      </c>
      <c r="B168" s="1" t="s">
        <v>159</v>
      </c>
      <c r="C168" s="2" t="s">
        <v>32</v>
      </c>
      <c r="D168" s="6">
        <v>12704</v>
      </c>
      <c r="E168" s="6">
        <v>1638</v>
      </c>
      <c r="F168" s="6">
        <v>2723</v>
      </c>
      <c r="G168" s="6">
        <v>17065</v>
      </c>
      <c r="H168" s="6">
        <v>100894</v>
      </c>
      <c r="I168" s="6">
        <v>25947</v>
      </c>
      <c r="J168" s="6">
        <v>126841</v>
      </c>
      <c r="K168" s="6">
        <v>49507</v>
      </c>
      <c r="L168" s="6">
        <v>193413</v>
      </c>
      <c r="M168" s="142">
        <f t="shared" si="2"/>
        <v>20.395760835178741</v>
      </c>
      <c r="N168" s="4">
        <v>9483</v>
      </c>
    </row>
    <row r="169" spans="1:14" ht="13.5" thickBot="1" x14ac:dyDescent="0.25">
      <c r="A169" s="2" t="s">
        <v>162</v>
      </c>
      <c r="B169" s="1" t="s">
        <v>161</v>
      </c>
      <c r="C169" s="2" t="s">
        <v>32</v>
      </c>
      <c r="D169" s="6">
        <v>25132</v>
      </c>
      <c r="E169" s="6">
        <v>6091</v>
      </c>
      <c r="F169" s="6">
        <v>6725</v>
      </c>
      <c r="G169" s="6">
        <v>37948</v>
      </c>
      <c r="H169" s="6">
        <v>107063</v>
      </c>
      <c r="I169" s="6">
        <v>63779</v>
      </c>
      <c r="J169" s="6">
        <v>170842</v>
      </c>
      <c r="K169" s="6">
        <v>52784</v>
      </c>
      <c r="L169" s="6">
        <v>261574</v>
      </c>
      <c r="M169" s="142">
        <f t="shared" si="2"/>
        <v>31.679060191352793</v>
      </c>
      <c r="N169" s="4">
        <v>8257</v>
      </c>
    </row>
    <row r="170" spans="1:14" ht="13.5" thickBot="1" x14ac:dyDescent="0.25">
      <c r="A170" s="2" t="s">
        <v>168</v>
      </c>
      <c r="B170" s="1" t="s">
        <v>167</v>
      </c>
      <c r="C170" s="2" t="s">
        <v>32</v>
      </c>
      <c r="D170" s="6">
        <v>51695</v>
      </c>
      <c r="E170" s="6">
        <v>17969</v>
      </c>
      <c r="F170" s="6">
        <v>15291</v>
      </c>
      <c r="G170" s="6">
        <v>84955</v>
      </c>
      <c r="H170" s="6">
        <v>451926</v>
      </c>
      <c r="I170" s="6">
        <v>105685</v>
      </c>
      <c r="J170" s="6">
        <v>557611</v>
      </c>
      <c r="K170" s="6">
        <v>359522</v>
      </c>
      <c r="L170" s="6">
        <v>1002088</v>
      </c>
      <c r="M170" s="142">
        <f t="shared" si="2"/>
        <v>102.14964322120285</v>
      </c>
      <c r="N170" s="4">
        <v>9810</v>
      </c>
    </row>
    <row r="171" spans="1:14" ht="13.5" thickBot="1" x14ac:dyDescent="0.25">
      <c r="A171" s="2" t="s">
        <v>204</v>
      </c>
      <c r="B171" s="1" t="s">
        <v>203</v>
      </c>
      <c r="C171" s="2" t="s">
        <v>32</v>
      </c>
      <c r="D171" s="6">
        <v>26245</v>
      </c>
      <c r="E171" s="6">
        <v>14440</v>
      </c>
      <c r="F171" s="6">
        <v>10669</v>
      </c>
      <c r="G171" s="6">
        <v>51354</v>
      </c>
      <c r="H171" s="6">
        <v>181060</v>
      </c>
      <c r="I171" s="6">
        <v>27572</v>
      </c>
      <c r="J171" s="6">
        <v>208632</v>
      </c>
      <c r="K171" s="6">
        <v>154580</v>
      </c>
      <c r="L171" s="6">
        <v>414566</v>
      </c>
      <c r="M171" s="142">
        <f t="shared" si="2"/>
        <v>34.949081099308714</v>
      </c>
      <c r="N171" s="4">
        <v>11862</v>
      </c>
    </row>
    <row r="172" spans="1:14" ht="13.5" thickBot="1" x14ac:dyDescent="0.25">
      <c r="A172" s="2" t="s">
        <v>229</v>
      </c>
      <c r="B172" s="1" t="s">
        <v>228</v>
      </c>
      <c r="C172" s="2" t="s">
        <v>32</v>
      </c>
      <c r="D172" s="6">
        <v>8250</v>
      </c>
      <c r="E172" s="6">
        <v>4206</v>
      </c>
      <c r="F172" s="6">
        <v>0</v>
      </c>
      <c r="G172" s="6">
        <v>12456</v>
      </c>
      <c r="H172" s="6">
        <v>96000</v>
      </c>
      <c r="I172" s="6">
        <v>5747</v>
      </c>
      <c r="J172" s="6">
        <v>101747</v>
      </c>
      <c r="K172" s="6">
        <v>38134</v>
      </c>
      <c r="L172" s="6">
        <v>152337</v>
      </c>
      <c r="M172" s="142">
        <f t="shared" si="2"/>
        <v>15.201776269833349</v>
      </c>
      <c r="N172" s="4">
        <v>10021</v>
      </c>
    </row>
    <row r="173" spans="1:14" ht="13.5" thickBot="1" x14ac:dyDescent="0.25">
      <c r="A173" s="2" t="s">
        <v>243</v>
      </c>
      <c r="B173" s="1" t="s">
        <v>242</v>
      </c>
      <c r="C173" s="2" t="s">
        <v>32</v>
      </c>
      <c r="D173" s="6">
        <v>10146</v>
      </c>
      <c r="E173" s="6">
        <v>8704</v>
      </c>
      <c r="F173" s="6">
        <v>25598</v>
      </c>
      <c r="G173" s="6">
        <v>44448</v>
      </c>
      <c r="H173" s="6">
        <v>95587</v>
      </c>
      <c r="I173" s="6">
        <v>0</v>
      </c>
      <c r="J173" s="6">
        <v>95587</v>
      </c>
      <c r="K173" s="6">
        <v>27757</v>
      </c>
      <c r="L173" s="6">
        <v>167792</v>
      </c>
      <c r="M173" s="142">
        <f t="shared" si="2"/>
        <v>22.555719854819195</v>
      </c>
      <c r="N173" s="4">
        <v>7439</v>
      </c>
    </row>
    <row r="174" spans="1:14" ht="13.5" thickBot="1" x14ac:dyDescent="0.25">
      <c r="A174" s="2" t="s">
        <v>257</v>
      </c>
      <c r="B174" s="1" t="s">
        <v>256</v>
      </c>
      <c r="C174" s="2" t="s">
        <v>32</v>
      </c>
      <c r="D174" s="6">
        <v>20552</v>
      </c>
      <c r="E174" s="6">
        <v>164</v>
      </c>
      <c r="F174" s="6">
        <v>2000</v>
      </c>
      <c r="G174" s="6">
        <v>22716</v>
      </c>
      <c r="H174" s="6">
        <v>116972</v>
      </c>
      <c r="I174" s="6">
        <v>24469</v>
      </c>
      <c r="J174" s="6">
        <v>141441</v>
      </c>
      <c r="K174" s="6">
        <v>72678</v>
      </c>
      <c r="L174" s="6">
        <v>236835</v>
      </c>
      <c r="M174" s="142">
        <f t="shared" si="2"/>
        <v>32.039366883116884</v>
      </c>
      <c r="N174" s="4">
        <v>7392</v>
      </c>
    </row>
    <row r="175" spans="1:14" ht="13.5" thickBot="1" x14ac:dyDescent="0.25">
      <c r="A175" s="2" t="s">
        <v>261</v>
      </c>
      <c r="B175" s="1" t="s">
        <v>260</v>
      </c>
      <c r="C175" s="2" t="s">
        <v>32</v>
      </c>
      <c r="D175" s="6">
        <v>29350</v>
      </c>
      <c r="E175" s="6">
        <v>5170</v>
      </c>
      <c r="F175" s="6">
        <v>0</v>
      </c>
      <c r="G175" s="6">
        <v>34520</v>
      </c>
      <c r="H175" s="6">
        <v>70735</v>
      </c>
      <c r="I175" s="6">
        <v>11348</v>
      </c>
      <c r="J175" s="6">
        <v>82083</v>
      </c>
      <c r="K175" s="6">
        <v>104000</v>
      </c>
      <c r="L175" s="6">
        <v>220603</v>
      </c>
      <c r="M175" s="142">
        <f t="shared" si="2"/>
        <v>23.192073170731707</v>
      </c>
      <c r="N175" s="4">
        <v>9512</v>
      </c>
    </row>
    <row r="176" spans="1:14" ht="13.5" thickBot="1" x14ac:dyDescent="0.25">
      <c r="A176" s="2" t="s">
        <v>273</v>
      </c>
      <c r="B176" s="1" t="s">
        <v>272</v>
      </c>
      <c r="C176" s="2" t="s">
        <v>32</v>
      </c>
      <c r="D176" s="6">
        <v>12210</v>
      </c>
      <c r="E176" s="6">
        <v>1570</v>
      </c>
      <c r="F176" s="6">
        <v>2362</v>
      </c>
      <c r="G176" s="6">
        <v>16142</v>
      </c>
      <c r="H176" s="6">
        <v>70729</v>
      </c>
      <c r="I176" s="6">
        <v>1200</v>
      </c>
      <c r="J176" s="6">
        <v>71929</v>
      </c>
      <c r="K176" s="6">
        <v>29218</v>
      </c>
      <c r="L176" s="6">
        <v>117289</v>
      </c>
      <c r="M176" s="142">
        <f t="shared" si="2"/>
        <v>15.19878191006868</v>
      </c>
      <c r="N176" s="4">
        <v>7717</v>
      </c>
    </row>
    <row r="177" spans="1:14" ht="13.5" thickBot="1" x14ac:dyDescent="0.25">
      <c r="A177" s="2" t="s">
        <v>297</v>
      </c>
      <c r="B177" s="1" t="s">
        <v>296</v>
      </c>
      <c r="C177" s="2" t="s">
        <v>32</v>
      </c>
      <c r="D177" s="6">
        <v>21115</v>
      </c>
      <c r="E177" s="6">
        <v>7269</v>
      </c>
      <c r="F177" s="6">
        <v>7462</v>
      </c>
      <c r="G177" s="6">
        <v>35846</v>
      </c>
      <c r="H177" s="6">
        <v>190709</v>
      </c>
      <c r="I177" s="6">
        <v>46544</v>
      </c>
      <c r="J177" s="6">
        <v>237253</v>
      </c>
      <c r="K177" s="6">
        <v>129425</v>
      </c>
      <c r="L177" s="6">
        <v>402524</v>
      </c>
      <c r="M177" s="142">
        <f t="shared" si="2"/>
        <v>51.447341513292436</v>
      </c>
      <c r="N177" s="4">
        <v>7824</v>
      </c>
    </row>
    <row r="178" spans="1:14" ht="13.5" thickBot="1" x14ac:dyDescent="0.25">
      <c r="A178" s="2" t="s">
        <v>309</v>
      </c>
      <c r="B178" s="1" t="s">
        <v>308</v>
      </c>
      <c r="C178" s="2" t="s">
        <v>32</v>
      </c>
      <c r="D178" s="6">
        <v>13367</v>
      </c>
      <c r="E178" s="6">
        <v>2624</v>
      </c>
      <c r="F178" s="6">
        <v>2000</v>
      </c>
      <c r="G178" s="6">
        <v>17991</v>
      </c>
      <c r="H178" s="6">
        <v>60589</v>
      </c>
      <c r="I178" s="6">
        <v>0</v>
      </c>
      <c r="J178" s="6">
        <v>60589</v>
      </c>
      <c r="K178" s="6">
        <v>49681</v>
      </c>
      <c r="L178" s="6">
        <v>128261</v>
      </c>
      <c r="M178" s="142">
        <f t="shared" si="2"/>
        <v>13.53535246939637</v>
      </c>
      <c r="N178" s="4">
        <v>9476</v>
      </c>
    </row>
    <row r="179" spans="1:14" ht="13.5" thickBot="1" x14ac:dyDescent="0.25">
      <c r="A179" s="2" t="s">
        <v>315</v>
      </c>
      <c r="B179" s="1" t="s">
        <v>314</v>
      </c>
      <c r="C179" s="2" t="s">
        <v>32</v>
      </c>
      <c r="D179" s="6">
        <v>29392</v>
      </c>
      <c r="E179" s="6">
        <v>2904</v>
      </c>
      <c r="F179" s="6">
        <v>2723</v>
      </c>
      <c r="G179" s="6">
        <v>35019</v>
      </c>
      <c r="H179" s="6">
        <v>211169</v>
      </c>
      <c r="I179" s="6">
        <v>38784</v>
      </c>
      <c r="J179" s="6">
        <v>249953</v>
      </c>
      <c r="K179" s="6">
        <v>99109</v>
      </c>
      <c r="L179" s="6">
        <v>384081</v>
      </c>
      <c r="M179" s="142">
        <f t="shared" si="2"/>
        <v>34.970499863425296</v>
      </c>
      <c r="N179" s="4">
        <v>10983</v>
      </c>
    </row>
    <row r="180" spans="1:14" ht="13.5" thickBot="1" x14ac:dyDescent="0.25">
      <c r="A180" s="2" t="s">
        <v>323</v>
      </c>
      <c r="B180" s="1" t="s">
        <v>322</v>
      </c>
      <c r="C180" s="2" t="s">
        <v>32</v>
      </c>
      <c r="D180" s="6">
        <v>17750</v>
      </c>
      <c r="E180" s="6">
        <v>0</v>
      </c>
      <c r="F180" s="6">
        <v>1825</v>
      </c>
      <c r="G180" s="6">
        <v>19575</v>
      </c>
      <c r="H180" s="6">
        <v>52103</v>
      </c>
      <c r="I180" s="6">
        <v>16337</v>
      </c>
      <c r="J180" s="6">
        <v>68440</v>
      </c>
      <c r="K180" s="6">
        <v>16014</v>
      </c>
      <c r="L180" s="6">
        <v>104029</v>
      </c>
      <c r="M180" s="142">
        <f t="shared" si="2"/>
        <v>9.2560726043242276</v>
      </c>
      <c r="N180" s="4">
        <v>11239</v>
      </c>
    </row>
    <row r="181" spans="1:14" ht="13.5" thickBot="1" x14ac:dyDescent="0.25">
      <c r="A181" s="2" t="s">
        <v>337</v>
      </c>
      <c r="B181" s="1" t="s">
        <v>336</v>
      </c>
      <c r="C181" s="2" t="s">
        <v>32</v>
      </c>
      <c r="D181" s="6">
        <v>22308</v>
      </c>
      <c r="E181" s="6">
        <v>6602</v>
      </c>
      <c r="F181" s="6">
        <v>10730</v>
      </c>
      <c r="G181" s="6">
        <v>39640</v>
      </c>
      <c r="H181" s="6">
        <v>173521</v>
      </c>
      <c r="I181" s="6">
        <v>13354</v>
      </c>
      <c r="J181" s="6">
        <v>186875</v>
      </c>
      <c r="K181" s="6">
        <v>143638</v>
      </c>
      <c r="L181" s="6">
        <v>370153</v>
      </c>
      <c r="M181" s="142">
        <f t="shared" si="2"/>
        <v>41.707380281690142</v>
      </c>
      <c r="N181" s="4">
        <v>8875</v>
      </c>
    </row>
    <row r="182" spans="1:14" ht="13.5" thickBot="1" x14ac:dyDescent="0.25">
      <c r="A182" s="2" t="s">
        <v>357</v>
      </c>
      <c r="B182" s="1" t="s">
        <v>356</v>
      </c>
      <c r="C182" s="2" t="s">
        <v>32</v>
      </c>
      <c r="D182" s="6">
        <v>25336</v>
      </c>
      <c r="E182" s="6">
        <v>14426</v>
      </c>
      <c r="F182" s="6">
        <v>3175</v>
      </c>
      <c r="G182" s="6">
        <v>42937</v>
      </c>
      <c r="H182" s="6">
        <v>126570</v>
      </c>
      <c r="I182" s="6">
        <v>22980</v>
      </c>
      <c r="J182" s="6">
        <v>149550</v>
      </c>
      <c r="K182" s="6">
        <v>78340</v>
      </c>
      <c r="L182" s="6">
        <v>270827</v>
      </c>
      <c r="M182" s="142">
        <f t="shared" si="2"/>
        <v>33.299766383868189</v>
      </c>
      <c r="N182" s="4">
        <v>8133</v>
      </c>
    </row>
    <row r="183" spans="1:14" ht="13.5" thickBot="1" x14ac:dyDescent="0.25">
      <c r="A183" s="2" t="s">
        <v>365</v>
      </c>
      <c r="B183" s="1" t="s">
        <v>364</v>
      </c>
      <c r="C183" s="2" t="s">
        <v>32</v>
      </c>
      <c r="D183" s="6">
        <v>15254</v>
      </c>
      <c r="E183" s="6">
        <v>8500</v>
      </c>
      <c r="F183" s="6">
        <v>1750</v>
      </c>
      <c r="G183" s="6">
        <v>25504</v>
      </c>
      <c r="H183" s="6">
        <v>140242</v>
      </c>
      <c r="I183" s="6">
        <v>20509</v>
      </c>
      <c r="J183" s="6">
        <v>160751</v>
      </c>
      <c r="K183" s="6">
        <v>95565</v>
      </c>
      <c r="L183" s="6">
        <v>281820</v>
      </c>
      <c r="M183" s="142">
        <f t="shared" si="2"/>
        <v>39.498248072880166</v>
      </c>
      <c r="N183" s="4">
        <v>7135</v>
      </c>
    </row>
    <row r="184" spans="1:14" ht="13.5" thickBot="1" x14ac:dyDescent="0.25">
      <c r="A184" s="2" t="s">
        <v>373</v>
      </c>
      <c r="B184" s="1" t="s">
        <v>372</v>
      </c>
      <c r="C184" s="2" t="s">
        <v>32</v>
      </c>
      <c r="D184" s="6">
        <v>20020</v>
      </c>
      <c r="E184" s="6">
        <v>2500</v>
      </c>
      <c r="F184" s="6">
        <v>1176</v>
      </c>
      <c r="G184" s="6">
        <v>23696</v>
      </c>
      <c r="H184" s="6">
        <v>131880</v>
      </c>
      <c r="I184" s="6">
        <v>33575</v>
      </c>
      <c r="J184" s="6">
        <v>165455</v>
      </c>
      <c r="K184" s="6">
        <v>67935</v>
      </c>
      <c r="L184" s="6">
        <v>257086</v>
      </c>
      <c r="M184" s="142">
        <f t="shared" si="2"/>
        <v>21.658466722830667</v>
      </c>
      <c r="N184" s="4">
        <v>11870</v>
      </c>
    </row>
    <row r="185" spans="1:14" ht="13.5" thickBot="1" x14ac:dyDescent="0.25">
      <c r="A185" s="2" t="s">
        <v>393</v>
      </c>
      <c r="B185" s="1" t="s">
        <v>392</v>
      </c>
      <c r="C185" s="2" t="s">
        <v>32</v>
      </c>
      <c r="D185" s="6">
        <v>25247</v>
      </c>
      <c r="E185" s="6">
        <v>13066</v>
      </c>
      <c r="F185" s="6">
        <v>23242</v>
      </c>
      <c r="G185" s="6">
        <v>61555</v>
      </c>
      <c r="H185" s="6">
        <v>256052</v>
      </c>
      <c r="I185" s="6">
        <v>116433</v>
      </c>
      <c r="J185" s="6">
        <v>372485</v>
      </c>
      <c r="K185" s="6">
        <v>41203</v>
      </c>
      <c r="L185" s="6">
        <v>475243</v>
      </c>
      <c r="M185" s="142">
        <f t="shared" si="2"/>
        <v>54.226722957553626</v>
      </c>
      <c r="N185" s="4">
        <v>8764</v>
      </c>
    </row>
    <row r="186" spans="1:14" ht="13.5" thickBot="1" x14ac:dyDescent="0.25">
      <c r="A186" s="2" t="s">
        <v>425</v>
      </c>
      <c r="B186" s="1" t="s">
        <v>424</v>
      </c>
      <c r="C186" s="2" t="s">
        <v>32</v>
      </c>
      <c r="D186" s="6">
        <v>5700</v>
      </c>
      <c r="E186" s="6">
        <v>2596</v>
      </c>
      <c r="F186" s="6">
        <v>2000</v>
      </c>
      <c r="G186" s="6">
        <v>10296</v>
      </c>
      <c r="H186" s="6">
        <v>41828</v>
      </c>
      <c r="I186" s="6">
        <v>26415</v>
      </c>
      <c r="J186" s="6">
        <v>68243</v>
      </c>
      <c r="K186" s="6">
        <v>8409</v>
      </c>
      <c r="L186" s="6">
        <v>86948</v>
      </c>
      <c r="M186" s="142">
        <f t="shared" si="2"/>
        <v>9.0997383568812147</v>
      </c>
      <c r="N186" s="4">
        <v>9555</v>
      </c>
    </row>
    <row r="187" spans="1:14" ht="13.5" thickBot="1" x14ac:dyDescent="0.25">
      <c r="A187" s="2" t="s">
        <v>423</v>
      </c>
      <c r="B187" s="1" t="s">
        <v>422</v>
      </c>
      <c r="C187" s="2" t="s">
        <v>32</v>
      </c>
      <c r="D187" s="6">
        <v>2625</v>
      </c>
      <c r="E187" s="6">
        <v>427</v>
      </c>
      <c r="F187" s="6">
        <v>1172</v>
      </c>
      <c r="G187" s="6">
        <v>4224</v>
      </c>
      <c r="H187" s="6">
        <v>21414</v>
      </c>
      <c r="I187" s="6">
        <v>10745</v>
      </c>
      <c r="J187" s="6">
        <v>32159</v>
      </c>
      <c r="K187" s="6">
        <v>23571</v>
      </c>
      <c r="L187" s="6">
        <v>59954</v>
      </c>
      <c r="M187" s="142">
        <f t="shared" si="2"/>
        <v>6.289101017518095</v>
      </c>
      <c r="N187" s="4">
        <v>9533</v>
      </c>
    </row>
    <row r="188" spans="1:14" ht="13.5" thickBot="1" x14ac:dyDescent="0.25">
      <c r="A188" s="2" t="s">
        <v>447</v>
      </c>
      <c r="B188" s="1" t="s">
        <v>446</v>
      </c>
      <c r="C188" s="2" t="s">
        <v>32</v>
      </c>
      <c r="D188" s="6">
        <v>11902</v>
      </c>
      <c r="E188" s="6">
        <v>7390</v>
      </c>
      <c r="F188" s="6">
        <v>5827</v>
      </c>
      <c r="G188" s="6">
        <v>25119</v>
      </c>
      <c r="H188" s="6">
        <v>188546</v>
      </c>
      <c r="I188" s="6">
        <v>43834</v>
      </c>
      <c r="J188" s="6">
        <v>232380</v>
      </c>
      <c r="K188" s="6">
        <v>60436</v>
      </c>
      <c r="L188" s="6">
        <v>317935</v>
      </c>
      <c r="M188" s="142">
        <f t="shared" si="2"/>
        <v>30.366284622731616</v>
      </c>
      <c r="N188" s="4">
        <v>10470</v>
      </c>
    </row>
    <row r="189" spans="1:14" ht="13.5" thickBot="1" x14ac:dyDescent="0.25">
      <c r="A189" s="2" t="s">
        <v>461</v>
      </c>
      <c r="B189" s="1" t="s">
        <v>460</v>
      </c>
      <c r="C189" s="2" t="s">
        <v>32</v>
      </c>
      <c r="D189" s="6">
        <v>7500</v>
      </c>
      <c r="E189" s="6">
        <v>200</v>
      </c>
      <c r="F189" s="6">
        <v>2000</v>
      </c>
      <c r="G189" s="6">
        <v>9700</v>
      </c>
      <c r="H189" s="6">
        <v>170899</v>
      </c>
      <c r="I189" s="6">
        <v>86266</v>
      </c>
      <c r="J189" s="6">
        <v>257165</v>
      </c>
      <c r="K189" s="6">
        <v>55773</v>
      </c>
      <c r="L189" s="6">
        <v>322638</v>
      </c>
      <c r="M189" s="142">
        <f t="shared" si="2"/>
        <v>27.859252223469475</v>
      </c>
      <c r="N189" s="4">
        <v>11581</v>
      </c>
    </row>
    <row r="190" spans="1:14" ht="13.5" thickBot="1" x14ac:dyDescent="0.25">
      <c r="A190" s="2" t="s">
        <v>484</v>
      </c>
      <c r="B190" s="1" t="s">
        <v>483</v>
      </c>
      <c r="C190" s="2" t="s">
        <v>32</v>
      </c>
      <c r="D190" s="6">
        <v>26881</v>
      </c>
      <c r="E190" s="6">
        <v>7654</v>
      </c>
      <c r="F190" s="6">
        <v>3650</v>
      </c>
      <c r="G190" s="6">
        <v>38185</v>
      </c>
      <c r="H190" s="6">
        <v>134447</v>
      </c>
      <c r="I190" s="6">
        <v>7096</v>
      </c>
      <c r="J190" s="6">
        <v>141543</v>
      </c>
      <c r="K190" s="6">
        <v>90708</v>
      </c>
      <c r="L190" s="6">
        <v>270436</v>
      </c>
      <c r="M190" s="142">
        <f t="shared" si="2"/>
        <v>36.985229759299784</v>
      </c>
      <c r="N190" s="4">
        <v>7312</v>
      </c>
    </row>
    <row r="191" spans="1:14" ht="13.5" thickBot="1" x14ac:dyDescent="0.25">
      <c r="A191" s="2" t="s">
        <v>490</v>
      </c>
      <c r="B191" s="1" t="s">
        <v>489</v>
      </c>
      <c r="C191" s="2" t="s">
        <v>32</v>
      </c>
      <c r="D191" s="6">
        <v>14612</v>
      </c>
      <c r="E191" s="6">
        <v>4698</v>
      </c>
      <c r="F191" s="6">
        <v>1300</v>
      </c>
      <c r="G191" s="6">
        <v>20610</v>
      </c>
      <c r="H191" s="6">
        <v>80122</v>
      </c>
      <c r="I191" s="6">
        <v>69854</v>
      </c>
      <c r="J191" s="6">
        <v>149976</v>
      </c>
      <c r="K191" s="6">
        <v>3611</v>
      </c>
      <c r="L191" s="6">
        <v>174197</v>
      </c>
      <c r="M191" s="142">
        <f t="shared" si="2"/>
        <v>20.876917545541705</v>
      </c>
      <c r="N191" s="4">
        <v>8344</v>
      </c>
    </row>
    <row r="192" spans="1:14" ht="13.5" thickBot="1" x14ac:dyDescent="0.25">
      <c r="A192" s="2" t="s">
        <v>510</v>
      </c>
      <c r="B192" s="1" t="s">
        <v>509</v>
      </c>
      <c r="C192" s="2" t="s">
        <v>32</v>
      </c>
      <c r="D192" s="6">
        <v>9960</v>
      </c>
      <c r="E192" s="6">
        <v>550</v>
      </c>
      <c r="F192" s="6">
        <v>0</v>
      </c>
      <c r="G192" s="6">
        <v>10510</v>
      </c>
      <c r="H192" s="6">
        <v>75000</v>
      </c>
      <c r="I192" s="6">
        <v>0</v>
      </c>
      <c r="J192" s="6">
        <v>75000</v>
      </c>
      <c r="K192" s="6">
        <v>70956</v>
      </c>
      <c r="L192" s="6">
        <v>156466</v>
      </c>
      <c r="M192" s="142">
        <f t="shared" si="2"/>
        <v>14.602519832011199</v>
      </c>
      <c r="N192" s="4">
        <v>10715</v>
      </c>
    </row>
    <row r="193" spans="1:14" ht="13.5" thickBot="1" x14ac:dyDescent="0.25">
      <c r="A193" s="2" t="s">
        <v>522</v>
      </c>
      <c r="B193" s="1" t="s">
        <v>521</v>
      </c>
      <c r="C193" s="2" t="s">
        <v>32</v>
      </c>
      <c r="D193" s="6">
        <v>20044</v>
      </c>
      <c r="E193" s="6">
        <v>2973</v>
      </c>
      <c r="F193" s="6">
        <v>1814</v>
      </c>
      <c r="G193" s="6">
        <v>24831</v>
      </c>
      <c r="H193" s="6">
        <v>133875</v>
      </c>
      <c r="I193" s="6">
        <v>11363</v>
      </c>
      <c r="J193" s="6">
        <v>145238</v>
      </c>
      <c r="K193" s="6">
        <v>44149</v>
      </c>
      <c r="L193" s="6">
        <v>214218</v>
      </c>
      <c r="M193" s="142">
        <f t="shared" si="2"/>
        <v>28.85479525862069</v>
      </c>
      <c r="N193" s="4">
        <v>7424</v>
      </c>
    </row>
    <row r="194" spans="1:14" ht="13.5" thickBot="1" x14ac:dyDescent="0.25">
      <c r="A194" s="2" t="s">
        <v>528</v>
      </c>
      <c r="B194" s="1" t="s">
        <v>527</v>
      </c>
      <c r="C194" s="2" t="s">
        <v>32</v>
      </c>
      <c r="D194" s="6">
        <v>11672</v>
      </c>
      <c r="E194" s="6">
        <v>0</v>
      </c>
      <c r="F194" s="6">
        <v>2000</v>
      </c>
      <c r="G194" s="6">
        <v>13672</v>
      </c>
      <c r="H194" s="6">
        <v>187505</v>
      </c>
      <c r="I194" s="6">
        <v>51793</v>
      </c>
      <c r="J194" s="6">
        <v>239298</v>
      </c>
      <c r="K194" s="6">
        <v>80621</v>
      </c>
      <c r="L194" s="6">
        <v>333591</v>
      </c>
      <c r="M194" s="142">
        <f t="shared" si="2"/>
        <v>34.161904761904765</v>
      </c>
      <c r="N194" s="4">
        <v>9765</v>
      </c>
    </row>
    <row r="195" spans="1:14" ht="13.5" thickBot="1" x14ac:dyDescent="0.25">
      <c r="A195" s="2" t="s">
        <v>538</v>
      </c>
      <c r="B195" s="1" t="s">
        <v>537</v>
      </c>
      <c r="C195" s="2" t="s">
        <v>32</v>
      </c>
      <c r="D195" s="6">
        <v>16057</v>
      </c>
      <c r="E195" s="6">
        <v>478</v>
      </c>
      <c r="F195" s="6">
        <v>5064</v>
      </c>
      <c r="G195" s="6">
        <v>21599</v>
      </c>
      <c r="H195" s="6">
        <v>59732</v>
      </c>
      <c r="I195" s="6">
        <v>36618</v>
      </c>
      <c r="J195" s="6">
        <v>96350</v>
      </c>
      <c r="K195" s="6">
        <v>55604</v>
      </c>
      <c r="L195" s="6">
        <v>173553</v>
      </c>
      <c r="M195" s="142">
        <f t="shared" si="2"/>
        <v>18.035228099345318</v>
      </c>
      <c r="N195" s="4">
        <v>9623</v>
      </c>
    </row>
    <row r="196" spans="1:14" ht="13.5" thickBot="1" x14ac:dyDescent="0.25">
      <c r="A196" s="2" t="s">
        <v>542</v>
      </c>
      <c r="B196" s="1" t="s">
        <v>541</v>
      </c>
      <c r="C196" s="2" t="s">
        <v>32</v>
      </c>
      <c r="D196" s="6">
        <v>7079</v>
      </c>
      <c r="E196" s="6">
        <v>1618</v>
      </c>
      <c r="F196" s="6">
        <v>825</v>
      </c>
      <c r="G196" s="6">
        <v>9522</v>
      </c>
      <c r="H196" s="6">
        <v>45246</v>
      </c>
      <c r="I196" s="6">
        <v>5284</v>
      </c>
      <c r="J196" s="6">
        <v>50530</v>
      </c>
      <c r="K196" s="6">
        <v>17436</v>
      </c>
      <c r="L196" s="6">
        <v>77488</v>
      </c>
      <c r="M196" s="142">
        <f t="shared" ref="M196:M259" si="3">L196/N196</f>
        <v>10.121212121212121</v>
      </c>
      <c r="N196" s="4">
        <v>7656</v>
      </c>
    </row>
    <row r="197" spans="1:14" ht="13.5" thickBot="1" x14ac:dyDescent="0.25">
      <c r="A197" s="2" t="s">
        <v>554</v>
      </c>
      <c r="B197" s="1" t="s">
        <v>553</v>
      </c>
      <c r="C197" s="2" t="s">
        <v>32</v>
      </c>
      <c r="D197" s="6">
        <v>11682</v>
      </c>
      <c r="E197" s="6">
        <v>6385</v>
      </c>
      <c r="F197" s="6">
        <v>10304</v>
      </c>
      <c r="G197" s="6">
        <v>28371</v>
      </c>
      <c r="H197" s="6">
        <v>272523</v>
      </c>
      <c r="I197" s="6">
        <v>42221</v>
      </c>
      <c r="J197" s="6">
        <v>314744</v>
      </c>
      <c r="K197" s="6">
        <v>95748</v>
      </c>
      <c r="L197" s="6">
        <v>438863</v>
      </c>
      <c r="M197" s="142">
        <f t="shared" si="3"/>
        <v>52.533277471869766</v>
      </c>
      <c r="N197" s="4">
        <v>8354</v>
      </c>
    </row>
    <row r="198" spans="1:14" ht="13.5" thickBot="1" x14ac:dyDescent="0.25">
      <c r="A198" s="2" t="s">
        <v>572</v>
      </c>
      <c r="B198" s="1" t="s">
        <v>571</v>
      </c>
      <c r="C198" s="2" t="s">
        <v>32</v>
      </c>
      <c r="D198" s="6">
        <v>22224</v>
      </c>
      <c r="E198" s="6">
        <v>1235</v>
      </c>
      <c r="F198" s="6">
        <v>2613</v>
      </c>
      <c r="G198" s="6">
        <v>26072</v>
      </c>
      <c r="H198" s="6">
        <v>108116</v>
      </c>
      <c r="I198" s="6">
        <v>14629</v>
      </c>
      <c r="J198" s="6">
        <v>122745</v>
      </c>
      <c r="K198" s="6">
        <v>104614</v>
      </c>
      <c r="L198" s="6">
        <v>253431</v>
      </c>
      <c r="M198" s="142">
        <f t="shared" si="3"/>
        <v>29.332291666666666</v>
      </c>
      <c r="N198" s="4">
        <v>8640</v>
      </c>
    </row>
    <row r="199" spans="1:14" ht="13.5" thickBot="1" x14ac:dyDescent="0.25">
      <c r="A199" s="2" t="s">
        <v>582</v>
      </c>
      <c r="B199" s="1" t="s">
        <v>581</v>
      </c>
      <c r="C199" s="2" t="s">
        <v>32</v>
      </c>
      <c r="D199" s="6">
        <v>29585</v>
      </c>
      <c r="E199" s="6">
        <v>8616</v>
      </c>
      <c r="F199" s="6">
        <v>7869</v>
      </c>
      <c r="G199" s="6">
        <v>46070</v>
      </c>
      <c r="H199" s="6">
        <v>317930</v>
      </c>
      <c r="I199" s="6">
        <v>28181</v>
      </c>
      <c r="J199" s="6">
        <v>346111</v>
      </c>
      <c r="K199" s="6">
        <v>137942</v>
      </c>
      <c r="L199" s="6">
        <v>530123</v>
      </c>
      <c r="M199" s="142">
        <f t="shared" si="3"/>
        <v>53.177149162403452</v>
      </c>
      <c r="N199" s="4">
        <v>9969</v>
      </c>
    </row>
    <row r="200" spans="1:14" ht="13.5" thickBot="1" x14ac:dyDescent="0.25">
      <c r="A200" s="2" t="s">
        <v>586</v>
      </c>
      <c r="B200" s="1" t="s">
        <v>585</v>
      </c>
      <c r="C200" s="2" t="s">
        <v>32</v>
      </c>
      <c r="D200" s="6">
        <v>17446</v>
      </c>
      <c r="E200" s="6">
        <v>0</v>
      </c>
      <c r="F200" s="6">
        <v>2555</v>
      </c>
      <c r="G200" s="6">
        <v>20001</v>
      </c>
      <c r="H200" s="6">
        <v>91978</v>
      </c>
      <c r="I200" s="6">
        <v>7008</v>
      </c>
      <c r="J200" s="6">
        <v>98986</v>
      </c>
      <c r="K200" s="6">
        <v>69083</v>
      </c>
      <c r="L200" s="6">
        <v>188070</v>
      </c>
      <c r="M200" s="142">
        <f t="shared" si="3"/>
        <v>26.737276087574639</v>
      </c>
      <c r="N200" s="4">
        <v>7034</v>
      </c>
    </row>
    <row r="201" spans="1:14" ht="13.5" thickBot="1" x14ac:dyDescent="0.25">
      <c r="A201" s="2" t="s">
        <v>596</v>
      </c>
      <c r="B201" s="1" t="s">
        <v>595</v>
      </c>
      <c r="C201" s="2" t="s">
        <v>32</v>
      </c>
      <c r="D201" s="6">
        <v>13429</v>
      </c>
      <c r="E201" s="6">
        <v>3000</v>
      </c>
      <c r="F201" s="6">
        <v>2900</v>
      </c>
      <c r="G201" s="6">
        <v>19329</v>
      </c>
      <c r="H201" s="6">
        <v>150000</v>
      </c>
      <c r="I201" s="6">
        <v>25000</v>
      </c>
      <c r="J201" s="6">
        <v>175000</v>
      </c>
      <c r="K201" s="6">
        <v>181958</v>
      </c>
      <c r="L201" s="6">
        <v>376287</v>
      </c>
      <c r="M201" s="142">
        <f t="shared" si="3"/>
        <v>42.600135854183179</v>
      </c>
      <c r="N201" s="4">
        <v>8833</v>
      </c>
    </row>
    <row r="202" spans="1:14" ht="13.5" thickBot="1" x14ac:dyDescent="0.25">
      <c r="A202" s="2" t="s">
        <v>604</v>
      </c>
      <c r="B202" s="1" t="s">
        <v>603</v>
      </c>
      <c r="C202" s="2" t="s">
        <v>32</v>
      </c>
      <c r="D202" s="6">
        <v>21362</v>
      </c>
      <c r="E202" s="6">
        <v>13678</v>
      </c>
      <c r="F202" s="6">
        <v>22121</v>
      </c>
      <c r="G202" s="6">
        <v>57161</v>
      </c>
      <c r="H202" s="6">
        <v>282960</v>
      </c>
      <c r="I202" s="6">
        <v>99017</v>
      </c>
      <c r="J202" s="6">
        <v>381977</v>
      </c>
      <c r="K202" s="6">
        <v>136618</v>
      </c>
      <c r="L202" s="6">
        <v>575756</v>
      </c>
      <c r="M202" s="142">
        <f t="shared" si="3"/>
        <v>50.052681909067196</v>
      </c>
      <c r="N202" s="4">
        <v>11503</v>
      </c>
    </row>
    <row r="203" spans="1:14" ht="13.5" thickBot="1" x14ac:dyDescent="0.25">
      <c r="A203" s="2" t="s">
        <v>630</v>
      </c>
      <c r="B203" s="1" t="s">
        <v>629</v>
      </c>
      <c r="C203" s="2" t="s">
        <v>32</v>
      </c>
      <c r="D203" s="6">
        <v>23698</v>
      </c>
      <c r="E203" s="6">
        <v>1851</v>
      </c>
      <c r="F203" s="6">
        <v>1940</v>
      </c>
      <c r="G203" s="6">
        <v>27489</v>
      </c>
      <c r="H203" s="6">
        <v>182015</v>
      </c>
      <c r="I203" s="6">
        <v>15316</v>
      </c>
      <c r="J203" s="6">
        <v>197331</v>
      </c>
      <c r="K203" s="6">
        <v>59546</v>
      </c>
      <c r="L203" s="6">
        <v>284366</v>
      </c>
      <c r="M203" s="142">
        <f t="shared" si="3"/>
        <v>31.983578900011246</v>
      </c>
      <c r="N203" s="4">
        <v>8891</v>
      </c>
    </row>
    <row r="204" spans="1:14" ht="13.5" thickBot="1" x14ac:dyDescent="0.25">
      <c r="A204" s="2" t="s">
        <v>638</v>
      </c>
      <c r="B204" s="1" t="s">
        <v>637</v>
      </c>
      <c r="C204" s="2" t="s">
        <v>32</v>
      </c>
      <c r="D204" s="6">
        <v>9000</v>
      </c>
      <c r="E204" s="6">
        <v>2186</v>
      </c>
      <c r="F204" s="6">
        <v>800</v>
      </c>
      <c r="G204" s="6">
        <v>11986</v>
      </c>
      <c r="H204" s="6">
        <v>78681</v>
      </c>
      <c r="I204" s="6">
        <v>6849</v>
      </c>
      <c r="J204" s="6">
        <v>85530</v>
      </c>
      <c r="K204" s="6">
        <v>61106</v>
      </c>
      <c r="L204" s="6">
        <v>158622</v>
      </c>
      <c r="M204" s="142">
        <f t="shared" si="3"/>
        <v>18.56748214912794</v>
      </c>
      <c r="N204" s="4">
        <v>8543</v>
      </c>
    </row>
    <row r="205" spans="1:14" ht="13.5" thickBot="1" x14ac:dyDescent="0.25">
      <c r="A205" s="2" t="s">
        <v>646</v>
      </c>
      <c r="B205" s="1" t="s">
        <v>645</v>
      </c>
      <c r="C205" s="2" t="s">
        <v>32</v>
      </c>
      <c r="D205" s="6">
        <v>34189</v>
      </c>
      <c r="E205" s="6">
        <v>10623</v>
      </c>
      <c r="F205" s="6">
        <v>14905</v>
      </c>
      <c r="G205" s="6">
        <v>59717</v>
      </c>
      <c r="H205" s="6">
        <v>180931</v>
      </c>
      <c r="I205" s="6">
        <v>19080</v>
      </c>
      <c r="J205" s="6">
        <v>200011</v>
      </c>
      <c r="K205" s="6">
        <v>158573</v>
      </c>
      <c r="L205" s="6">
        <v>418301</v>
      </c>
      <c r="M205" s="142">
        <f t="shared" si="3"/>
        <v>55.184828496042215</v>
      </c>
      <c r="N205" s="4">
        <v>7580</v>
      </c>
    </row>
    <row r="206" spans="1:14" ht="13.5" thickBot="1" x14ac:dyDescent="0.25">
      <c r="A206" s="2" t="s">
        <v>656</v>
      </c>
      <c r="B206" s="1" t="s">
        <v>655</v>
      </c>
      <c r="C206" s="2" t="s">
        <v>32</v>
      </c>
      <c r="D206" s="6">
        <v>3784</v>
      </c>
      <c r="E206" s="6">
        <v>92</v>
      </c>
      <c r="F206" s="6">
        <v>1000</v>
      </c>
      <c r="G206" s="6">
        <v>4876</v>
      </c>
      <c r="H206" s="6">
        <v>84280</v>
      </c>
      <c r="I206" s="6">
        <v>7906</v>
      </c>
      <c r="J206" s="6">
        <v>92186</v>
      </c>
      <c r="K206" s="6">
        <v>75740</v>
      </c>
      <c r="L206" s="6">
        <v>172802</v>
      </c>
      <c r="M206" s="142">
        <f t="shared" si="3"/>
        <v>21.865367581930911</v>
      </c>
      <c r="N206" s="4">
        <v>7903</v>
      </c>
    </row>
    <row r="207" spans="1:14" ht="13.5" thickBot="1" x14ac:dyDescent="0.25">
      <c r="A207" s="2" t="s">
        <v>674</v>
      </c>
      <c r="B207" s="1" t="s">
        <v>673</v>
      </c>
      <c r="C207" s="2" t="s">
        <v>32</v>
      </c>
      <c r="D207" s="6">
        <v>14959</v>
      </c>
      <c r="E207" s="6">
        <v>8469</v>
      </c>
      <c r="F207" s="6">
        <v>5000</v>
      </c>
      <c r="G207" s="6">
        <v>28428</v>
      </c>
      <c r="H207" s="6">
        <v>232850</v>
      </c>
      <c r="I207" s="6">
        <v>15317</v>
      </c>
      <c r="J207" s="6">
        <v>248167</v>
      </c>
      <c r="K207" s="6">
        <v>116853</v>
      </c>
      <c r="L207" s="6">
        <v>393448</v>
      </c>
      <c r="M207" s="142">
        <f t="shared" si="3"/>
        <v>34.272473867595821</v>
      </c>
      <c r="N207" s="4">
        <v>11480</v>
      </c>
    </row>
    <row r="208" spans="1:14" ht="13.5" thickBot="1" x14ac:dyDescent="0.25">
      <c r="A208" s="2" t="s">
        <v>676</v>
      </c>
      <c r="B208" s="1" t="s">
        <v>675</v>
      </c>
      <c r="C208" s="2" t="s">
        <v>32</v>
      </c>
      <c r="D208" s="6">
        <v>22803</v>
      </c>
      <c r="E208" s="6">
        <v>5155</v>
      </c>
      <c r="F208" s="6">
        <v>3253</v>
      </c>
      <c r="G208" s="6">
        <v>31211</v>
      </c>
      <c r="H208" s="6">
        <v>99483</v>
      </c>
      <c r="I208" s="6">
        <v>7462</v>
      </c>
      <c r="J208" s="6">
        <v>106945</v>
      </c>
      <c r="K208" s="6">
        <v>48390</v>
      </c>
      <c r="L208" s="6">
        <v>186546</v>
      </c>
      <c r="M208" s="142">
        <f t="shared" si="3"/>
        <v>23.92228776609387</v>
      </c>
      <c r="N208" s="4">
        <v>7798</v>
      </c>
    </row>
    <row r="209" spans="1:14" ht="13.5" thickBot="1" x14ac:dyDescent="0.25">
      <c r="A209" s="2" t="s">
        <v>684</v>
      </c>
      <c r="B209" s="1" t="s">
        <v>683</v>
      </c>
      <c r="C209" s="2" t="s">
        <v>32</v>
      </c>
      <c r="D209" s="6">
        <v>20295</v>
      </c>
      <c r="E209" s="6">
        <v>4930</v>
      </c>
      <c r="F209" s="6">
        <v>2600</v>
      </c>
      <c r="G209" s="6">
        <v>27825</v>
      </c>
      <c r="H209" s="6">
        <v>97358</v>
      </c>
      <c r="I209" s="6">
        <v>2037</v>
      </c>
      <c r="J209" s="6">
        <v>99395</v>
      </c>
      <c r="K209" s="6">
        <v>27484</v>
      </c>
      <c r="L209" s="6">
        <v>154704</v>
      </c>
      <c r="M209" s="142">
        <f t="shared" si="3"/>
        <v>21.028136468669295</v>
      </c>
      <c r="N209" s="4">
        <v>7357</v>
      </c>
    </row>
    <row r="210" spans="1:14" ht="13.5" thickBot="1" x14ac:dyDescent="0.25">
      <c r="A210" s="2" t="s">
        <v>690</v>
      </c>
      <c r="B210" s="1" t="s">
        <v>689</v>
      </c>
      <c r="C210" s="2" t="s">
        <v>32</v>
      </c>
      <c r="D210" s="6">
        <v>44059</v>
      </c>
      <c r="E210" s="6">
        <v>0</v>
      </c>
      <c r="F210" s="6">
        <v>1226</v>
      </c>
      <c r="G210" s="6">
        <v>45285</v>
      </c>
      <c r="H210" s="6">
        <v>123307</v>
      </c>
      <c r="I210" s="6">
        <v>12714</v>
      </c>
      <c r="J210" s="6">
        <v>136021</v>
      </c>
      <c r="K210" s="6">
        <v>97408</v>
      </c>
      <c r="L210" s="6">
        <v>278714</v>
      </c>
      <c r="M210" s="142">
        <f t="shared" si="3"/>
        <v>39.238913135294943</v>
      </c>
      <c r="N210" s="4">
        <v>7103</v>
      </c>
    </row>
    <row r="211" spans="1:14" ht="13.5" thickBot="1" x14ac:dyDescent="0.25">
      <c r="A211" s="2" t="s">
        <v>694</v>
      </c>
      <c r="B211" s="1" t="s">
        <v>693</v>
      </c>
      <c r="C211" s="2" t="s">
        <v>32</v>
      </c>
      <c r="D211" s="6">
        <v>40000</v>
      </c>
      <c r="E211" s="6">
        <v>9000</v>
      </c>
      <c r="F211" s="6">
        <v>9000</v>
      </c>
      <c r="G211" s="6">
        <v>58000</v>
      </c>
      <c r="H211" s="6">
        <v>175000</v>
      </c>
      <c r="I211" s="6">
        <v>5500</v>
      </c>
      <c r="J211" s="6">
        <v>180500</v>
      </c>
      <c r="K211" s="6">
        <v>147200</v>
      </c>
      <c r="L211" s="6">
        <v>385700</v>
      </c>
      <c r="M211" s="142">
        <f t="shared" si="3"/>
        <v>38.504542278127182</v>
      </c>
      <c r="N211" s="4">
        <v>10017</v>
      </c>
    </row>
    <row r="212" spans="1:14" ht="13.5" thickBot="1" x14ac:dyDescent="0.25">
      <c r="A212" s="2" t="s">
        <v>700</v>
      </c>
      <c r="B212" s="1" t="s">
        <v>699</v>
      </c>
      <c r="C212" s="2" t="s">
        <v>32</v>
      </c>
      <c r="D212" s="6">
        <v>22756</v>
      </c>
      <c r="E212" s="6">
        <v>2881</v>
      </c>
      <c r="F212" s="6">
        <v>3812</v>
      </c>
      <c r="G212" s="6">
        <v>29449</v>
      </c>
      <c r="H212" s="6">
        <v>125186</v>
      </c>
      <c r="I212" s="6">
        <v>61116</v>
      </c>
      <c r="J212" s="6">
        <v>186302</v>
      </c>
      <c r="K212" s="6">
        <v>58364</v>
      </c>
      <c r="L212" s="6">
        <v>274115</v>
      </c>
      <c r="M212" s="142">
        <f t="shared" si="3"/>
        <v>37.694581958195819</v>
      </c>
      <c r="N212" s="4">
        <v>7272</v>
      </c>
    </row>
    <row r="213" spans="1:14" ht="13.5" thickBot="1" x14ac:dyDescent="0.25">
      <c r="A213" s="2" t="s">
        <v>706</v>
      </c>
      <c r="B213" s="1" t="s">
        <v>705</v>
      </c>
      <c r="C213" s="2" t="s">
        <v>32</v>
      </c>
      <c r="D213" s="6">
        <v>15474</v>
      </c>
      <c r="E213" s="6">
        <v>2078</v>
      </c>
      <c r="F213" s="6">
        <v>6997</v>
      </c>
      <c r="G213" s="6">
        <v>24549</v>
      </c>
      <c r="H213" s="6">
        <v>177832</v>
      </c>
      <c r="I213" s="6">
        <v>32836</v>
      </c>
      <c r="J213" s="6">
        <v>210668</v>
      </c>
      <c r="K213" s="6">
        <v>58921</v>
      </c>
      <c r="L213" s="6">
        <v>294138</v>
      </c>
      <c r="M213" s="142">
        <f t="shared" si="3"/>
        <v>25.853740001757934</v>
      </c>
      <c r="N213" s="4">
        <v>11377</v>
      </c>
    </row>
    <row r="214" spans="1:14" ht="13.5" thickBot="1" x14ac:dyDescent="0.25">
      <c r="A214" s="2" t="s">
        <v>718</v>
      </c>
      <c r="B214" s="1" t="s">
        <v>717</v>
      </c>
      <c r="C214" s="2" t="s">
        <v>32</v>
      </c>
      <c r="D214" s="6">
        <v>25348</v>
      </c>
      <c r="E214" s="6">
        <v>623</v>
      </c>
      <c r="F214" s="6">
        <v>3200</v>
      </c>
      <c r="G214" s="6">
        <v>29171</v>
      </c>
      <c r="H214" s="6">
        <v>212172</v>
      </c>
      <c r="I214" s="6">
        <v>37553</v>
      </c>
      <c r="J214" s="6">
        <v>249725</v>
      </c>
      <c r="K214" s="6">
        <v>79024</v>
      </c>
      <c r="L214" s="6">
        <v>357920</v>
      </c>
      <c r="M214" s="142">
        <f t="shared" si="3"/>
        <v>42.68065823992368</v>
      </c>
      <c r="N214" s="4">
        <v>8386</v>
      </c>
    </row>
    <row r="215" spans="1:14" ht="13.5" thickBot="1" x14ac:dyDescent="0.25">
      <c r="A215" s="2" t="s">
        <v>724</v>
      </c>
      <c r="B215" s="1" t="s">
        <v>723</v>
      </c>
      <c r="C215" s="2" t="s">
        <v>32</v>
      </c>
      <c r="D215" s="6">
        <v>19985</v>
      </c>
      <c r="E215" s="6">
        <v>3300</v>
      </c>
      <c r="F215" s="6">
        <v>15609</v>
      </c>
      <c r="G215" s="6">
        <v>38894</v>
      </c>
      <c r="H215" s="6">
        <v>135345</v>
      </c>
      <c r="I215" s="6">
        <v>11415</v>
      </c>
      <c r="J215" s="6">
        <v>146760</v>
      </c>
      <c r="K215" s="6">
        <v>40616</v>
      </c>
      <c r="L215" s="6">
        <v>226270</v>
      </c>
      <c r="M215" s="142">
        <f t="shared" si="3"/>
        <v>24.83754116355653</v>
      </c>
      <c r="N215" s="4">
        <v>9110</v>
      </c>
    </row>
    <row r="216" spans="1:14" ht="13.5" thickBot="1" x14ac:dyDescent="0.25">
      <c r="A216" s="2" t="s">
        <v>726</v>
      </c>
      <c r="B216" s="1" t="s">
        <v>725</v>
      </c>
      <c r="C216" s="2" t="s">
        <v>32</v>
      </c>
      <c r="D216" s="6">
        <v>33994</v>
      </c>
      <c r="E216" s="6">
        <v>12347</v>
      </c>
      <c r="F216" s="6">
        <v>5585</v>
      </c>
      <c r="G216" s="6">
        <v>51926</v>
      </c>
      <c r="H216" s="6">
        <v>216501</v>
      </c>
      <c r="I216" s="6">
        <v>112448</v>
      </c>
      <c r="J216" s="6">
        <v>328949</v>
      </c>
      <c r="K216" s="6">
        <v>79447</v>
      </c>
      <c r="L216" s="6">
        <v>460322</v>
      </c>
      <c r="M216" s="142">
        <f t="shared" si="3"/>
        <v>47.72649040953862</v>
      </c>
      <c r="N216" s="4">
        <v>9645</v>
      </c>
    </row>
    <row r="217" spans="1:14" ht="13.5" thickBot="1" x14ac:dyDescent="0.25">
      <c r="A217" s="2" t="s">
        <v>742</v>
      </c>
      <c r="B217" s="1" t="s">
        <v>741</v>
      </c>
      <c r="C217" s="2" t="s">
        <v>32</v>
      </c>
      <c r="D217" s="6">
        <v>19109</v>
      </c>
      <c r="E217" s="6">
        <v>0</v>
      </c>
      <c r="F217" s="6">
        <v>2103</v>
      </c>
      <c r="G217" s="6">
        <v>21212</v>
      </c>
      <c r="H217" s="6">
        <v>138170</v>
      </c>
      <c r="I217" s="6">
        <v>9000</v>
      </c>
      <c r="J217" s="6">
        <v>147170</v>
      </c>
      <c r="K217" s="6">
        <v>45763</v>
      </c>
      <c r="L217" s="6">
        <v>214145</v>
      </c>
      <c r="M217" s="142">
        <f t="shared" si="3"/>
        <v>23.023868401247178</v>
      </c>
      <c r="N217" s="4">
        <v>9301</v>
      </c>
    </row>
    <row r="218" spans="1:14" ht="13.5" thickBot="1" x14ac:dyDescent="0.25">
      <c r="A218" s="2" t="s">
        <v>747</v>
      </c>
      <c r="B218" s="1" t="s">
        <v>746</v>
      </c>
      <c r="C218" s="2" t="s">
        <v>32</v>
      </c>
      <c r="D218" s="6">
        <v>15959</v>
      </c>
      <c r="E218" s="6">
        <v>3436</v>
      </c>
      <c r="F218" s="6">
        <v>400</v>
      </c>
      <c r="G218" s="6">
        <v>19795</v>
      </c>
      <c r="H218" s="6">
        <v>107752</v>
      </c>
      <c r="I218" s="6">
        <v>5365</v>
      </c>
      <c r="J218" s="6">
        <v>113117</v>
      </c>
      <c r="K218" s="6">
        <v>28092</v>
      </c>
      <c r="L218" s="6">
        <v>161004</v>
      </c>
      <c r="M218" s="142">
        <f t="shared" si="3"/>
        <v>20.507451280091708</v>
      </c>
      <c r="N218" s="4">
        <v>7851</v>
      </c>
    </row>
    <row r="219" spans="1:14" ht="13.5" thickBot="1" x14ac:dyDescent="0.25">
      <c r="A219" s="2" t="s">
        <v>749</v>
      </c>
      <c r="B219" s="1" t="s">
        <v>748</v>
      </c>
      <c r="C219" s="2" t="s">
        <v>32</v>
      </c>
      <c r="D219" s="6">
        <v>22754</v>
      </c>
      <c r="E219" s="6">
        <v>9335</v>
      </c>
      <c r="F219" s="6">
        <v>3210</v>
      </c>
      <c r="G219" s="6">
        <v>35299</v>
      </c>
      <c r="H219" s="6">
        <v>185493</v>
      </c>
      <c r="I219" s="6">
        <v>3600</v>
      </c>
      <c r="J219" s="6">
        <v>189093</v>
      </c>
      <c r="K219" s="6">
        <v>126744</v>
      </c>
      <c r="L219" s="6">
        <v>351136</v>
      </c>
      <c r="M219" s="142">
        <f t="shared" si="3"/>
        <v>34.257170731707319</v>
      </c>
      <c r="N219" s="4">
        <v>10250</v>
      </c>
    </row>
    <row r="220" spans="1:14" ht="13.5" thickBot="1" x14ac:dyDescent="0.25">
      <c r="A220" s="2" t="s">
        <v>759</v>
      </c>
      <c r="B220" s="1" t="s">
        <v>758</v>
      </c>
      <c r="C220" s="2" t="s">
        <v>32</v>
      </c>
      <c r="D220" s="6">
        <v>11964</v>
      </c>
      <c r="E220" s="6">
        <v>1384</v>
      </c>
      <c r="F220" s="6">
        <v>2994</v>
      </c>
      <c r="G220" s="6">
        <v>16342</v>
      </c>
      <c r="H220" s="6">
        <v>96737</v>
      </c>
      <c r="I220" s="6">
        <v>17430</v>
      </c>
      <c r="J220" s="6">
        <v>114167</v>
      </c>
      <c r="K220" s="6">
        <v>57493</v>
      </c>
      <c r="L220" s="6">
        <v>188002</v>
      </c>
      <c r="M220" s="142">
        <f t="shared" si="3"/>
        <v>17.632901894578879</v>
      </c>
      <c r="N220" s="4">
        <v>10662</v>
      </c>
    </row>
    <row r="221" spans="1:14" ht="13.5" thickBot="1" x14ac:dyDescent="0.25">
      <c r="A221" s="2" t="s">
        <v>763</v>
      </c>
      <c r="B221" s="1" t="s">
        <v>762</v>
      </c>
      <c r="C221" s="2" t="s">
        <v>32</v>
      </c>
      <c r="D221" s="6">
        <v>39939</v>
      </c>
      <c r="E221" s="6">
        <v>6027</v>
      </c>
      <c r="F221" s="6">
        <v>3061</v>
      </c>
      <c r="G221" s="6">
        <v>49027</v>
      </c>
      <c r="H221" s="6">
        <v>187395</v>
      </c>
      <c r="I221" s="6">
        <v>31697</v>
      </c>
      <c r="J221" s="6">
        <v>219092</v>
      </c>
      <c r="K221" s="6">
        <v>60651</v>
      </c>
      <c r="L221" s="6">
        <v>328770</v>
      </c>
      <c r="M221" s="142">
        <f t="shared" si="3"/>
        <v>27.431789737171464</v>
      </c>
      <c r="N221" s="4">
        <v>11985</v>
      </c>
    </row>
    <row r="222" spans="1:14" ht="13.5" thickBot="1" x14ac:dyDescent="0.25">
      <c r="A222" s="2" t="s">
        <v>765</v>
      </c>
      <c r="B222" s="1" t="s">
        <v>764</v>
      </c>
      <c r="C222" s="2" t="s">
        <v>32</v>
      </c>
      <c r="D222" s="6">
        <v>14378</v>
      </c>
      <c r="E222" s="6">
        <v>1848</v>
      </c>
      <c r="F222" s="6">
        <v>3035</v>
      </c>
      <c r="G222" s="6">
        <v>19261</v>
      </c>
      <c r="H222" s="6">
        <v>69515</v>
      </c>
      <c r="I222" s="6">
        <v>7670</v>
      </c>
      <c r="J222" s="6">
        <v>77185</v>
      </c>
      <c r="K222" s="6">
        <v>50561</v>
      </c>
      <c r="L222" s="6">
        <v>147007</v>
      </c>
      <c r="M222" s="142">
        <f t="shared" si="3"/>
        <v>18.044310789247575</v>
      </c>
      <c r="N222" s="4">
        <v>8147</v>
      </c>
    </row>
    <row r="223" spans="1:14" ht="13.5" thickBot="1" x14ac:dyDescent="0.25">
      <c r="A223" s="2" t="s">
        <v>773</v>
      </c>
      <c r="B223" s="1" t="s">
        <v>772</v>
      </c>
      <c r="C223" s="2" t="s">
        <v>32</v>
      </c>
      <c r="D223" s="6">
        <v>20982</v>
      </c>
      <c r="E223" s="6">
        <v>10529</v>
      </c>
      <c r="F223" s="6">
        <v>2097</v>
      </c>
      <c r="G223" s="6">
        <v>33608</v>
      </c>
      <c r="H223" s="6">
        <v>131618</v>
      </c>
      <c r="I223" s="6">
        <v>10069</v>
      </c>
      <c r="J223" s="6">
        <v>141687</v>
      </c>
      <c r="K223" s="6">
        <v>81221</v>
      </c>
      <c r="L223" s="6">
        <v>256516</v>
      </c>
      <c r="M223" s="142">
        <f t="shared" si="3"/>
        <v>26.406835495161623</v>
      </c>
      <c r="N223" s="4">
        <v>9714</v>
      </c>
    </row>
    <row r="224" spans="1:14" ht="13.5" thickBot="1" x14ac:dyDescent="0.25">
      <c r="A224" s="2" t="s">
        <v>803</v>
      </c>
      <c r="B224" s="1" t="s">
        <v>802</v>
      </c>
      <c r="C224" s="2" t="s">
        <v>32</v>
      </c>
      <c r="D224" s="6">
        <v>8281</v>
      </c>
      <c r="E224" s="6">
        <v>542</v>
      </c>
      <c r="F224" s="6">
        <v>2000</v>
      </c>
      <c r="G224" s="6">
        <v>10823</v>
      </c>
      <c r="H224" s="6">
        <v>43358</v>
      </c>
      <c r="I224" s="6">
        <v>16607</v>
      </c>
      <c r="J224" s="6">
        <v>59965</v>
      </c>
      <c r="K224" s="6">
        <v>7768</v>
      </c>
      <c r="L224" s="6">
        <v>78556</v>
      </c>
      <c r="M224" s="142">
        <f t="shared" si="3"/>
        <v>8.2568845911288626</v>
      </c>
      <c r="N224" s="4">
        <v>9514</v>
      </c>
    </row>
    <row r="225" spans="1:14" ht="13.5" thickBot="1" x14ac:dyDescent="0.25">
      <c r="A225" s="2" t="s">
        <v>817</v>
      </c>
      <c r="B225" s="1" t="s">
        <v>816</v>
      </c>
      <c r="C225" s="2" t="s">
        <v>32</v>
      </c>
      <c r="D225" s="6">
        <v>15376</v>
      </c>
      <c r="E225" s="6">
        <v>3519</v>
      </c>
      <c r="F225" s="6">
        <v>2314</v>
      </c>
      <c r="G225" s="6">
        <v>21209</v>
      </c>
      <c r="H225" s="6">
        <v>141807</v>
      </c>
      <c r="I225" s="6">
        <v>56180</v>
      </c>
      <c r="J225" s="6">
        <v>197987</v>
      </c>
      <c r="K225" s="6">
        <v>76798</v>
      </c>
      <c r="L225" s="6">
        <v>295994</v>
      </c>
      <c r="M225" s="142">
        <f t="shared" si="3"/>
        <v>32.391551761873494</v>
      </c>
      <c r="N225" s="4">
        <v>9138</v>
      </c>
    </row>
    <row r="226" spans="1:14" ht="13.5" thickBot="1" x14ac:dyDescent="0.25">
      <c r="A226" s="2" t="s">
        <v>819</v>
      </c>
      <c r="B226" s="1" t="s">
        <v>818</v>
      </c>
      <c r="C226" s="2" t="s">
        <v>32</v>
      </c>
      <c r="D226" s="6">
        <v>40700</v>
      </c>
      <c r="E226" s="6">
        <v>9500</v>
      </c>
      <c r="F226" s="6">
        <v>2500</v>
      </c>
      <c r="G226" s="6">
        <v>52700</v>
      </c>
      <c r="H226" s="6">
        <v>276140</v>
      </c>
      <c r="I226" s="6">
        <v>44899</v>
      </c>
      <c r="J226" s="6">
        <v>321039</v>
      </c>
      <c r="K226" s="6">
        <v>114300</v>
      </c>
      <c r="L226" s="6">
        <v>488039</v>
      </c>
      <c r="M226" s="142">
        <f t="shared" si="3"/>
        <v>66.219674355495258</v>
      </c>
      <c r="N226" s="4">
        <v>7370</v>
      </c>
    </row>
    <row r="227" spans="1:14" ht="13.5" thickBot="1" x14ac:dyDescent="0.25">
      <c r="A227" s="2" t="s">
        <v>823</v>
      </c>
      <c r="B227" s="1" t="s">
        <v>822</v>
      </c>
      <c r="C227" s="2" t="s">
        <v>32</v>
      </c>
      <c r="D227" s="6">
        <v>25864</v>
      </c>
      <c r="E227" s="6">
        <v>5311</v>
      </c>
      <c r="F227" s="6">
        <v>5822</v>
      </c>
      <c r="G227" s="6">
        <v>36997</v>
      </c>
      <c r="H227" s="6">
        <v>199395</v>
      </c>
      <c r="I227" s="6">
        <v>16112</v>
      </c>
      <c r="J227" s="6">
        <v>215507</v>
      </c>
      <c r="K227" s="6">
        <v>61926</v>
      </c>
      <c r="L227" s="6">
        <v>314430</v>
      </c>
      <c r="M227" s="142">
        <f t="shared" si="3"/>
        <v>36.848705027540142</v>
      </c>
      <c r="N227" s="4">
        <v>8533</v>
      </c>
    </row>
    <row r="228" spans="1:14" ht="13.5" thickBot="1" x14ac:dyDescent="0.25">
      <c r="A228" s="2" t="s">
        <v>825</v>
      </c>
      <c r="B228" s="1" t="s">
        <v>824</v>
      </c>
      <c r="C228" s="2" t="s">
        <v>32</v>
      </c>
      <c r="D228" s="6">
        <v>21403</v>
      </c>
      <c r="E228" s="6">
        <v>2292</v>
      </c>
      <c r="F228" s="6">
        <v>4718</v>
      </c>
      <c r="G228" s="6">
        <v>28413</v>
      </c>
      <c r="H228" s="6">
        <v>204357</v>
      </c>
      <c r="I228" s="6">
        <v>32878</v>
      </c>
      <c r="J228" s="6">
        <v>237235</v>
      </c>
      <c r="K228" s="6">
        <v>101462</v>
      </c>
      <c r="L228" s="6">
        <v>367110</v>
      </c>
      <c r="M228" s="142">
        <f t="shared" si="3"/>
        <v>31.082042164084328</v>
      </c>
      <c r="N228" s="4">
        <v>11811</v>
      </c>
    </row>
    <row r="229" spans="1:14" ht="13.5" thickBot="1" x14ac:dyDescent="0.25">
      <c r="A229" s="2" t="s">
        <v>831</v>
      </c>
      <c r="B229" s="1" t="s">
        <v>830</v>
      </c>
      <c r="C229" s="2" t="s">
        <v>32</v>
      </c>
      <c r="D229" s="6">
        <v>11165</v>
      </c>
      <c r="E229" s="6">
        <v>15273</v>
      </c>
      <c r="F229" s="6">
        <v>4000</v>
      </c>
      <c r="G229" s="6">
        <v>30438</v>
      </c>
      <c r="H229" s="6">
        <v>112851</v>
      </c>
      <c r="I229" s="6">
        <v>24888</v>
      </c>
      <c r="J229" s="6">
        <v>137739</v>
      </c>
      <c r="K229" s="6">
        <v>54116</v>
      </c>
      <c r="L229" s="6">
        <v>222293</v>
      </c>
      <c r="M229" s="142">
        <f t="shared" si="3"/>
        <v>22.198222488516077</v>
      </c>
      <c r="N229" s="4">
        <v>10014</v>
      </c>
    </row>
    <row r="230" spans="1:14" ht="13.5" thickBot="1" x14ac:dyDescent="0.25">
      <c r="A230" s="2" t="s">
        <v>26</v>
      </c>
      <c r="B230" s="1" t="s">
        <v>25</v>
      </c>
      <c r="C230" s="2" t="s">
        <v>29</v>
      </c>
      <c r="D230" s="6">
        <v>68093</v>
      </c>
      <c r="E230" s="6">
        <v>10312</v>
      </c>
      <c r="F230" s="6">
        <v>34216</v>
      </c>
      <c r="G230" s="6">
        <v>112621</v>
      </c>
      <c r="H230" s="6">
        <v>338187</v>
      </c>
      <c r="I230" s="6">
        <v>131648</v>
      </c>
      <c r="J230" s="6">
        <v>469835</v>
      </c>
      <c r="K230" s="6">
        <v>239991</v>
      </c>
      <c r="L230" s="6">
        <v>822447</v>
      </c>
      <c r="M230" s="142">
        <f t="shared" si="3"/>
        <v>38.917664316471871</v>
      </c>
      <c r="N230" s="4">
        <v>21133</v>
      </c>
    </row>
    <row r="231" spans="1:14" ht="13.5" thickBot="1" x14ac:dyDescent="0.25">
      <c r="A231" s="2" t="s">
        <v>42</v>
      </c>
      <c r="B231" s="1" t="s">
        <v>41</v>
      </c>
      <c r="C231" s="2" t="s">
        <v>29</v>
      </c>
      <c r="D231" s="6">
        <v>26261</v>
      </c>
      <c r="E231" s="6">
        <v>10658</v>
      </c>
      <c r="F231" s="6">
        <v>14773</v>
      </c>
      <c r="G231" s="6">
        <v>51692</v>
      </c>
      <c r="H231" s="6">
        <v>316944</v>
      </c>
      <c r="I231" s="6">
        <v>40644</v>
      </c>
      <c r="J231" s="6">
        <v>357588</v>
      </c>
      <c r="K231" s="6">
        <v>112939</v>
      </c>
      <c r="L231" s="6">
        <v>522219</v>
      </c>
      <c r="M231" s="142">
        <f t="shared" si="3"/>
        <v>30.010861444744556</v>
      </c>
      <c r="N231" s="4">
        <v>17401</v>
      </c>
    </row>
    <row r="232" spans="1:14" ht="13.5" thickBot="1" x14ac:dyDescent="0.25">
      <c r="A232" s="2" t="s">
        <v>70</v>
      </c>
      <c r="B232" s="1" t="s">
        <v>69</v>
      </c>
      <c r="C232" s="2" t="s">
        <v>29</v>
      </c>
      <c r="D232" s="6">
        <v>24274</v>
      </c>
      <c r="E232" s="6">
        <v>6069</v>
      </c>
      <c r="F232" s="6">
        <v>30511</v>
      </c>
      <c r="G232" s="6">
        <v>60854</v>
      </c>
      <c r="H232" s="6">
        <v>361778</v>
      </c>
      <c r="I232" s="6">
        <v>71447</v>
      </c>
      <c r="J232" s="6">
        <v>433225</v>
      </c>
      <c r="K232" s="6">
        <v>154884</v>
      </c>
      <c r="L232" s="6">
        <v>648963</v>
      </c>
      <c r="M232" s="142">
        <f t="shared" si="3"/>
        <v>30.308378479357369</v>
      </c>
      <c r="N232" s="4">
        <v>21412</v>
      </c>
    </row>
    <row r="233" spans="1:14" ht="13.5" thickBot="1" x14ac:dyDescent="0.25">
      <c r="A233" s="2" t="s">
        <v>76</v>
      </c>
      <c r="B233" s="1" t="s">
        <v>75</v>
      </c>
      <c r="C233" s="2" t="s">
        <v>29</v>
      </c>
      <c r="D233" s="6">
        <v>53000</v>
      </c>
      <c r="E233" s="6">
        <v>22513</v>
      </c>
      <c r="F233" s="6">
        <v>16000</v>
      </c>
      <c r="G233" s="6">
        <v>91513</v>
      </c>
      <c r="H233" s="6">
        <v>365661</v>
      </c>
      <c r="I233" s="6">
        <v>149475</v>
      </c>
      <c r="J233" s="6">
        <v>515136</v>
      </c>
      <c r="K233" s="6">
        <v>188523</v>
      </c>
      <c r="L233" s="6">
        <v>795172</v>
      </c>
      <c r="M233" s="142">
        <f t="shared" si="3"/>
        <v>30.721786500792025</v>
      </c>
      <c r="N233" s="4">
        <v>25883</v>
      </c>
    </row>
    <row r="234" spans="1:14" ht="13.5" thickBot="1" x14ac:dyDescent="0.25">
      <c r="A234" s="2" t="s">
        <v>96</v>
      </c>
      <c r="B234" s="1" t="s">
        <v>95</v>
      </c>
      <c r="C234" s="2" t="s">
        <v>29</v>
      </c>
      <c r="D234" s="6">
        <v>31227</v>
      </c>
      <c r="E234" s="6">
        <v>7045</v>
      </c>
      <c r="F234" s="6">
        <v>11397</v>
      </c>
      <c r="G234" s="6">
        <v>49669</v>
      </c>
      <c r="H234" s="6">
        <v>283916</v>
      </c>
      <c r="I234" s="6">
        <v>45145</v>
      </c>
      <c r="J234" s="6">
        <v>329061</v>
      </c>
      <c r="K234" s="6">
        <v>152568</v>
      </c>
      <c r="L234" s="6">
        <v>531298</v>
      </c>
      <c r="M234" s="142">
        <f t="shared" si="3"/>
        <v>21.434542300399404</v>
      </c>
      <c r="N234" s="4">
        <v>24787</v>
      </c>
    </row>
    <row r="235" spans="1:14" ht="13.5" thickBot="1" x14ac:dyDescent="0.25">
      <c r="A235" s="2" t="s">
        <v>102</v>
      </c>
      <c r="B235" s="1" t="s">
        <v>101</v>
      </c>
      <c r="C235" s="2" t="s">
        <v>29</v>
      </c>
      <c r="D235" s="6">
        <v>45085</v>
      </c>
      <c r="E235" s="6">
        <v>18114</v>
      </c>
      <c r="F235" s="6">
        <v>8667</v>
      </c>
      <c r="G235" s="6">
        <v>71866</v>
      </c>
      <c r="H235" s="6">
        <v>353589</v>
      </c>
      <c r="I235" s="6">
        <v>100624</v>
      </c>
      <c r="J235" s="6">
        <v>454213</v>
      </c>
      <c r="K235" s="6">
        <v>132163</v>
      </c>
      <c r="L235" s="6">
        <v>658242</v>
      </c>
      <c r="M235" s="142">
        <f t="shared" si="3"/>
        <v>43.970741482965934</v>
      </c>
      <c r="N235" s="4">
        <v>14970</v>
      </c>
    </row>
    <row r="236" spans="1:14" ht="13.5" thickBot="1" x14ac:dyDescent="0.25">
      <c r="A236" s="2" t="s">
        <v>110</v>
      </c>
      <c r="B236" s="1" t="s">
        <v>109</v>
      </c>
      <c r="C236" s="2" t="s">
        <v>29</v>
      </c>
      <c r="D236" s="6">
        <v>21523</v>
      </c>
      <c r="E236" s="6">
        <v>7142</v>
      </c>
      <c r="F236" s="6">
        <v>340</v>
      </c>
      <c r="G236" s="6">
        <v>29005</v>
      </c>
      <c r="H236" s="6">
        <v>178944</v>
      </c>
      <c r="I236" s="6">
        <v>41449</v>
      </c>
      <c r="J236" s="6">
        <v>220393</v>
      </c>
      <c r="K236" s="6">
        <v>188161</v>
      </c>
      <c r="L236" s="6">
        <v>437559</v>
      </c>
      <c r="M236" s="142">
        <f t="shared" si="3"/>
        <v>21.85063670411985</v>
      </c>
      <c r="N236" s="4">
        <v>20025</v>
      </c>
    </row>
    <row r="237" spans="1:14" ht="13.5" thickBot="1" x14ac:dyDescent="0.25">
      <c r="A237" s="2" t="s">
        <v>122</v>
      </c>
      <c r="B237" s="1" t="s">
        <v>121</v>
      </c>
      <c r="C237" s="2" t="s">
        <v>29</v>
      </c>
      <c r="D237" s="6">
        <v>73962</v>
      </c>
      <c r="E237" s="6">
        <v>18741</v>
      </c>
      <c r="F237" s="6">
        <v>7301</v>
      </c>
      <c r="G237" s="6">
        <v>100004</v>
      </c>
      <c r="H237" s="6">
        <v>414776</v>
      </c>
      <c r="I237" s="6">
        <v>74088</v>
      </c>
      <c r="J237" s="6">
        <v>488864</v>
      </c>
      <c r="K237" s="6">
        <v>264722</v>
      </c>
      <c r="L237" s="6">
        <v>853590</v>
      </c>
      <c r="M237" s="142">
        <f t="shared" si="3"/>
        <v>56.249752883031299</v>
      </c>
      <c r="N237" s="4">
        <v>15175</v>
      </c>
    </row>
    <row r="238" spans="1:14" ht="13.5" thickBot="1" x14ac:dyDescent="0.25">
      <c r="A238" s="2" t="s">
        <v>124</v>
      </c>
      <c r="B238" s="1" t="s">
        <v>123</v>
      </c>
      <c r="C238" s="2" t="s">
        <v>29</v>
      </c>
      <c r="D238" s="6">
        <v>16468</v>
      </c>
      <c r="E238" s="6">
        <v>375</v>
      </c>
      <c r="F238" s="6">
        <v>2107</v>
      </c>
      <c r="G238" s="6">
        <v>18950</v>
      </c>
      <c r="H238" s="6">
        <v>174493</v>
      </c>
      <c r="I238" s="6">
        <v>62213</v>
      </c>
      <c r="J238" s="6">
        <v>236706</v>
      </c>
      <c r="K238" s="6">
        <v>97363</v>
      </c>
      <c r="L238" s="6">
        <v>353019</v>
      </c>
      <c r="M238" s="142">
        <f t="shared" si="3"/>
        <v>27.869187652956501</v>
      </c>
      <c r="N238" s="4">
        <v>12667</v>
      </c>
    </row>
    <row r="239" spans="1:14" ht="13.5" thickBot="1" x14ac:dyDescent="0.25">
      <c r="A239" s="2" t="s">
        <v>128</v>
      </c>
      <c r="B239" s="1" t="s">
        <v>127</v>
      </c>
      <c r="C239" s="2" t="s">
        <v>29</v>
      </c>
      <c r="D239" s="6">
        <v>28560</v>
      </c>
      <c r="E239" s="6">
        <v>9261</v>
      </c>
      <c r="F239" s="6">
        <v>13394</v>
      </c>
      <c r="G239" s="6">
        <v>51215</v>
      </c>
      <c r="H239" s="6">
        <v>292915</v>
      </c>
      <c r="I239" s="6">
        <v>48959</v>
      </c>
      <c r="J239" s="6">
        <v>341874</v>
      </c>
      <c r="K239" s="6">
        <v>98154</v>
      </c>
      <c r="L239" s="6">
        <v>491243</v>
      </c>
      <c r="M239" s="142">
        <f t="shared" si="3"/>
        <v>22.632711356830225</v>
      </c>
      <c r="N239" s="4">
        <v>21705</v>
      </c>
    </row>
    <row r="240" spans="1:14" ht="13.5" thickBot="1" x14ac:dyDescent="0.25">
      <c r="A240" s="2" t="s">
        <v>166</v>
      </c>
      <c r="B240" s="1" t="s">
        <v>165</v>
      </c>
      <c r="C240" s="2" t="s">
        <v>29</v>
      </c>
      <c r="D240" s="6">
        <v>41415</v>
      </c>
      <c r="E240" s="6">
        <v>16424</v>
      </c>
      <c r="F240" s="6">
        <v>6000</v>
      </c>
      <c r="G240" s="6">
        <v>63839</v>
      </c>
      <c r="H240" s="6">
        <v>276588</v>
      </c>
      <c r="I240" s="6">
        <v>34178</v>
      </c>
      <c r="J240" s="6">
        <v>310766</v>
      </c>
      <c r="K240" s="6">
        <v>147067</v>
      </c>
      <c r="L240" s="6">
        <v>521672</v>
      </c>
      <c r="M240" s="142">
        <f t="shared" si="3"/>
        <v>34.621183966020709</v>
      </c>
      <c r="N240" s="4">
        <v>15068</v>
      </c>
    </row>
    <row r="241" spans="1:14" ht="13.5" thickBot="1" x14ac:dyDescent="0.25">
      <c r="A241" s="2" t="s">
        <v>170</v>
      </c>
      <c r="B241" s="1" t="s">
        <v>169</v>
      </c>
      <c r="C241" s="2" t="s">
        <v>29</v>
      </c>
      <c r="D241" s="6">
        <v>57355</v>
      </c>
      <c r="E241" s="6">
        <v>9700</v>
      </c>
      <c r="F241" s="6">
        <v>6247</v>
      </c>
      <c r="G241" s="6">
        <v>73302</v>
      </c>
      <c r="H241" s="6">
        <v>311601</v>
      </c>
      <c r="I241" s="6">
        <v>166507</v>
      </c>
      <c r="J241" s="6">
        <v>478108</v>
      </c>
      <c r="K241" s="6">
        <v>168521</v>
      </c>
      <c r="L241" s="6">
        <v>719931</v>
      </c>
      <c r="M241" s="142">
        <f t="shared" si="3"/>
        <v>31.089130716414044</v>
      </c>
      <c r="N241" s="4">
        <v>23157</v>
      </c>
    </row>
    <row r="242" spans="1:14" ht="13.5" thickBot="1" x14ac:dyDescent="0.25">
      <c r="A242" s="2" t="s">
        <v>174</v>
      </c>
      <c r="B242" s="1" t="s">
        <v>173</v>
      </c>
      <c r="C242" s="2" t="s">
        <v>29</v>
      </c>
      <c r="D242" s="6">
        <v>31682</v>
      </c>
      <c r="E242" s="6">
        <v>5040</v>
      </c>
      <c r="F242" s="6">
        <v>1840</v>
      </c>
      <c r="G242" s="6">
        <v>38562</v>
      </c>
      <c r="H242" s="6">
        <v>263405</v>
      </c>
      <c r="I242" s="6">
        <v>98784</v>
      </c>
      <c r="J242" s="6">
        <v>362189</v>
      </c>
      <c r="K242" s="6">
        <v>116484</v>
      </c>
      <c r="L242" s="6">
        <v>517235</v>
      </c>
      <c r="M242" s="142">
        <f t="shared" si="3"/>
        <v>37.227220382899091</v>
      </c>
      <c r="N242" s="4">
        <v>13894</v>
      </c>
    </row>
    <row r="243" spans="1:14" ht="13.5" thickBot="1" x14ac:dyDescent="0.25">
      <c r="A243" s="2" t="s">
        <v>176</v>
      </c>
      <c r="B243" s="1" t="s">
        <v>175</v>
      </c>
      <c r="C243" s="2" t="s">
        <v>29</v>
      </c>
      <c r="D243" s="6">
        <v>76259</v>
      </c>
      <c r="E243" s="6">
        <v>44662</v>
      </c>
      <c r="F243" s="6">
        <v>45721</v>
      </c>
      <c r="G243" s="6">
        <v>166642</v>
      </c>
      <c r="H243" s="6">
        <v>994474</v>
      </c>
      <c r="I243" s="6">
        <v>46234</v>
      </c>
      <c r="J243" s="6">
        <v>1040708</v>
      </c>
      <c r="K243" s="6">
        <v>497698</v>
      </c>
      <c r="L243" s="6">
        <v>1705048</v>
      </c>
      <c r="M243" s="142">
        <f t="shared" si="3"/>
        <v>113.59413724183878</v>
      </c>
      <c r="N243" s="4">
        <v>15010</v>
      </c>
    </row>
    <row r="244" spans="1:14" ht="13.5" thickBot="1" x14ac:dyDescent="0.25">
      <c r="A244" s="2" t="s">
        <v>190</v>
      </c>
      <c r="B244" s="1" t="s">
        <v>189</v>
      </c>
      <c r="C244" s="2" t="s">
        <v>29</v>
      </c>
      <c r="D244" s="6">
        <v>23095</v>
      </c>
      <c r="E244" s="6">
        <v>4335</v>
      </c>
      <c r="F244" s="6">
        <v>7300</v>
      </c>
      <c r="G244" s="6">
        <v>34730</v>
      </c>
      <c r="H244" s="6">
        <v>193595</v>
      </c>
      <c r="I244" s="6">
        <v>30893</v>
      </c>
      <c r="J244" s="6">
        <v>224488</v>
      </c>
      <c r="K244" s="6">
        <v>84930</v>
      </c>
      <c r="L244" s="6">
        <v>344148</v>
      </c>
      <c r="M244" s="142">
        <f t="shared" si="3"/>
        <v>26.509628716684642</v>
      </c>
      <c r="N244" s="4">
        <v>12982</v>
      </c>
    </row>
    <row r="245" spans="1:14" ht="13.5" thickBot="1" x14ac:dyDescent="0.25">
      <c r="A245" s="2" t="s">
        <v>200</v>
      </c>
      <c r="B245" s="1" t="s">
        <v>199</v>
      </c>
      <c r="C245" s="2" t="s">
        <v>29</v>
      </c>
      <c r="D245" s="6">
        <v>70422</v>
      </c>
      <c r="E245" s="6">
        <v>10043</v>
      </c>
      <c r="F245" s="6">
        <v>13016</v>
      </c>
      <c r="G245" s="6">
        <v>93481</v>
      </c>
      <c r="H245" s="6">
        <v>407649</v>
      </c>
      <c r="I245" s="6">
        <v>151229</v>
      </c>
      <c r="J245" s="6">
        <v>558878</v>
      </c>
      <c r="K245" s="6">
        <v>139521</v>
      </c>
      <c r="L245" s="6">
        <v>791880</v>
      </c>
      <c r="M245" s="142">
        <f t="shared" si="3"/>
        <v>53.310892688838024</v>
      </c>
      <c r="N245" s="4">
        <v>14854</v>
      </c>
    </row>
    <row r="246" spans="1:14" ht="13.5" thickBot="1" x14ac:dyDescent="0.25">
      <c r="A246" s="2" t="s">
        <v>206</v>
      </c>
      <c r="B246" s="1" t="s">
        <v>205</v>
      </c>
      <c r="C246" s="2" t="s">
        <v>29</v>
      </c>
      <c r="D246" s="6">
        <v>20364</v>
      </c>
      <c r="E246" s="6">
        <v>1170</v>
      </c>
      <c r="F246" s="6">
        <v>1639</v>
      </c>
      <c r="G246" s="6">
        <v>23173</v>
      </c>
      <c r="H246" s="6">
        <v>199301</v>
      </c>
      <c r="I246" s="6">
        <v>77293</v>
      </c>
      <c r="J246" s="6">
        <v>276594</v>
      </c>
      <c r="K246" s="6">
        <v>117922</v>
      </c>
      <c r="L246" s="6">
        <v>417689</v>
      </c>
      <c r="M246" s="142">
        <f t="shared" si="3"/>
        <v>29.678058831888588</v>
      </c>
      <c r="N246" s="4">
        <v>14074</v>
      </c>
    </row>
    <row r="247" spans="1:14" ht="13.5" thickBot="1" x14ac:dyDescent="0.25">
      <c r="A247" s="2" t="s">
        <v>235</v>
      </c>
      <c r="B247" s="1" t="s">
        <v>234</v>
      </c>
      <c r="C247" s="2" t="s">
        <v>29</v>
      </c>
      <c r="D247" s="6">
        <v>95945</v>
      </c>
      <c r="E247" s="6">
        <v>0</v>
      </c>
      <c r="F247" s="6">
        <v>28000</v>
      </c>
      <c r="G247" s="6">
        <v>123945</v>
      </c>
      <c r="H247" s="6">
        <v>411894</v>
      </c>
      <c r="I247" s="6">
        <v>39381</v>
      </c>
      <c r="J247" s="6">
        <v>451275</v>
      </c>
      <c r="K247" s="6">
        <v>253804</v>
      </c>
      <c r="L247" s="6">
        <v>829024</v>
      </c>
      <c r="M247" s="142">
        <f t="shared" si="3"/>
        <v>40.357511439976633</v>
      </c>
      <c r="N247" s="4">
        <v>20542</v>
      </c>
    </row>
    <row r="248" spans="1:14" ht="13.5" thickBot="1" x14ac:dyDescent="0.25">
      <c r="A248" s="2" t="s">
        <v>237</v>
      </c>
      <c r="B248" s="1" t="s">
        <v>236</v>
      </c>
      <c r="C248" s="2" t="s">
        <v>29</v>
      </c>
      <c r="D248" s="6">
        <v>124722</v>
      </c>
      <c r="E248" s="6">
        <v>36866</v>
      </c>
      <c r="F248" s="6">
        <v>33974</v>
      </c>
      <c r="G248" s="6">
        <v>195562</v>
      </c>
      <c r="H248" s="6">
        <v>733730</v>
      </c>
      <c r="I248" s="6">
        <v>86887</v>
      </c>
      <c r="J248" s="6">
        <v>820617</v>
      </c>
      <c r="K248" s="6">
        <v>382993</v>
      </c>
      <c r="L248" s="6">
        <v>1399172</v>
      </c>
      <c r="M248" s="142">
        <f t="shared" si="3"/>
        <v>71.419121024960447</v>
      </c>
      <c r="N248" s="4">
        <v>19591</v>
      </c>
    </row>
    <row r="249" spans="1:14" ht="13.5" thickBot="1" x14ac:dyDescent="0.25">
      <c r="A249" s="2" t="s">
        <v>245</v>
      </c>
      <c r="B249" s="1" t="s">
        <v>244</v>
      </c>
      <c r="C249" s="2" t="s">
        <v>29</v>
      </c>
      <c r="D249" s="6">
        <v>23980</v>
      </c>
      <c r="E249" s="6">
        <v>13706</v>
      </c>
      <c r="F249" s="6">
        <v>9917</v>
      </c>
      <c r="G249" s="6">
        <v>47603</v>
      </c>
      <c r="H249" s="6">
        <v>189277</v>
      </c>
      <c r="I249" s="6">
        <v>18577</v>
      </c>
      <c r="J249" s="6">
        <v>207854</v>
      </c>
      <c r="K249" s="6">
        <v>97416</v>
      </c>
      <c r="L249" s="6">
        <v>352873</v>
      </c>
      <c r="M249" s="142">
        <f t="shared" si="3"/>
        <v>26.519840673380429</v>
      </c>
      <c r="N249" s="4">
        <v>13306</v>
      </c>
    </row>
    <row r="250" spans="1:14" ht="13.5" thickBot="1" x14ac:dyDescent="0.25">
      <c r="A250" s="2" t="s">
        <v>255</v>
      </c>
      <c r="B250" s="1" t="s">
        <v>254</v>
      </c>
      <c r="C250" s="2" t="s">
        <v>29</v>
      </c>
      <c r="D250" s="6">
        <v>15883</v>
      </c>
      <c r="E250" s="6">
        <v>2721</v>
      </c>
      <c r="F250" s="6">
        <v>2591</v>
      </c>
      <c r="G250" s="6">
        <v>21195</v>
      </c>
      <c r="H250" s="6">
        <v>133552</v>
      </c>
      <c r="I250" s="6">
        <v>40622</v>
      </c>
      <c r="J250" s="6">
        <v>174174</v>
      </c>
      <c r="K250" s="6">
        <v>37080</v>
      </c>
      <c r="L250" s="6">
        <v>232449</v>
      </c>
      <c r="M250" s="142">
        <f t="shared" si="3"/>
        <v>18.346408839779006</v>
      </c>
      <c r="N250" s="4">
        <v>12670</v>
      </c>
    </row>
    <row r="251" spans="1:14" ht="13.5" thickBot="1" x14ac:dyDescent="0.25">
      <c r="A251" s="2" t="s">
        <v>271</v>
      </c>
      <c r="B251" s="1" t="s">
        <v>270</v>
      </c>
      <c r="C251" s="2" t="s">
        <v>29</v>
      </c>
      <c r="D251" s="6">
        <v>31823</v>
      </c>
      <c r="E251" s="6">
        <v>3395</v>
      </c>
      <c r="F251" s="6">
        <v>7213</v>
      </c>
      <c r="G251" s="6">
        <v>42431</v>
      </c>
      <c r="H251" s="6">
        <v>238027</v>
      </c>
      <c r="I251" s="6">
        <v>190136</v>
      </c>
      <c r="J251" s="6">
        <v>428163</v>
      </c>
      <c r="K251" s="6">
        <v>101493</v>
      </c>
      <c r="L251" s="6">
        <v>572087</v>
      </c>
      <c r="M251" s="142">
        <f t="shared" si="3"/>
        <v>22.1481610530391</v>
      </c>
      <c r="N251" s="4">
        <v>25830</v>
      </c>
    </row>
    <row r="252" spans="1:14" ht="13.5" thickBot="1" x14ac:dyDescent="0.25">
      <c r="A252" s="2" t="s">
        <v>279</v>
      </c>
      <c r="B252" s="1" t="s">
        <v>278</v>
      </c>
      <c r="C252" s="2" t="s">
        <v>29</v>
      </c>
      <c r="D252" s="6">
        <v>29043</v>
      </c>
      <c r="E252" s="6">
        <v>4426</v>
      </c>
      <c r="F252" s="6">
        <v>6234</v>
      </c>
      <c r="G252" s="6">
        <v>39703</v>
      </c>
      <c r="H252" s="6">
        <v>201127</v>
      </c>
      <c r="I252" s="6">
        <v>23282</v>
      </c>
      <c r="J252" s="6">
        <v>224409</v>
      </c>
      <c r="K252" s="6">
        <v>120086</v>
      </c>
      <c r="L252" s="6">
        <v>384198</v>
      </c>
      <c r="M252" s="142">
        <f t="shared" si="3"/>
        <v>26.999156711173576</v>
      </c>
      <c r="N252" s="4">
        <v>14230</v>
      </c>
    </row>
    <row r="253" spans="1:14" ht="13.5" thickBot="1" x14ac:dyDescent="0.25">
      <c r="A253" s="2" t="s">
        <v>281</v>
      </c>
      <c r="B253" s="1" t="s">
        <v>280</v>
      </c>
      <c r="C253" s="2" t="s">
        <v>29</v>
      </c>
      <c r="D253" s="6">
        <v>72535</v>
      </c>
      <c r="E253" s="6">
        <v>24701</v>
      </c>
      <c r="F253" s="6">
        <v>21310</v>
      </c>
      <c r="G253" s="6">
        <v>118546</v>
      </c>
      <c r="H253" s="6">
        <v>532055</v>
      </c>
      <c r="I253" s="6">
        <v>119963</v>
      </c>
      <c r="J253" s="6">
        <v>652018</v>
      </c>
      <c r="K253" s="6">
        <v>292685</v>
      </c>
      <c r="L253" s="6">
        <v>1063249</v>
      </c>
      <c r="M253" s="142">
        <f t="shared" si="3"/>
        <v>53.429597989949748</v>
      </c>
      <c r="N253" s="4">
        <v>19900</v>
      </c>
    </row>
    <row r="254" spans="1:14" ht="13.5" thickBot="1" x14ac:dyDescent="0.25">
      <c r="A254" s="2" t="s">
        <v>285</v>
      </c>
      <c r="B254" s="1" t="s">
        <v>284</v>
      </c>
      <c r="C254" s="2" t="s">
        <v>29</v>
      </c>
      <c r="D254" s="6">
        <v>63732</v>
      </c>
      <c r="E254" s="6">
        <v>12529</v>
      </c>
      <c r="F254" s="6">
        <v>17921</v>
      </c>
      <c r="G254" s="6">
        <v>94182</v>
      </c>
      <c r="H254" s="6">
        <v>250222</v>
      </c>
      <c r="I254" s="6">
        <v>30597</v>
      </c>
      <c r="J254" s="6">
        <v>280819</v>
      </c>
      <c r="K254" s="6">
        <v>245403</v>
      </c>
      <c r="L254" s="6">
        <v>620404</v>
      </c>
      <c r="M254" s="142">
        <f t="shared" si="3"/>
        <v>35.198229887665946</v>
      </c>
      <c r="N254" s="4">
        <v>17626</v>
      </c>
    </row>
    <row r="255" spans="1:14" ht="13.5" thickBot="1" x14ac:dyDescent="0.25">
      <c r="A255" s="2" t="s">
        <v>287</v>
      </c>
      <c r="B255" s="1" t="s">
        <v>286</v>
      </c>
      <c r="C255" s="2" t="s">
        <v>29</v>
      </c>
      <c r="D255" s="6">
        <v>25000</v>
      </c>
      <c r="E255" s="6">
        <v>2540</v>
      </c>
      <c r="F255" s="6">
        <v>8100</v>
      </c>
      <c r="G255" s="6">
        <v>35640</v>
      </c>
      <c r="H255" s="6">
        <v>194071</v>
      </c>
      <c r="I255" s="6">
        <v>29100</v>
      </c>
      <c r="J255" s="6">
        <v>223171</v>
      </c>
      <c r="K255" s="6">
        <v>298100</v>
      </c>
      <c r="L255" s="6">
        <v>556911</v>
      </c>
      <c r="M255" s="142">
        <f t="shared" si="3"/>
        <v>31.246759804746677</v>
      </c>
      <c r="N255" s="4">
        <v>17823</v>
      </c>
    </row>
    <row r="256" spans="1:14" ht="13.5" thickBot="1" x14ac:dyDescent="0.25">
      <c r="A256" s="2" t="s">
        <v>295</v>
      </c>
      <c r="B256" s="1" t="s">
        <v>294</v>
      </c>
      <c r="C256" s="2" t="s">
        <v>29</v>
      </c>
      <c r="D256" s="6">
        <v>34395</v>
      </c>
      <c r="E256" s="6">
        <v>4928</v>
      </c>
      <c r="F256" s="6">
        <v>23058</v>
      </c>
      <c r="G256" s="6">
        <v>62381</v>
      </c>
      <c r="H256" s="6">
        <v>378111</v>
      </c>
      <c r="I256" s="6">
        <v>46063</v>
      </c>
      <c r="J256" s="6">
        <v>424174</v>
      </c>
      <c r="K256" s="6">
        <v>108014</v>
      </c>
      <c r="L256" s="6">
        <v>594569</v>
      </c>
      <c r="M256" s="142">
        <f t="shared" si="3"/>
        <v>34.835305835481606</v>
      </c>
      <c r="N256" s="4">
        <v>17068</v>
      </c>
    </row>
    <row r="257" spans="1:14" ht="13.5" thickBot="1" x14ac:dyDescent="0.25">
      <c r="A257" s="2" t="s">
        <v>301</v>
      </c>
      <c r="B257" s="1" t="s">
        <v>300</v>
      </c>
      <c r="C257" s="2" t="s">
        <v>29</v>
      </c>
      <c r="D257" s="6">
        <v>33336</v>
      </c>
      <c r="E257" s="6">
        <v>6908</v>
      </c>
      <c r="F257" s="6">
        <v>6749</v>
      </c>
      <c r="G257" s="6">
        <v>46993</v>
      </c>
      <c r="H257" s="6">
        <v>262747</v>
      </c>
      <c r="I257" s="6">
        <v>38946</v>
      </c>
      <c r="J257" s="6">
        <v>301693</v>
      </c>
      <c r="K257" s="6">
        <v>81248</v>
      </c>
      <c r="L257" s="6">
        <v>429934</v>
      </c>
      <c r="M257" s="142">
        <f t="shared" si="3"/>
        <v>29.691574585635358</v>
      </c>
      <c r="N257" s="4">
        <v>14480</v>
      </c>
    </row>
    <row r="258" spans="1:14" ht="13.5" thickBot="1" x14ac:dyDescent="0.25">
      <c r="A258" s="2" t="s">
        <v>305</v>
      </c>
      <c r="B258" s="1" t="s">
        <v>304</v>
      </c>
      <c r="C258" s="2" t="s">
        <v>29</v>
      </c>
      <c r="D258" s="6">
        <v>38089</v>
      </c>
      <c r="E258" s="6">
        <v>9792</v>
      </c>
      <c r="F258" s="6">
        <v>8936</v>
      </c>
      <c r="G258" s="6">
        <v>56817</v>
      </c>
      <c r="H258" s="6">
        <v>350197</v>
      </c>
      <c r="I258" s="6">
        <v>134603</v>
      </c>
      <c r="J258" s="6">
        <v>484800</v>
      </c>
      <c r="K258" s="6">
        <v>275262</v>
      </c>
      <c r="L258" s="6">
        <v>816879</v>
      </c>
      <c r="M258" s="142">
        <f t="shared" si="3"/>
        <v>61.29963980189104</v>
      </c>
      <c r="N258" s="4">
        <v>13326</v>
      </c>
    </row>
    <row r="259" spans="1:14" ht="13.5" thickBot="1" x14ac:dyDescent="0.25">
      <c r="A259" s="2" t="s">
        <v>307</v>
      </c>
      <c r="B259" s="1" t="s">
        <v>306</v>
      </c>
      <c r="C259" s="2" t="s">
        <v>29</v>
      </c>
      <c r="D259" s="6">
        <v>121580</v>
      </c>
      <c r="E259" s="6">
        <v>-1</v>
      </c>
      <c r="F259" s="6">
        <v>1200</v>
      </c>
      <c r="G259" s="6">
        <v>122779</v>
      </c>
      <c r="H259" s="6">
        <v>57862</v>
      </c>
      <c r="I259" s="6">
        <v>5170</v>
      </c>
      <c r="J259" s="6">
        <v>63032</v>
      </c>
      <c r="K259" s="6">
        <v>17861</v>
      </c>
      <c r="L259" s="6">
        <v>203672</v>
      </c>
      <c r="M259" s="142">
        <f t="shared" si="3"/>
        <v>14.978085012501838</v>
      </c>
      <c r="N259" s="4">
        <v>13598</v>
      </c>
    </row>
    <row r="260" spans="1:14" ht="13.5" thickBot="1" x14ac:dyDescent="0.25">
      <c r="A260" s="2" t="s">
        <v>325</v>
      </c>
      <c r="B260" s="1" t="s">
        <v>324</v>
      </c>
      <c r="C260" s="2" t="s">
        <v>29</v>
      </c>
      <c r="D260" s="6">
        <v>40000</v>
      </c>
      <c r="E260" s="6">
        <v>24000</v>
      </c>
      <c r="F260" s="6">
        <v>7100</v>
      </c>
      <c r="G260" s="6">
        <v>71100</v>
      </c>
      <c r="H260" s="6">
        <v>261087</v>
      </c>
      <c r="I260" s="6">
        <v>109000</v>
      </c>
      <c r="J260" s="6">
        <v>370087</v>
      </c>
      <c r="K260" s="6">
        <v>192200</v>
      </c>
      <c r="L260" s="6">
        <v>633387</v>
      </c>
      <c r="M260" s="142">
        <f t="shared" ref="M260:M323" si="4">L260/N260</f>
        <v>24.653082671648761</v>
      </c>
      <c r="N260" s="4">
        <v>25692</v>
      </c>
    </row>
    <row r="261" spans="1:14" ht="13.5" thickBot="1" x14ac:dyDescent="0.25">
      <c r="A261" s="2" t="s">
        <v>333</v>
      </c>
      <c r="B261" s="1" t="s">
        <v>332</v>
      </c>
      <c r="C261" s="2" t="s">
        <v>29</v>
      </c>
      <c r="D261" s="6">
        <v>35121</v>
      </c>
      <c r="E261" s="6">
        <v>14469</v>
      </c>
      <c r="F261" s="6">
        <v>65954</v>
      </c>
      <c r="G261" s="6">
        <v>115544</v>
      </c>
      <c r="H261" s="6">
        <v>357970</v>
      </c>
      <c r="I261" s="6">
        <v>14826</v>
      </c>
      <c r="J261" s="6">
        <v>372796</v>
      </c>
      <c r="K261" s="6">
        <v>136739</v>
      </c>
      <c r="L261" s="6">
        <v>625079</v>
      </c>
      <c r="M261" s="142">
        <f t="shared" si="4"/>
        <v>39.167805000313301</v>
      </c>
      <c r="N261" s="4">
        <v>15959</v>
      </c>
    </row>
    <row r="262" spans="1:14" ht="13.5" thickBot="1" x14ac:dyDescent="0.25">
      <c r="A262" s="2" t="s">
        <v>343</v>
      </c>
      <c r="B262" s="1" t="s">
        <v>342</v>
      </c>
      <c r="C262" s="2" t="s">
        <v>29</v>
      </c>
      <c r="D262" s="6">
        <v>23914</v>
      </c>
      <c r="E262" s="6">
        <v>9128</v>
      </c>
      <c r="F262" s="6">
        <v>12403</v>
      </c>
      <c r="G262" s="6">
        <v>45445</v>
      </c>
      <c r="H262" s="6">
        <v>439021</v>
      </c>
      <c r="I262" s="6">
        <v>102544</v>
      </c>
      <c r="J262" s="6">
        <v>541565</v>
      </c>
      <c r="K262" s="6">
        <v>142665</v>
      </c>
      <c r="L262" s="6">
        <v>729675</v>
      </c>
      <c r="M262" s="142">
        <f t="shared" si="4"/>
        <v>34.475549255846914</v>
      </c>
      <c r="N262" s="4">
        <v>21165</v>
      </c>
    </row>
    <row r="263" spans="1:14" ht="13.5" thickBot="1" x14ac:dyDescent="0.25">
      <c r="A263" s="2" t="s">
        <v>345</v>
      </c>
      <c r="B263" s="1" t="s">
        <v>344</v>
      </c>
      <c r="C263" s="2" t="s">
        <v>29</v>
      </c>
      <c r="D263" s="6">
        <v>9090</v>
      </c>
      <c r="E263" s="6">
        <v>0</v>
      </c>
      <c r="F263" s="6">
        <v>0</v>
      </c>
      <c r="G263" s="6">
        <v>9090</v>
      </c>
      <c r="H263" s="6">
        <v>195264</v>
      </c>
      <c r="I263" s="6">
        <v>41080</v>
      </c>
      <c r="J263" s="6">
        <v>236344</v>
      </c>
      <c r="K263" s="6">
        <v>95309</v>
      </c>
      <c r="L263" s="6">
        <v>340743</v>
      </c>
      <c r="M263" s="142">
        <f t="shared" si="4"/>
        <v>15.196137894126567</v>
      </c>
      <c r="N263" s="4">
        <v>22423</v>
      </c>
    </row>
    <row r="264" spans="1:14" ht="13.5" thickBot="1" x14ac:dyDescent="0.25">
      <c r="A264" s="2" t="s">
        <v>351</v>
      </c>
      <c r="B264" s="1" t="s">
        <v>350</v>
      </c>
      <c r="C264" s="2" t="s">
        <v>29</v>
      </c>
      <c r="D264" s="6">
        <v>22937</v>
      </c>
      <c r="E264" s="6">
        <v>6466</v>
      </c>
      <c r="F264" s="6">
        <v>3920</v>
      </c>
      <c r="G264" s="6">
        <v>33323</v>
      </c>
      <c r="H264" s="6">
        <v>247976</v>
      </c>
      <c r="I264" s="6">
        <v>70000</v>
      </c>
      <c r="J264" s="6">
        <v>317976</v>
      </c>
      <c r="K264" s="6">
        <v>87583</v>
      </c>
      <c r="L264" s="6">
        <v>438882</v>
      </c>
      <c r="M264" s="142">
        <f t="shared" si="4"/>
        <v>30.829025007024445</v>
      </c>
      <c r="N264" s="4">
        <v>14236</v>
      </c>
    </row>
    <row r="265" spans="1:14" ht="13.5" thickBot="1" x14ac:dyDescent="0.25">
      <c r="A265" s="2" t="s">
        <v>353</v>
      </c>
      <c r="B265" s="1" t="s">
        <v>352</v>
      </c>
      <c r="C265" s="2" t="s">
        <v>29</v>
      </c>
      <c r="D265" s="6">
        <v>18651</v>
      </c>
      <c r="E265" s="6">
        <v>4500</v>
      </c>
      <c r="F265" s="6">
        <v>1786</v>
      </c>
      <c r="G265" s="6">
        <v>24937</v>
      </c>
      <c r="H265" s="6">
        <v>122319</v>
      </c>
      <c r="I265" s="6">
        <v>6917</v>
      </c>
      <c r="J265" s="6">
        <v>129236</v>
      </c>
      <c r="K265" s="6">
        <v>224859</v>
      </c>
      <c r="L265" s="6">
        <v>379032</v>
      </c>
      <c r="M265" s="142">
        <f t="shared" si="4"/>
        <v>29.336842105263159</v>
      </c>
      <c r="N265" s="4">
        <v>12920</v>
      </c>
    </row>
    <row r="266" spans="1:14" ht="13.5" thickBot="1" x14ac:dyDescent="0.25">
      <c r="A266" s="2" t="s">
        <v>355</v>
      </c>
      <c r="B266" s="1" t="s">
        <v>354</v>
      </c>
      <c r="C266" s="2" t="s">
        <v>29</v>
      </c>
      <c r="D266" s="6">
        <v>37468</v>
      </c>
      <c r="E266" s="6">
        <v>9469</v>
      </c>
      <c r="F266" s="6">
        <v>12227</v>
      </c>
      <c r="G266" s="6">
        <v>59164</v>
      </c>
      <c r="H266" s="6">
        <v>176441</v>
      </c>
      <c r="I266" s="6">
        <v>10234</v>
      </c>
      <c r="J266" s="6">
        <v>186675</v>
      </c>
      <c r="K266" s="6">
        <v>70988</v>
      </c>
      <c r="L266" s="6">
        <v>316827</v>
      </c>
      <c r="M266" s="142">
        <f t="shared" si="4"/>
        <v>12.885955993004433</v>
      </c>
      <c r="N266" s="4">
        <v>24587</v>
      </c>
    </row>
    <row r="267" spans="1:14" ht="13.5" thickBot="1" x14ac:dyDescent="0.25">
      <c r="A267" s="2" t="s">
        <v>361</v>
      </c>
      <c r="B267" s="1" t="s">
        <v>360</v>
      </c>
      <c r="C267" s="2" t="s">
        <v>29</v>
      </c>
      <c r="D267" s="6">
        <v>15305</v>
      </c>
      <c r="E267" s="6">
        <v>2687</v>
      </c>
      <c r="F267" s="6">
        <v>7914</v>
      </c>
      <c r="G267" s="6">
        <v>25906</v>
      </c>
      <c r="H267" s="6">
        <v>230415</v>
      </c>
      <c r="I267" s="6">
        <v>103988</v>
      </c>
      <c r="J267" s="6">
        <v>334403</v>
      </c>
      <c r="K267" s="6">
        <v>262002</v>
      </c>
      <c r="L267" s="6">
        <v>622311</v>
      </c>
      <c r="M267" s="142">
        <f t="shared" si="4"/>
        <v>47.027204715484018</v>
      </c>
      <c r="N267" s="4">
        <v>13233</v>
      </c>
    </row>
    <row r="268" spans="1:14" ht="13.5" thickBot="1" x14ac:dyDescent="0.25">
      <c r="A268" s="2" t="s">
        <v>363</v>
      </c>
      <c r="B268" s="1" t="s">
        <v>362</v>
      </c>
      <c r="C268" s="2" t="s">
        <v>29</v>
      </c>
      <c r="D268" s="6">
        <v>27386</v>
      </c>
      <c r="E268" s="6">
        <v>2269</v>
      </c>
      <c r="F268" s="6">
        <v>6557</v>
      </c>
      <c r="G268" s="6">
        <v>36212</v>
      </c>
      <c r="H268" s="6">
        <v>218026</v>
      </c>
      <c r="I268" s="6">
        <v>68328</v>
      </c>
      <c r="J268" s="6">
        <v>286354</v>
      </c>
      <c r="K268" s="6">
        <v>118922</v>
      </c>
      <c r="L268" s="6">
        <v>441488</v>
      </c>
      <c r="M268" s="142">
        <f t="shared" si="4"/>
        <v>26.88393618316892</v>
      </c>
      <c r="N268" s="4">
        <v>16422</v>
      </c>
    </row>
    <row r="269" spans="1:14" ht="13.5" thickBot="1" x14ac:dyDescent="0.25">
      <c r="A269" s="2" t="s">
        <v>371</v>
      </c>
      <c r="B269" s="1" t="s">
        <v>370</v>
      </c>
      <c r="C269" s="2" t="s">
        <v>29</v>
      </c>
      <c r="D269" s="6">
        <v>40172</v>
      </c>
      <c r="E269" s="6">
        <v>25541</v>
      </c>
      <c r="F269" s="6">
        <v>16511</v>
      </c>
      <c r="G269" s="6">
        <v>82224</v>
      </c>
      <c r="H269" s="6">
        <v>491658</v>
      </c>
      <c r="I269" s="6">
        <v>99543</v>
      </c>
      <c r="J269" s="6">
        <v>591201</v>
      </c>
      <c r="K269" s="6">
        <v>293180</v>
      </c>
      <c r="L269" s="6">
        <v>966605</v>
      </c>
      <c r="M269" s="142">
        <f t="shared" si="4"/>
        <v>50.338766795125508</v>
      </c>
      <c r="N269" s="4">
        <v>19202</v>
      </c>
    </row>
    <row r="270" spans="1:14" ht="13.5" thickBot="1" x14ac:dyDescent="0.25">
      <c r="A270" s="2" t="s">
        <v>375</v>
      </c>
      <c r="B270" s="1" t="s">
        <v>374</v>
      </c>
      <c r="C270" s="2" t="s">
        <v>29</v>
      </c>
      <c r="D270" s="6">
        <v>17161</v>
      </c>
      <c r="E270" s="6">
        <v>5297</v>
      </c>
      <c r="F270" s="6">
        <v>6020</v>
      </c>
      <c r="G270" s="6">
        <v>28478</v>
      </c>
      <c r="H270" s="6">
        <v>208023</v>
      </c>
      <c r="I270" s="6">
        <v>0</v>
      </c>
      <c r="J270" s="6">
        <v>208023</v>
      </c>
      <c r="K270" s="6">
        <v>90888</v>
      </c>
      <c r="L270" s="6">
        <v>327389</v>
      </c>
      <c r="M270" s="142">
        <f t="shared" si="4"/>
        <v>14.180050242550243</v>
      </c>
      <c r="N270" s="4">
        <v>23088</v>
      </c>
    </row>
    <row r="271" spans="1:14" ht="13.5" thickBot="1" x14ac:dyDescent="0.25">
      <c r="A271" s="2" t="s">
        <v>383</v>
      </c>
      <c r="B271" s="1" t="s">
        <v>382</v>
      </c>
      <c r="C271" s="2" t="s">
        <v>29</v>
      </c>
      <c r="D271" s="6">
        <v>32497</v>
      </c>
      <c r="E271" s="6">
        <v>24281</v>
      </c>
      <c r="F271" s="6">
        <v>15395</v>
      </c>
      <c r="G271" s="6">
        <v>72173</v>
      </c>
      <c r="H271" s="6">
        <v>268427</v>
      </c>
      <c r="I271" s="6">
        <v>109851</v>
      </c>
      <c r="J271" s="6">
        <v>378278</v>
      </c>
      <c r="K271" s="6">
        <v>157733</v>
      </c>
      <c r="L271" s="6">
        <v>608184</v>
      </c>
      <c r="M271" s="142">
        <f t="shared" si="4"/>
        <v>39.693512596266807</v>
      </c>
      <c r="N271" s="4">
        <v>15322</v>
      </c>
    </row>
    <row r="272" spans="1:14" ht="13.5" thickBot="1" x14ac:dyDescent="0.25">
      <c r="A272" s="2" t="s">
        <v>385</v>
      </c>
      <c r="B272" s="1" t="s">
        <v>384</v>
      </c>
      <c r="C272" s="2" t="s">
        <v>29</v>
      </c>
      <c r="D272" s="6">
        <v>52905</v>
      </c>
      <c r="E272" s="6">
        <v>8878</v>
      </c>
      <c r="F272" s="6">
        <v>15915</v>
      </c>
      <c r="G272" s="6">
        <v>77698</v>
      </c>
      <c r="H272" s="6">
        <v>337421</v>
      </c>
      <c r="I272" s="6">
        <v>105284</v>
      </c>
      <c r="J272" s="6">
        <v>442705</v>
      </c>
      <c r="K272" s="6">
        <v>255982</v>
      </c>
      <c r="L272" s="6">
        <v>776385</v>
      </c>
      <c r="M272" s="142">
        <f t="shared" si="4"/>
        <v>35.106714899389551</v>
      </c>
      <c r="N272" s="4">
        <v>22115</v>
      </c>
    </row>
    <row r="273" spans="1:14" ht="13.5" thickBot="1" x14ac:dyDescent="0.25">
      <c r="A273" s="2" t="s">
        <v>399</v>
      </c>
      <c r="B273" s="1" t="s">
        <v>398</v>
      </c>
      <c r="C273" s="2" t="s">
        <v>29</v>
      </c>
      <c r="D273" s="6">
        <v>34566</v>
      </c>
      <c r="E273" s="6">
        <v>6718</v>
      </c>
      <c r="F273" s="6">
        <v>5633</v>
      </c>
      <c r="G273" s="6">
        <v>46917</v>
      </c>
      <c r="H273" s="6">
        <v>366421</v>
      </c>
      <c r="I273" s="6">
        <v>132933</v>
      </c>
      <c r="J273" s="6">
        <v>499354</v>
      </c>
      <c r="K273" s="6">
        <v>81541</v>
      </c>
      <c r="L273" s="6">
        <v>627812</v>
      </c>
      <c r="M273" s="142">
        <f t="shared" si="4"/>
        <v>28.70522609848658</v>
      </c>
      <c r="N273" s="4">
        <v>21871</v>
      </c>
    </row>
    <row r="274" spans="1:14" ht="13.5" thickBot="1" x14ac:dyDescent="0.25">
      <c r="A274" s="2" t="s">
        <v>405</v>
      </c>
      <c r="B274" s="1" t="s">
        <v>404</v>
      </c>
      <c r="C274" s="2" t="s">
        <v>29</v>
      </c>
      <c r="D274" s="6">
        <v>24071</v>
      </c>
      <c r="E274" s="6">
        <v>5713</v>
      </c>
      <c r="F274" s="6">
        <v>1750</v>
      </c>
      <c r="G274" s="6">
        <v>31534</v>
      </c>
      <c r="H274" s="6">
        <v>138186</v>
      </c>
      <c r="I274" s="6">
        <v>115401</v>
      </c>
      <c r="J274" s="6">
        <v>253587</v>
      </c>
      <c r="K274" s="6">
        <v>44663</v>
      </c>
      <c r="L274" s="6">
        <v>329784</v>
      </c>
      <c r="M274" s="142">
        <f t="shared" si="4"/>
        <v>24.248823529411766</v>
      </c>
      <c r="N274" s="4">
        <v>13600</v>
      </c>
    </row>
    <row r="275" spans="1:14" ht="13.5" thickBot="1" x14ac:dyDescent="0.25">
      <c r="A275" s="2" t="s">
        <v>419</v>
      </c>
      <c r="B275" s="1" t="s">
        <v>418</v>
      </c>
      <c r="C275" s="2" t="s">
        <v>29</v>
      </c>
      <c r="D275" s="6">
        <v>13390</v>
      </c>
      <c r="E275" s="6">
        <v>10396</v>
      </c>
      <c r="F275" s="6">
        <v>4000</v>
      </c>
      <c r="G275" s="6">
        <v>27786</v>
      </c>
      <c r="H275" s="6">
        <v>162290</v>
      </c>
      <c r="I275" s="6">
        <v>18264</v>
      </c>
      <c r="J275" s="6">
        <v>180554</v>
      </c>
      <c r="K275" s="6">
        <v>85486</v>
      </c>
      <c r="L275" s="6">
        <v>293826</v>
      </c>
      <c r="M275" s="142">
        <f t="shared" si="4"/>
        <v>17.12971491867312</v>
      </c>
      <c r="N275" s="4">
        <v>17153</v>
      </c>
    </row>
    <row r="276" spans="1:14" ht="13.5" thickBot="1" x14ac:dyDescent="0.25">
      <c r="A276" s="2" t="s">
        <v>437</v>
      </c>
      <c r="B276" s="1" t="s">
        <v>436</v>
      </c>
      <c r="C276" s="2" t="s">
        <v>29</v>
      </c>
      <c r="D276" s="6">
        <v>1452</v>
      </c>
      <c r="E276" s="6">
        <v>73</v>
      </c>
      <c r="F276" s="6">
        <v>0</v>
      </c>
      <c r="G276" s="6">
        <v>1525</v>
      </c>
      <c r="H276" s="6">
        <v>102835</v>
      </c>
      <c r="I276" s="6">
        <v>0</v>
      </c>
      <c r="J276" s="6">
        <v>102835</v>
      </c>
      <c r="K276" s="6">
        <v>166638</v>
      </c>
      <c r="L276" s="6">
        <v>270998</v>
      </c>
      <c r="M276" s="142">
        <f t="shared" si="4"/>
        <v>10.682249990145452</v>
      </c>
      <c r="N276" s="4">
        <v>25369</v>
      </c>
    </row>
    <row r="277" spans="1:14" ht="13.5" thickBot="1" x14ac:dyDescent="0.25">
      <c r="A277" s="2" t="s">
        <v>453</v>
      </c>
      <c r="B277" s="1" t="s">
        <v>452</v>
      </c>
      <c r="C277" s="2" t="s">
        <v>29</v>
      </c>
      <c r="D277" s="6">
        <v>64790</v>
      </c>
      <c r="E277" s="6">
        <v>11851</v>
      </c>
      <c r="F277" s="6">
        <v>13312</v>
      </c>
      <c r="G277" s="6">
        <v>89953</v>
      </c>
      <c r="H277" s="6">
        <v>527227</v>
      </c>
      <c r="I277" s="6">
        <v>53013</v>
      </c>
      <c r="J277" s="6">
        <v>580240</v>
      </c>
      <c r="K277" s="6">
        <v>156219</v>
      </c>
      <c r="L277" s="6">
        <v>826412</v>
      </c>
      <c r="M277" s="142">
        <f t="shared" si="4"/>
        <v>37.128762692065777</v>
      </c>
      <c r="N277" s="4">
        <v>22258</v>
      </c>
    </row>
    <row r="278" spans="1:14" ht="13.5" thickBot="1" x14ac:dyDescent="0.25">
      <c r="A278" s="2" t="s">
        <v>467</v>
      </c>
      <c r="B278" s="1" t="s">
        <v>466</v>
      </c>
      <c r="C278" s="2" t="s">
        <v>29</v>
      </c>
      <c r="D278" s="6">
        <v>41292</v>
      </c>
      <c r="E278" s="6">
        <v>5113</v>
      </c>
      <c r="F278" s="6">
        <v>5015</v>
      </c>
      <c r="G278" s="6">
        <v>51420</v>
      </c>
      <c r="H278" s="6">
        <v>283589</v>
      </c>
      <c r="I278" s="6">
        <v>54793</v>
      </c>
      <c r="J278" s="6">
        <v>338382</v>
      </c>
      <c r="K278" s="6">
        <v>105888</v>
      </c>
      <c r="L278" s="6">
        <v>495690</v>
      </c>
      <c r="M278" s="142">
        <f t="shared" si="4"/>
        <v>34.079752492265385</v>
      </c>
      <c r="N278" s="4">
        <v>14545</v>
      </c>
    </row>
    <row r="279" spans="1:14" ht="13.5" thickBot="1" x14ac:dyDescent="0.25">
      <c r="A279" s="2" t="s">
        <v>474</v>
      </c>
      <c r="B279" s="1" t="s">
        <v>473</v>
      </c>
      <c r="C279" s="2" t="s">
        <v>29</v>
      </c>
      <c r="D279" s="6">
        <v>22872</v>
      </c>
      <c r="E279" s="6">
        <v>3019</v>
      </c>
      <c r="F279" s="6">
        <v>5885</v>
      </c>
      <c r="G279" s="6">
        <v>31776</v>
      </c>
      <c r="H279" s="6">
        <v>229732</v>
      </c>
      <c r="I279" s="6">
        <v>95213</v>
      </c>
      <c r="J279" s="6">
        <v>324945</v>
      </c>
      <c r="K279" s="6">
        <v>74687</v>
      </c>
      <c r="L279" s="6">
        <v>431408</v>
      </c>
      <c r="M279" s="142">
        <f t="shared" si="4"/>
        <v>32.070175438596493</v>
      </c>
      <c r="N279" s="4">
        <v>13452</v>
      </c>
    </row>
    <row r="280" spans="1:14" ht="13.5" thickBot="1" x14ac:dyDescent="0.25">
      <c r="A280" s="2" t="s">
        <v>488</v>
      </c>
      <c r="B280" s="1" t="s">
        <v>487</v>
      </c>
      <c r="C280" s="2" t="s">
        <v>29</v>
      </c>
      <c r="D280" s="6">
        <v>55241</v>
      </c>
      <c r="E280" s="6">
        <v>26528</v>
      </c>
      <c r="F280" s="6">
        <v>34086</v>
      </c>
      <c r="G280" s="6">
        <v>115855</v>
      </c>
      <c r="H280" s="6">
        <v>485607</v>
      </c>
      <c r="I280" s="6">
        <v>243148</v>
      </c>
      <c r="J280" s="6">
        <v>728755</v>
      </c>
      <c r="K280" s="6">
        <v>240243</v>
      </c>
      <c r="L280" s="6">
        <v>1084853</v>
      </c>
      <c r="M280" s="142">
        <f t="shared" si="4"/>
        <v>47.177777777777777</v>
      </c>
      <c r="N280" s="4">
        <v>22995</v>
      </c>
    </row>
    <row r="281" spans="1:14" ht="13.5" thickBot="1" x14ac:dyDescent="0.25">
      <c r="A281" s="2" t="s">
        <v>498</v>
      </c>
      <c r="B281" s="1" t="s">
        <v>497</v>
      </c>
      <c r="C281" s="2" t="s">
        <v>29</v>
      </c>
      <c r="D281" s="6">
        <v>43238</v>
      </c>
      <c r="E281" s="6">
        <v>8140</v>
      </c>
      <c r="F281" s="6">
        <v>2945</v>
      </c>
      <c r="G281" s="6">
        <v>54323</v>
      </c>
      <c r="H281" s="6">
        <v>590629</v>
      </c>
      <c r="I281" s="6">
        <v>137319</v>
      </c>
      <c r="J281" s="6">
        <v>727948</v>
      </c>
      <c r="K281" s="6">
        <v>184816</v>
      </c>
      <c r="L281" s="6">
        <v>967087</v>
      </c>
      <c r="M281" s="142">
        <f t="shared" si="4"/>
        <v>64.696748728926949</v>
      </c>
      <c r="N281" s="4">
        <v>14948</v>
      </c>
    </row>
    <row r="282" spans="1:14" ht="13.5" thickBot="1" x14ac:dyDescent="0.25">
      <c r="A282" s="2" t="s">
        <v>502</v>
      </c>
      <c r="B282" s="1" t="s">
        <v>501</v>
      </c>
      <c r="C282" s="2" t="s">
        <v>29</v>
      </c>
      <c r="D282" s="6">
        <v>41106</v>
      </c>
      <c r="E282" s="6">
        <v>6381</v>
      </c>
      <c r="F282" s="6">
        <v>7100</v>
      </c>
      <c r="G282" s="6">
        <v>54587</v>
      </c>
      <c r="H282" s="6">
        <v>404290</v>
      </c>
      <c r="I282" s="6">
        <v>98778</v>
      </c>
      <c r="J282" s="6">
        <v>503068</v>
      </c>
      <c r="K282" s="6">
        <v>169385</v>
      </c>
      <c r="L282" s="6">
        <v>727040</v>
      </c>
      <c r="M282" s="142">
        <f t="shared" si="4"/>
        <v>39.528081335290601</v>
      </c>
      <c r="N282" s="4">
        <v>18393</v>
      </c>
    </row>
    <row r="283" spans="1:14" ht="13.5" thickBot="1" x14ac:dyDescent="0.25">
      <c r="A283" s="2" t="s">
        <v>514</v>
      </c>
      <c r="B283" s="1" t="s">
        <v>513</v>
      </c>
      <c r="C283" s="2" t="s">
        <v>29</v>
      </c>
      <c r="D283" s="6">
        <v>22022</v>
      </c>
      <c r="E283" s="6">
        <v>2680</v>
      </c>
      <c r="F283" s="6">
        <v>650</v>
      </c>
      <c r="G283" s="6">
        <v>25352</v>
      </c>
      <c r="H283" s="6">
        <v>180999</v>
      </c>
      <c r="I283" s="6">
        <v>83410</v>
      </c>
      <c r="J283" s="6">
        <v>264409</v>
      </c>
      <c r="K283" s="6">
        <v>38067</v>
      </c>
      <c r="L283" s="6">
        <v>327828</v>
      </c>
      <c r="M283" s="142">
        <f t="shared" si="4"/>
        <v>22.79115684093437</v>
      </c>
      <c r="N283" s="4">
        <v>14384</v>
      </c>
    </row>
    <row r="284" spans="1:14" ht="13.5" thickBot="1" x14ac:dyDescent="0.25">
      <c r="A284" s="2" t="s">
        <v>518</v>
      </c>
      <c r="B284" s="1" t="s">
        <v>517</v>
      </c>
      <c r="C284" s="2" t="s">
        <v>29</v>
      </c>
      <c r="D284" s="6">
        <v>29833</v>
      </c>
      <c r="E284" s="6">
        <v>9706</v>
      </c>
      <c r="F284" s="6">
        <v>1868</v>
      </c>
      <c r="G284" s="6">
        <v>41407</v>
      </c>
      <c r="H284" s="6">
        <v>202492</v>
      </c>
      <c r="I284" s="6">
        <v>25475</v>
      </c>
      <c r="J284" s="6">
        <v>227967</v>
      </c>
      <c r="K284" s="6">
        <v>95380</v>
      </c>
      <c r="L284" s="6">
        <v>364754</v>
      </c>
      <c r="M284" s="142">
        <f t="shared" si="4"/>
        <v>20.829992576095027</v>
      </c>
      <c r="N284" s="4">
        <v>17511</v>
      </c>
    </row>
    <row r="285" spans="1:14" ht="13.5" thickBot="1" x14ac:dyDescent="0.25">
      <c r="A285" s="2" t="s">
        <v>520</v>
      </c>
      <c r="B285" s="1" t="s">
        <v>519</v>
      </c>
      <c r="C285" s="2" t="s">
        <v>29</v>
      </c>
      <c r="D285" s="6">
        <v>48139</v>
      </c>
      <c r="E285" s="6">
        <v>12241</v>
      </c>
      <c r="F285" s="6">
        <v>14454</v>
      </c>
      <c r="G285" s="6">
        <v>74834</v>
      </c>
      <c r="H285" s="6">
        <v>498301</v>
      </c>
      <c r="I285" s="6">
        <v>75110</v>
      </c>
      <c r="J285" s="6">
        <v>573411</v>
      </c>
      <c r="K285" s="6">
        <v>365121</v>
      </c>
      <c r="L285" s="6">
        <v>1013366</v>
      </c>
      <c r="M285" s="142">
        <f t="shared" si="4"/>
        <v>64.397941026944579</v>
      </c>
      <c r="N285" s="4">
        <v>15736</v>
      </c>
    </row>
    <row r="286" spans="1:14" ht="13.5" thickBot="1" x14ac:dyDescent="0.25">
      <c r="A286" s="2" t="s">
        <v>524</v>
      </c>
      <c r="B286" s="1" t="s">
        <v>523</v>
      </c>
      <c r="C286" s="2" t="s">
        <v>29</v>
      </c>
      <c r="D286" s="6">
        <v>30517</v>
      </c>
      <c r="E286" s="6">
        <v>4829</v>
      </c>
      <c r="F286" s="6">
        <v>6824</v>
      </c>
      <c r="G286" s="6">
        <v>42170</v>
      </c>
      <c r="H286" s="6">
        <v>85242</v>
      </c>
      <c r="I286" s="6">
        <v>2850</v>
      </c>
      <c r="J286" s="6">
        <v>88092</v>
      </c>
      <c r="K286" s="6">
        <v>65898</v>
      </c>
      <c r="L286" s="6">
        <v>196160</v>
      </c>
      <c r="M286" s="142">
        <f t="shared" si="4"/>
        <v>14.977475757807131</v>
      </c>
      <c r="N286" s="4">
        <v>13097</v>
      </c>
    </row>
    <row r="287" spans="1:14" ht="13.5" thickBot="1" x14ac:dyDescent="0.25">
      <c r="A287" s="2" t="s">
        <v>534</v>
      </c>
      <c r="B287" s="1" t="s">
        <v>533</v>
      </c>
      <c r="C287" s="2" t="s">
        <v>29</v>
      </c>
      <c r="D287" s="6">
        <v>23970</v>
      </c>
      <c r="E287" s="6">
        <v>16034</v>
      </c>
      <c r="F287" s="6">
        <v>9000</v>
      </c>
      <c r="G287" s="6">
        <v>49004</v>
      </c>
      <c r="H287" s="6">
        <v>628560</v>
      </c>
      <c r="I287" s="6">
        <v>321845</v>
      </c>
      <c r="J287" s="6">
        <v>950405</v>
      </c>
      <c r="K287" s="6">
        <v>248871</v>
      </c>
      <c r="L287" s="6">
        <v>1248280</v>
      </c>
      <c r="M287" s="142">
        <f t="shared" si="4"/>
        <v>54.612591328695807</v>
      </c>
      <c r="N287" s="4">
        <v>22857</v>
      </c>
    </row>
    <row r="288" spans="1:14" ht="13.5" thickBot="1" x14ac:dyDescent="0.25">
      <c r="A288" s="2" t="s">
        <v>548</v>
      </c>
      <c r="B288" s="1" t="s">
        <v>547</v>
      </c>
      <c r="C288" s="2" t="s">
        <v>29</v>
      </c>
      <c r="D288" s="6">
        <v>74000</v>
      </c>
      <c r="E288" s="6">
        <v>19965</v>
      </c>
      <c r="F288" s="6">
        <v>11051</v>
      </c>
      <c r="G288" s="6">
        <v>105016</v>
      </c>
      <c r="H288" s="6">
        <v>599569</v>
      </c>
      <c r="I288" s="6">
        <v>154130</v>
      </c>
      <c r="J288" s="6">
        <v>753699</v>
      </c>
      <c r="K288" s="6">
        <v>432420</v>
      </c>
      <c r="L288" s="6">
        <v>1291135</v>
      </c>
      <c r="M288" s="142">
        <f t="shared" si="4"/>
        <v>50.266098263645567</v>
      </c>
      <c r="N288" s="4">
        <v>25686</v>
      </c>
    </row>
    <row r="289" spans="1:14" ht="13.5" thickBot="1" x14ac:dyDescent="0.25">
      <c r="A289" s="2" t="s">
        <v>564</v>
      </c>
      <c r="B289" s="1" t="s">
        <v>563</v>
      </c>
      <c r="C289" s="2" t="s">
        <v>29</v>
      </c>
      <c r="D289" s="6">
        <v>38000</v>
      </c>
      <c r="E289" s="6">
        <v>0</v>
      </c>
      <c r="F289" s="6">
        <v>1880</v>
      </c>
      <c r="G289" s="6">
        <v>39880</v>
      </c>
      <c r="H289" s="6">
        <v>156816</v>
      </c>
      <c r="I289" s="6">
        <v>7200</v>
      </c>
      <c r="J289" s="6">
        <v>164016</v>
      </c>
      <c r="K289" s="6">
        <v>91046</v>
      </c>
      <c r="L289" s="6">
        <v>294942</v>
      </c>
      <c r="M289" s="142">
        <f t="shared" si="4"/>
        <v>23.480773823740147</v>
      </c>
      <c r="N289" s="4">
        <v>12561</v>
      </c>
    </row>
    <row r="290" spans="1:14" ht="13.5" thickBot="1" x14ac:dyDescent="0.25">
      <c r="A290" s="2" t="s">
        <v>574</v>
      </c>
      <c r="B290" s="1" t="s">
        <v>573</v>
      </c>
      <c r="C290" s="2" t="s">
        <v>29</v>
      </c>
      <c r="D290" s="6">
        <v>53507</v>
      </c>
      <c r="E290" s="6">
        <v>10423</v>
      </c>
      <c r="F290" s="6">
        <v>25348</v>
      </c>
      <c r="G290" s="6">
        <v>89278</v>
      </c>
      <c r="H290" s="6">
        <v>354096</v>
      </c>
      <c r="I290" s="6">
        <v>106843</v>
      </c>
      <c r="J290" s="6">
        <v>460939</v>
      </c>
      <c r="K290" s="6">
        <v>118104</v>
      </c>
      <c r="L290" s="6">
        <v>668321</v>
      </c>
      <c r="M290" s="142">
        <f t="shared" si="4"/>
        <v>27.65771395464327</v>
      </c>
      <c r="N290" s="4">
        <v>24164</v>
      </c>
    </row>
    <row r="291" spans="1:14" ht="13.5" thickBot="1" x14ac:dyDescent="0.25">
      <c r="A291" s="2" t="s">
        <v>576</v>
      </c>
      <c r="B291" s="1" t="s">
        <v>575</v>
      </c>
      <c r="C291" s="2" t="s">
        <v>29</v>
      </c>
      <c r="D291" s="6">
        <v>47341</v>
      </c>
      <c r="E291" s="6">
        <v>10015</v>
      </c>
      <c r="F291" s="6">
        <v>25031</v>
      </c>
      <c r="G291" s="6">
        <v>82387</v>
      </c>
      <c r="H291" s="6">
        <v>259291</v>
      </c>
      <c r="I291" s="6">
        <v>52651</v>
      </c>
      <c r="J291" s="6">
        <v>311942</v>
      </c>
      <c r="K291" s="6">
        <v>170881</v>
      </c>
      <c r="L291" s="6">
        <v>565210</v>
      </c>
      <c r="M291" s="142">
        <f t="shared" si="4"/>
        <v>39.719606465214333</v>
      </c>
      <c r="N291" s="4">
        <v>14230</v>
      </c>
    </row>
    <row r="292" spans="1:14" ht="13.5" thickBot="1" x14ac:dyDescent="0.25">
      <c r="A292" s="2" t="s">
        <v>580</v>
      </c>
      <c r="B292" s="1" t="s">
        <v>579</v>
      </c>
      <c r="C292" s="2" t="s">
        <v>29</v>
      </c>
      <c r="D292" s="6">
        <v>76998</v>
      </c>
      <c r="E292" s="6">
        <v>19189</v>
      </c>
      <c r="F292" s="6">
        <v>20294</v>
      </c>
      <c r="G292" s="6">
        <v>116481</v>
      </c>
      <c r="H292" s="6">
        <v>620408</v>
      </c>
      <c r="I292" s="6">
        <v>87918</v>
      </c>
      <c r="J292" s="6">
        <v>708326</v>
      </c>
      <c r="K292" s="6">
        <v>506132</v>
      </c>
      <c r="L292" s="6">
        <v>1330939</v>
      </c>
      <c r="M292" s="142">
        <f t="shared" si="4"/>
        <v>64.841615512033513</v>
      </c>
      <c r="N292" s="4">
        <v>20526</v>
      </c>
    </row>
    <row r="293" spans="1:14" ht="13.5" thickBot="1" x14ac:dyDescent="0.25">
      <c r="A293" s="2" t="s">
        <v>588</v>
      </c>
      <c r="B293" s="1" t="s">
        <v>587</v>
      </c>
      <c r="C293" s="2" t="s">
        <v>29</v>
      </c>
      <c r="D293" s="6">
        <v>40211</v>
      </c>
      <c r="E293" s="6">
        <v>10964</v>
      </c>
      <c r="F293" s="6">
        <v>4000</v>
      </c>
      <c r="G293" s="6">
        <v>55175</v>
      </c>
      <c r="H293" s="6">
        <v>479397</v>
      </c>
      <c r="I293" s="6">
        <v>91060</v>
      </c>
      <c r="J293" s="6">
        <v>570457</v>
      </c>
      <c r="K293" s="6">
        <v>359377</v>
      </c>
      <c r="L293" s="6">
        <v>985009</v>
      </c>
      <c r="M293" s="142">
        <f t="shared" si="4"/>
        <v>72.539141321157672</v>
      </c>
      <c r="N293" s="4">
        <v>13579</v>
      </c>
    </row>
    <row r="294" spans="1:14" ht="13.5" thickBot="1" x14ac:dyDescent="0.25">
      <c r="A294" s="2" t="s">
        <v>600</v>
      </c>
      <c r="B294" s="1" t="s">
        <v>599</v>
      </c>
      <c r="C294" s="2" t="s">
        <v>29</v>
      </c>
      <c r="D294" s="6">
        <v>56479</v>
      </c>
      <c r="E294" s="6">
        <v>16035</v>
      </c>
      <c r="F294" s="6">
        <v>14120</v>
      </c>
      <c r="G294" s="6">
        <v>86634</v>
      </c>
      <c r="H294" s="6">
        <v>504158</v>
      </c>
      <c r="I294" s="6">
        <v>167679</v>
      </c>
      <c r="J294" s="6">
        <v>671837</v>
      </c>
      <c r="K294" s="6">
        <v>234261</v>
      </c>
      <c r="L294" s="6">
        <v>992732</v>
      </c>
      <c r="M294" s="142">
        <f t="shared" si="4"/>
        <v>59.413010952181459</v>
      </c>
      <c r="N294" s="4">
        <v>16709</v>
      </c>
    </row>
    <row r="295" spans="1:14" ht="13.5" thickBot="1" x14ac:dyDescent="0.25">
      <c r="A295" s="2" t="s">
        <v>616</v>
      </c>
      <c r="B295" s="1" t="s">
        <v>615</v>
      </c>
      <c r="C295" s="2" t="s">
        <v>29</v>
      </c>
      <c r="D295" s="6">
        <v>41695</v>
      </c>
      <c r="E295" s="6">
        <v>17441</v>
      </c>
      <c r="F295" s="6">
        <v>11151</v>
      </c>
      <c r="G295" s="6">
        <v>70287</v>
      </c>
      <c r="H295" s="6">
        <v>275983</v>
      </c>
      <c r="I295" s="6">
        <v>36186</v>
      </c>
      <c r="J295" s="6">
        <v>312169</v>
      </c>
      <c r="K295" s="6">
        <v>197101</v>
      </c>
      <c r="L295" s="6">
        <v>579557</v>
      </c>
      <c r="M295" s="142">
        <f t="shared" si="4"/>
        <v>45.284966401000155</v>
      </c>
      <c r="N295" s="4">
        <v>12798</v>
      </c>
    </row>
    <row r="296" spans="1:14" ht="13.5" thickBot="1" x14ac:dyDescent="0.25">
      <c r="A296" s="2" t="s">
        <v>618</v>
      </c>
      <c r="B296" s="1" t="s">
        <v>617</v>
      </c>
      <c r="C296" s="2" t="s">
        <v>29</v>
      </c>
      <c r="D296" s="6">
        <v>31781</v>
      </c>
      <c r="E296" s="6">
        <v>15383</v>
      </c>
      <c r="F296" s="6">
        <v>4094</v>
      </c>
      <c r="G296" s="6">
        <v>51258</v>
      </c>
      <c r="H296" s="6">
        <v>225147</v>
      </c>
      <c r="I296" s="6">
        <v>32002</v>
      </c>
      <c r="J296" s="6">
        <v>257149</v>
      </c>
      <c r="K296" s="6">
        <v>141567</v>
      </c>
      <c r="L296" s="6">
        <v>449974</v>
      </c>
      <c r="M296" s="142">
        <f t="shared" si="4"/>
        <v>32.344307073030478</v>
      </c>
      <c r="N296" s="4">
        <v>13912</v>
      </c>
    </row>
    <row r="297" spans="1:14" ht="13.5" thickBot="1" x14ac:dyDescent="0.25">
      <c r="A297" s="2" t="s">
        <v>622</v>
      </c>
      <c r="B297" s="1" t="s">
        <v>621</v>
      </c>
      <c r="C297" s="2" t="s">
        <v>29</v>
      </c>
      <c r="D297" s="6">
        <v>45718</v>
      </c>
      <c r="E297" s="6">
        <v>4563</v>
      </c>
      <c r="F297" s="6">
        <v>9088</v>
      </c>
      <c r="G297" s="6">
        <v>59369</v>
      </c>
      <c r="H297" s="6">
        <v>435108</v>
      </c>
      <c r="I297" s="6">
        <v>48219</v>
      </c>
      <c r="J297" s="6">
        <v>483327</v>
      </c>
      <c r="K297" s="6">
        <v>144682</v>
      </c>
      <c r="L297" s="6">
        <v>687378</v>
      </c>
      <c r="M297" s="142">
        <f t="shared" si="4"/>
        <v>46.200967872025807</v>
      </c>
      <c r="N297" s="4">
        <v>14878</v>
      </c>
    </row>
    <row r="298" spans="1:14" ht="13.5" thickBot="1" x14ac:dyDescent="0.25">
      <c r="A298" s="2" t="s">
        <v>658</v>
      </c>
      <c r="B298" s="1" t="s">
        <v>657</v>
      </c>
      <c r="C298" s="2" t="s">
        <v>29</v>
      </c>
      <c r="D298" s="6">
        <v>27501</v>
      </c>
      <c r="E298" s="6">
        <v>5000</v>
      </c>
      <c r="F298" s="6">
        <v>4200</v>
      </c>
      <c r="G298" s="6">
        <v>36701</v>
      </c>
      <c r="H298" s="6">
        <v>123138</v>
      </c>
      <c r="I298" s="6">
        <v>58647</v>
      </c>
      <c r="J298" s="6">
        <v>181785</v>
      </c>
      <c r="K298" s="6">
        <v>102475</v>
      </c>
      <c r="L298" s="6">
        <v>320961</v>
      </c>
      <c r="M298" s="142">
        <f t="shared" si="4"/>
        <v>25.705670350792889</v>
      </c>
      <c r="N298" s="4">
        <v>12486</v>
      </c>
    </row>
    <row r="299" spans="1:14" ht="13.5" thickBot="1" x14ac:dyDescent="0.25">
      <c r="A299" s="2" t="s">
        <v>686</v>
      </c>
      <c r="B299" s="1" t="s">
        <v>685</v>
      </c>
      <c r="C299" s="2" t="s">
        <v>29</v>
      </c>
      <c r="D299" s="6">
        <v>82151</v>
      </c>
      <c r="E299" s="6">
        <v>29041</v>
      </c>
      <c r="F299" s="6">
        <v>50036</v>
      </c>
      <c r="G299" s="6">
        <v>161228</v>
      </c>
      <c r="H299" s="6">
        <v>746605</v>
      </c>
      <c r="I299" s="6">
        <v>155749</v>
      </c>
      <c r="J299" s="6">
        <v>902354</v>
      </c>
      <c r="K299" s="6">
        <v>277324</v>
      </c>
      <c r="L299" s="6">
        <v>1340906</v>
      </c>
      <c r="M299" s="142">
        <f t="shared" si="4"/>
        <v>80.039754073897214</v>
      </c>
      <c r="N299" s="4">
        <v>16753</v>
      </c>
    </row>
    <row r="300" spans="1:14" ht="13.5" thickBot="1" x14ac:dyDescent="0.25">
      <c r="A300" s="2" t="s">
        <v>728</v>
      </c>
      <c r="B300" s="1" t="s">
        <v>727</v>
      </c>
      <c r="C300" s="2" t="s">
        <v>29</v>
      </c>
      <c r="D300" s="6">
        <v>69540</v>
      </c>
      <c r="E300" s="6">
        <v>10285</v>
      </c>
      <c r="F300" s="6">
        <v>55293</v>
      </c>
      <c r="G300" s="6">
        <v>135118</v>
      </c>
      <c r="H300" s="6">
        <v>683315</v>
      </c>
      <c r="I300" s="6">
        <v>215075</v>
      </c>
      <c r="J300" s="6">
        <v>898390</v>
      </c>
      <c r="K300" s="6">
        <v>353425</v>
      </c>
      <c r="L300" s="6">
        <v>1386933</v>
      </c>
      <c r="M300" s="142">
        <f t="shared" si="4"/>
        <v>75.954709748083246</v>
      </c>
      <c r="N300" s="4">
        <v>18260</v>
      </c>
    </row>
    <row r="301" spans="1:14" ht="13.5" thickBot="1" x14ac:dyDescent="0.25">
      <c r="A301" s="2" t="s">
        <v>730</v>
      </c>
      <c r="B301" s="1" t="s">
        <v>729</v>
      </c>
      <c r="C301" s="2" t="s">
        <v>29</v>
      </c>
      <c r="D301" s="6">
        <v>49680</v>
      </c>
      <c r="E301" s="6">
        <v>11135</v>
      </c>
      <c r="F301" s="6">
        <v>9600</v>
      </c>
      <c r="G301" s="6">
        <v>70415</v>
      </c>
      <c r="H301" s="6">
        <v>361082</v>
      </c>
      <c r="I301" s="6">
        <v>83911</v>
      </c>
      <c r="J301" s="6">
        <v>444993</v>
      </c>
      <c r="K301" s="6">
        <v>107500</v>
      </c>
      <c r="L301" s="6">
        <v>622908</v>
      </c>
      <c r="M301" s="142">
        <f t="shared" si="4"/>
        <v>44.684935437589672</v>
      </c>
      <c r="N301" s="4">
        <v>13940</v>
      </c>
    </row>
    <row r="302" spans="1:14" ht="13.5" thickBot="1" x14ac:dyDescent="0.25">
      <c r="A302" s="2" t="s">
        <v>736</v>
      </c>
      <c r="B302" s="1" t="s">
        <v>735</v>
      </c>
      <c r="C302" s="2" t="s">
        <v>29</v>
      </c>
      <c r="D302" s="6">
        <v>38013</v>
      </c>
      <c r="E302" s="6">
        <v>6471</v>
      </c>
      <c r="F302" s="6">
        <v>6197</v>
      </c>
      <c r="G302" s="6">
        <v>50681</v>
      </c>
      <c r="H302" s="6">
        <v>281951</v>
      </c>
      <c r="I302" s="6">
        <v>109731</v>
      </c>
      <c r="J302" s="6">
        <v>391682</v>
      </c>
      <c r="K302" s="6">
        <v>174268</v>
      </c>
      <c r="L302" s="6">
        <v>616631</v>
      </c>
      <c r="M302" s="142">
        <f t="shared" si="4"/>
        <v>34.377599375592354</v>
      </c>
      <c r="N302" s="4">
        <v>17937</v>
      </c>
    </row>
    <row r="303" spans="1:14" ht="13.5" thickBot="1" x14ac:dyDescent="0.25">
      <c r="A303" s="2" t="s">
        <v>755</v>
      </c>
      <c r="B303" s="1" t="s">
        <v>754</v>
      </c>
      <c r="C303" s="2" t="s">
        <v>29</v>
      </c>
      <c r="D303" s="6">
        <v>48772</v>
      </c>
      <c r="E303" s="6">
        <v>45633</v>
      </c>
      <c r="F303" s="6">
        <v>9376</v>
      </c>
      <c r="G303" s="6">
        <v>103781</v>
      </c>
      <c r="H303" s="6">
        <v>412349</v>
      </c>
      <c r="I303" s="6">
        <v>84313</v>
      </c>
      <c r="J303" s="6">
        <v>496662</v>
      </c>
      <c r="K303" s="6">
        <v>189957</v>
      </c>
      <c r="L303" s="6">
        <v>790400</v>
      </c>
      <c r="M303" s="142">
        <f t="shared" si="4"/>
        <v>43.586632844380723</v>
      </c>
      <c r="N303" s="4">
        <v>18134</v>
      </c>
    </row>
    <row r="304" spans="1:14" ht="13.5" thickBot="1" x14ac:dyDescent="0.25">
      <c r="A304" s="2" t="s">
        <v>767</v>
      </c>
      <c r="B304" s="1" t="s">
        <v>766</v>
      </c>
      <c r="C304" s="2" t="s">
        <v>29</v>
      </c>
      <c r="D304" s="6">
        <v>7348</v>
      </c>
      <c r="E304" s="6">
        <v>0</v>
      </c>
      <c r="F304" s="6">
        <v>1600</v>
      </c>
      <c r="G304" s="6">
        <v>8948</v>
      </c>
      <c r="H304" s="6">
        <v>90152</v>
      </c>
      <c r="I304" s="6">
        <v>54893</v>
      </c>
      <c r="J304" s="6">
        <v>145045</v>
      </c>
      <c r="K304" s="6">
        <v>15977</v>
      </c>
      <c r="L304" s="6">
        <v>169970</v>
      </c>
      <c r="M304" s="142">
        <f t="shared" si="4"/>
        <v>10.068716308275576</v>
      </c>
      <c r="N304" s="4">
        <v>16881</v>
      </c>
    </row>
    <row r="305" spans="1:14" ht="13.5" thickBot="1" x14ac:dyDescent="0.25">
      <c r="A305" s="2" t="s">
        <v>771</v>
      </c>
      <c r="B305" s="1" t="s">
        <v>770</v>
      </c>
      <c r="C305" s="2" t="s">
        <v>29</v>
      </c>
      <c r="D305" s="6">
        <v>41968</v>
      </c>
      <c r="E305" s="6">
        <v>4246</v>
      </c>
      <c r="F305" s="6">
        <v>4855</v>
      </c>
      <c r="G305" s="6">
        <v>51069</v>
      </c>
      <c r="H305" s="6">
        <v>227311</v>
      </c>
      <c r="I305" s="6">
        <v>59249</v>
      </c>
      <c r="J305" s="6">
        <v>286560</v>
      </c>
      <c r="K305" s="6">
        <v>159736</v>
      </c>
      <c r="L305" s="6">
        <v>497365</v>
      </c>
      <c r="M305" s="142">
        <f t="shared" si="4"/>
        <v>34.895460604784958</v>
      </c>
      <c r="N305" s="4">
        <v>14253</v>
      </c>
    </row>
    <row r="306" spans="1:14" ht="13.5" thickBot="1" x14ac:dyDescent="0.25">
      <c r="A306" s="2" t="s">
        <v>791</v>
      </c>
      <c r="B306" s="1" t="s">
        <v>790</v>
      </c>
      <c r="C306" s="2" t="s">
        <v>29</v>
      </c>
      <c r="D306" s="6">
        <v>18000</v>
      </c>
      <c r="E306" s="6">
        <v>8832</v>
      </c>
      <c r="F306" s="6">
        <v>2122</v>
      </c>
      <c r="G306" s="6">
        <v>28954</v>
      </c>
      <c r="H306" s="6">
        <v>219502</v>
      </c>
      <c r="I306" s="6">
        <v>39732</v>
      </c>
      <c r="J306" s="6">
        <v>259234</v>
      </c>
      <c r="K306" s="6">
        <v>74629</v>
      </c>
      <c r="L306" s="6">
        <v>362817</v>
      </c>
      <c r="M306" s="142">
        <f t="shared" si="4"/>
        <v>29.646756005883315</v>
      </c>
      <c r="N306" s="4">
        <v>12238</v>
      </c>
    </row>
    <row r="307" spans="1:14" ht="13.5" thickBot="1" x14ac:dyDescent="0.25">
      <c r="A307" s="2" t="s">
        <v>813</v>
      </c>
      <c r="B307" s="1" t="s">
        <v>812</v>
      </c>
      <c r="C307" s="2" t="s">
        <v>29</v>
      </c>
      <c r="D307" s="6">
        <v>14040</v>
      </c>
      <c r="E307" s="6">
        <v>3206</v>
      </c>
      <c r="F307" s="6">
        <v>4665</v>
      </c>
      <c r="G307" s="6">
        <v>21911</v>
      </c>
      <c r="H307" s="6">
        <v>202455</v>
      </c>
      <c r="I307" s="6">
        <v>45494</v>
      </c>
      <c r="J307" s="6">
        <v>247949</v>
      </c>
      <c r="K307" s="6">
        <v>191194</v>
      </c>
      <c r="L307" s="6">
        <v>461054</v>
      </c>
      <c r="M307" s="142">
        <f t="shared" si="4"/>
        <v>26.206673108622748</v>
      </c>
      <c r="N307" s="4">
        <v>17593</v>
      </c>
    </row>
    <row r="308" spans="1:14" ht="13.5" thickBot="1" x14ac:dyDescent="0.25">
      <c r="A308" s="2" t="s">
        <v>839</v>
      </c>
      <c r="B308" s="1" t="s">
        <v>838</v>
      </c>
      <c r="C308" s="2" t="s">
        <v>29</v>
      </c>
      <c r="D308" s="6">
        <v>57767</v>
      </c>
      <c r="E308" s="6">
        <v>17310</v>
      </c>
      <c r="F308" s="6">
        <v>15228</v>
      </c>
      <c r="G308" s="6">
        <v>90305</v>
      </c>
      <c r="H308" s="6">
        <v>355189</v>
      </c>
      <c r="I308" s="6">
        <v>149094</v>
      </c>
      <c r="J308" s="6">
        <v>504283</v>
      </c>
      <c r="K308" s="6">
        <v>253941</v>
      </c>
      <c r="L308" s="6">
        <v>848529</v>
      </c>
      <c r="M308" s="142">
        <f t="shared" si="4"/>
        <v>62.863313083419769</v>
      </c>
      <c r="N308" s="4">
        <v>13498</v>
      </c>
    </row>
    <row r="309" spans="1:14" ht="13.5" thickBot="1" x14ac:dyDescent="0.25">
      <c r="A309" s="2" t="s">
        <v>44</v>
      </c>
      <c r="B309" s="1" t="s">
        <v>43</v>
      </c>
      <c r="C309" s="2" t="s">
        <v>45</v>
      </c>
      <c r="D309" s="6">
        <v>29479</v>
      </c>
      <c r="E309" s="6">
        <v>15998</v>
      </c>
      <c r="F309" s="6">
        <v>55671</v>
      </c>
      <c r="G309" s="6">
        <v>101148</v>
      </c>
      <c r="H309" s="6">
        <v>336485</v>
      </c>
      <c r="I309" s="6">
        <v>34746</v>
      </c>
      <c r="J309" s="6">
        <v>371231</v>
      </c>
      <c r="K309" s="6">
        <v>184965</v>
      </c>
      <c r="L309" s="6">
        <v>657344</v>
      </c>
      <c r="M309" s="142">
        <f t="shared" si="4"/>
        <v>23.301807869549805</v>
      </c>
      <c r="N309" s="4">
        <v>28210</v>
      </c>
    </row>
    <row r="310" spans="1:14" ht="13.5" thickBot="1" x14ac:dyDescent="0.25">
      <c r="A310" s="2" t="s">
        <v>47</v>
      </c>
      <c r="B310" s="1" t="s">
        <v>46</v>
      </c>
      <c r="C310" s="2" t="s">
        <v>45</v>
      </c>
      <c r="D310" s="6">
        <v>70323</v>
      </c>
      <c r="E310" s="6">
        <v>13600</v>
      </c>
      <c r="F310" s="6">
        <v>7422</v>
      </c>
      <c r="G310" s="6">
        <v>91345</v>
      </c>
      <c r="H310" s="6">
        <v>164801</v>
      </c>
      <c r="I310" s="6">
        <v>16893</v>
      </c>
      <c r="J310" s="6">
        <v>181694</v>
      </c>
      <c r="K310" s="6">
        <v>111229</v>
      </c>
      <c r="L310" s="6">
        <v>384268</v>
      </c>
      <c r="M310" s="142">
        <f t="shared" si="4"/>
        <v>13.586536081745217</v>
      </c>
      <c r="N310" s="4">
        <v>28283</v>
      </c>
    </row>
    <row r="311" spans="1:14" ht="13.5" thickBot="1" x14ac:dyDescent="0.25">
      <c r="A311" s="2" t="s">
        <v>55</v>
      </c>
      <c r="B311" s="1" t="s">
        <v>54</v>
      </c>
      <c r="C311" s="2" t="s">
        <v>45</v>
      </c>
      <c r="D311" s="6">
        <v>61960</v>
      </c>
      <c r="E311" s="6">
        <v>4361</v>
      </c>
      <c r="F311" s="6">
        <v>8479</v>
      </c>
      <c r="G311" s="6">
        <v>74800</v>
      </c>
      <c r="H311" s="6">
        <v>546058</v>
      </c>
      <c r="I311" s="6">
        <v>127225</v>
      </c>
      <c r="J311" s="6">
        <v>673283</v>
      </c>
      <c r="K311" s="6">
        <v>275621</v>
      </c>
      <c r="L311" s="6">
        <v>1023704</v>
      </c>
      <c r="M311" s="142">
        <f t="shared" si="4"/>
        <v>34.586931549429018</v>
      </c>
      <c r="N311" s="4">
        <v>29598</v>
      </c>
    </row>
    <row r="312" spans="1:14" ht="13.5" thickBot="1" x14ac:dyDescent="0.25">
      <c r="A312" s="2" t="s">
        <v>80</v>
      </c>
      <c r="B312" s="1" t="s">
        <v>79</v>
      </c>
      <c r="C312" s="2" t="s">
        <v>45</v>
      </c>
      <c r="D312" s="6">
        <v>230867</v>
      </c>
      <c r="E312" s="6">
        <v>128163</v>
      </c>
      <c r="F312" s="6">
        <v>205880</v>
      </c>
      <c r="G312" s="6">
        <v>564910</v>
      </c>
      <c r="H312" s="6">
        <v>1452227</v>
      </c>
      <c r="I312" s="6">
        <v>627203</v>
      </c>
      <c r="J312" s="6">
        <v>2079430</v>
      </c>
      <c r="K312" s="6">
        <v>611957</v>
      </c>
      <c r="L312" s="6">
        <v>3256297</v>
      </c>
      <c r="M312" s="142">
        <f t="shared" si="4"/>
        <v>92.115898161244701</v>
      </c>
      <c r="N312" s="4">
        <v>35350</v>
      </c>
    </row>
    <row r="313" spans="1:14" ht="13.5" thickBot="1" x14ac:dyDescent="0.25">
      <c r="A313" s="2" t="s">
        <v>92</v>
      </c>
      <c r="B313" s="1" t="s">
        <v>91</v>
      </c>
      <c r="C313" s="2" t="s">
        <v>45</v>
      </c>
      <c r="D313" s="6">
        <v>72160</v>
      </c>
      <c r="E313" s="6">
        <v>17668</v>
      </c>
      <c r="F313" s="6">
        <v>24252</v>
      </c>
      <c r="G313" s="6">
        <v>114080</v>
      </c>
      <c r="H313" s="6">
        <v>544033</v>
      </c>
      <c r="I313" s="6">
        <v>177791</v>
      </c>
      <c r="J313" s="6">
        <v>721824</v>
      </c>
      <c r="K313" s="6">
        <v>209519</v>
      </c>
      <c r="L313" s="6">
        <v>1045423</v>
      </c>
      <c r="M313" s="142">
        <f t="shared" si="4"/>
        <v>24.67890276433512</v>
      </c>
      <c r="N313" s="4">
        <v>42361</v>
      </c>
    </row>
    <row r="314" spans="1:14" ht="13.5" thickBot="1" x14ac:dyDescent="0.25">
      <c r="A314" s="2" t="s">
        <v>114</v>
      </c>
      <c r="B314" s="1" t="s">
        <v>113</v>
      </c>
      <c r="C314" s="2" t="s">
        <v>45</v>
      </c>
      <c r="D314" s="6">
        <v>442398</v>
      </c>
      <c r="E314" s="6">
        <v>173723</v>
      </c>
      <c r="F314" s="6">
        <v>138450</v>
      </c>
      <c r="G314" s="6">
        <v>754571</v>
      </c>
      <c r="H314" s="6">
        <v>2760655</v>
      </c>
      <c r="I314" s="6">
        <v>1134366</v>
      </c>
      <c r="J314" s="6">
        <v>3895021</v>
      </c>
      <c r="K314" s="6">
        <v>1462636</v>
      </c>
      <c r="L314" s="6">
        <v>6112228</v>
      </c>
      <c r="M314" s="142">
        <f t="shared" si="4"/>
        <v>148.82464085707329</v>
      </c>
      <c r="N314" s="4">
        <v>41070</v>
      </c>
    </row>
    <row r="315" spans="1:14" ht="13.5" thickBot="1" x14ac:dyDescent="0.25">
      <c r="A315" s="2" t="s">
        <v>120</v>
      </c>
      <c r="B315" s="1" t="s">
        <v>119</v>
      </c>
      <c r="C315" s="2" t="s">
        <v>45</v>
      </c>
      <c r="D315" s="6">
        <v>97561</v>
      </c>
      <c r="E315" s="6">
        <v>16753</v>
      </c>
      <c r="F315" s="6">
        <v>66000</v>
      </c>
      <c r="G315" s="6">
        <v>180314</v>
      </c>
      <c r="H315" s="6">
        <v>1067039</v>
      </c>
      <c r="I315" s="6">
        <v>108759</v>
      </c>
      <c r="J315" s="6">
        <v>1175798</v>
      </c>
      <c r="K315" s="6">
        <v>300636</v>
      </c>
      <c r="L315" s="6">
        <v>1656748</v>
      </c>
      <c r="M315" s="142">
        <f t="shared" si="4"/>
        <v>35.321351668265642</v>
      </c>
      <c r="N315" s="4">
        <v>46905</v>
      </c>
    </row>
    <row r="316" spans="1:14" ht="13.5" thickBot="1" x14ac:dyDescent="0.25">
      <c r="A316" s="2" t="s">
        <v>130</v>
      </c>
      <c r="B316" s="1" t="s">
        <v>129</v>
      </c>
      <c r="C316" s="2" t="s">
        <v>45</v>
      </c>
      <c r="D316" s="6">
        <v>91747</v>
      </c>
      <c r="E316" s="6">
        <v>27759</v>
      </c>
      <c r="F316" s="6">
        <v>45407</v>
      </c>
      <c r="G316" s="6">
        <v>164913</v>
      </c>
      <c r="H316" s="6">
        <v>1061432</v>
      </c>
      <c r="I316" s="6">
        <v>79188</v>
      </c>
      <c r="J316" s="6">
        <v>1140620</v>
      </c>
      <c r="K316" s="6">
        <v>519706</v>
      </c>
      <c r="L316" s="6">
        <v>1825239</v>
      </c>
      <c r="M316" s="142">
        <f t="shared" si="4"/>
        <v>42.198155083922877</v>
      </c>
      <c r="N316" s="4">
        <v>43254</v>
      </c>
    </row>
    <row r="317" spans="1:14" ht="13.5" thickBot="1" x14ac:dyDescent="0.25">
      <c r="A317" s="2" t="s">
        <v>142</v>
      </c>
      <c r="B317" s="1" t="s">
        <v>141</v>
      </c>
      <c r="C317" s="2" t="s">
        <v>45</v>
      </c>
      <c r="D317" s="6">
        <v>63276</v>
      </c>
      <c r="E317" s="6">
        <v>13198</v>
      </c>
      <c r="F317" s="6">
        <v>12985</v>
      </c>
      <c r="G317" s="6">
        <v>89459</v>
      </c>
      <c r="H317" s="6">
        <v>593924</v>
      </c>
      <c r="I317" s="6">
        <v>152678</v>
      </c>
      <c r="J317" s="6">
        <v>746602</v>
      </c>
      <c r="K317" s="6">
        <v>175069</v>
      </c>
      <c r="L317" s="6">
        <v>1011130</v>
      </c>
      <c r="M317" s="142">
        <f t="shared" si="4"/>
        <v>28.81779576481318</v>
      </c>
      <c r="N317" s="4">
        <v>35087</v>
      </c>
    </row>
    <row r="318" spans="1:14" ht="13.5" thickBot="1" x14ac:dyDescent="0.25">
      <c r="A318" s="2" t="s">
        <v>158</v>
      </c>
      <c r="B318" s="1" t="s">
        <v>157</v>
      </c>
      <c r="C318" s="2" t="s">
        <v>45</v>
      </c>
      <c r="D318" s="6">
        <v>69449</v>
      </c>
      <c r="E318" s="6">
        <v>28060</v>
      </c>
      <c r="F318" s="6">
        <v>27374</v>
      </c>
      <c r="G318" s="6">
        <v>124883</v>
      </c>
      <c r="H318" s="6">
        <v>491188</v>
      </c>
      <c r="I318" s="6">
        <v>139185</v>
      </c>
      <c r="J318" s="6">
        <v>630373</v>
      </c>
      <c r="K318" s="6">
        <v>319259</v>
      </c>
      <c r="L318" s="6">
        <v>1074515</v>
      </c>
      <c r="M318" s="142">
        <f t="shared" si="4"/>
        <v>28.275222356718068</v>
      </c>
      <c r="N318" s="4">
        <v>38002</v>
      </c>
    </row>
    <row r="319" spans="1:14" ht="13.5" thickBot="1" x14ac:dyDescent="0.25">
      <c r="A319" s="2" t="s">
        <v>178</v>
      </c>
      <c r="B319" s="1" t="s">
        <v>177</v>
      </c>
      <c r="C319" s="2" t="s">
        <v>45</v>
      </c>
      <c r="D319" s="6">
        <v>60897</v>
      </c>
      <c r="E319" s="6">
        <v>22318</v>
      </c>
      <c r="F319" s="6">
        <v>24998</v>
      </c>
      <c r="G319" s="6">
        <v>108213</v>
      </c>
      <c r="H319" s="6">
        <v>499224</v>
      </c>
      <c r="I319" s="6">
        <v>129715</v>
      </c>
      <c r="J319" s="6">
        <v>628939</v>
      </c>
      <c r="K319" s="6">
        <v>373333</v>
      </c>
      <c r="L319" s="6">
        <v>1110485</v>
      </c>
      <c r="M319" s="142">
        <f t="shared" si="4"/>
        <v>25.59841866254812</v>
      </c>
      <c r="N319" s="4">
        <v>43381</v>
      </c>
    </row>
    <row r="320" spans="1:14" ht="13.5" thickBot="1" x14ac:dyDescent="0.25">
      <c r="A320" s="2" t="s">
        <v>182</v>
      </c>
      <c r="B320" s="1" t="s">
        <v>181</v>
      </c>
      <c r="C320" s="2" t="s">
        <v>45</v>
      </c>
      <c r="D320" s="6">
        <v>153000</v>
      </c>
      <c r="E320" s="6">
        <v>38500</v>
      </c>
      <c r="F320" s="6">
        <v>51300</v>
      </c>
      <c r="G320" s="6">
        <v>242800</v>
      </c>
      <c r="H320" s="6">
        <v>862050</v>
      </c>
      <c r="I320" s="6">
        <v>282160</v>
      </c>
      <c r="J320" s="6">
        <v>1144210</v>
      </c>
      <c r="K320" s="6">
        <v>450623</v>
      </c>
      <c r="L320" s="6">
        <v>1837633</v>
      </c>
      <c r="M320" s="142">
        <f t="shared" si="4"/>
        <v>51.672609172454514</v>
      </c>
      <c r="N320" s="4">
        <v>35563</v>
      </c>
    </row>
    <row r="321" spans="1:14" ht="13.5" thickBot="1" x14ac:dyDescent="0.25">
      <c r="A321" s="2" t="s">
        <v>196</v>
      </c>
      <c r="B321" s="1" t="s">
        <v>195</v>
      </c>
      <c r="C321" s="2" t="s">
        <v>45</v>
      </c>
      <c r="D321" s="6">
        <v>140411</v>
      </c>
      <c r="E321" s="6">
        <v>0</v>
      </c>
      <c r="F321" s="6">
        <v>58513</v>
      </c>
      <c r="G321" s="6">
        <v>198924</v>
      </c>
      <c r="H321" s="6">
        <v>612645</v>
      </c>
      <c r="I321" s="6">
        <v>202707</v>
      </c>
      <c r="J321" s="6">
        <v>815352</v>
      </c>
      <c r="K321" s="6">
        <v>693492</v>
      </c>
      <c r="L321" s="6">
        <v>1707768</v>
      </c>
      <c r="M321" s="142">
        <f t="shared" si="4"/>
        <v>42.496590852535711</v>
      </c>
      <c r="N321" s="4">
        <v>40186</v>
      </c>
    </row>
    <row r="322" spans="1:14" ht="13.5" thickBot="1" x14ac:dyDescent="0.25">
      <c r="A322" s="2" t="s">
        <v>198</v>
      </c>
      <c r="B322" s="1" t="s">
        <v>197</v>
      </c>
      <c r="C322" s="2" t="s">
        <v>45</v>
      </c>
      <c r="D322" s="6">
        <v>35279</v>
      </c>
      <c r="E322" s="6">
        <v>14116</v>
      </c>
      <c r="F322" s="6">
        <v>14097</v>
      </c>
      <c r="G322" s="6">
        <v>63492</v>
      </c>
      <c r="H322" s="6">
        <v>282076</v>
      </c>
      <c r="I322" s="6">
        <v>19727</v>
      </c>
      <c r="J322" s="6">
        <v>301803</v>
      </c>
      <c r="K322" s="6">
        <v>161705</v>
      </c>
      <c r="L322" s="6">
        <v>527000</v>
      </c>
      <c r="M322" s="142">
        <f t="shared" si="4"/>
        <v>18.646286664543751</v>
      </c>
      <c r="N322" s="4">
        <v>28263</v>
      </c>
    </row>
    <row r="323" spans="1:14" ht="13.5" thickBot="1" x14ac:dyDescent="0.25">
      <c r="A323" s="2" t="s">
        <v>208</v>
      </c>
      <c r="B323" s="1" t="s">
        <v>207</v>
      </c>
      <c r="C323" s="2" t="s">
        <v>45</v>
      </c>
      <c r="D323" s="6">
        <v>85100</v>
      </c>
      <c r="E323" s="6">
        <v>45507</v>
      </c>
      <c r="F323" s="6">
        <v>63000</v>
      </c>
      <c r="G323" s="6">
        <v>193607</v>
      </c>
      <c r="H323" s="6">
        <v>757095</v>
      </c>
      <c r="I323" s="6">
        <v>187574</v>
      </c>
      <c r="J323" s="6">
        <v>944669</v>
      </c>
      <c r="K323" s="6">
        <v>316926</v>
      </c>
      <c r="L323" s="6">
        <v>1455202</v>
      </c>
      <c r="M323" s="142">
        <f t="shared" si="4"/>
        <v>55.140085635254444</v>
      </c>
      <c r="N323" s="4">
        <v>26391</v>
      </c>
    </row>
    <row r="324" spans="1:14" ht="13.5" thickBot="1" x14ac:dyDescent="0.25">
      <c r="A324" s="2" t="s">
        <v>227</v>
      </c>
      <c r="B324" s="1" t="s">
        <v>226</v>
      </c>
      <c r="C324" s="2" t="s">
        <v>45</v>
      </c>
      <c r="D324" s="6">
        <v>64229</v>
      </c>
      <c r="E324" s="6">
        <v>6732</v>
      </c>
      <c r="F324" s="6">
        <v>17621</v>
      </c>
      <c r="G324" s="6">
        <v>88582</v>
      </c>
      <c r="H324" s="6">
        <v>629837</v>
      </c>
      <c r="I324" s="6">
        <v>191011</v>
      </c>
      <c r="J324" s="6">
        <v>820848</v>
      </c>
      <c r="K324" s="6">
        <v>808976</v>
      </c>
      <c r="L324" s="6">
        <v>1718406</v>
      </c>
      <c r="M324" s="142">
        <f t="shared" ref="M324:M387" si="5">L324/N324</f>
        <v>52.392024147077656</v>
      </c>
      <c r="N324" s="4">
        <v>32799</v>
      </c>
    </row>
    <row r="325" spans="1:14" ht="13.5" thickBot="1" x14ac:dyDescent="0.25">
      <c r="A325" s="2" t="s">
        <v>239</v>
      </c>
      <c r="B325" s="1" t="s">
        <v>238</v>
      </c>
      <c r="C325" s="2" t="s">
        <v>45</v>
      </c>
      <c r="D325" s="6">
        <v>82366</v>
      </c>
      <c r="E325" s="6">
        <v>19480</v>
      </c>
      <c r="F325" s="6">
        <v>5424</v>
      </c>
      <c r="G325" s="6">
        <v>107270</v>
      </c>
      <c r="H325" s="6">
        <v>444804</v>
      </c>
      <c r="I325" s="6">
        <v>367222</v>
      </c>
      <c r="J325" s="6">
        <v>812026</v>
      </c>
      <c r="K325" s="6">
        <v>228611</v>
      </c>
      <c r="L325" s="6">
        <v>1147907</v>
      </c>
      <c r="M325" s="142">
        <f t="shared" si="5"/>
        <v>43.866822072760627</v>
      </c>
      <c r="N325" s="4">
        <v>26168</v>
      </c>
    </row>
    <row r="326" spans="1:14" ht="13.5" thickBot="1" x14ac:dyDescent="0.25">
      <c r="A326" s="2" t="s">
        <v>251</v>
      </c>
      <c r="B326" s="1" t="s">
        <v>250</v>
      </c>
      <c r="C326" s="2" t="s">
        <v>45</v>
      </c>
      <c r="D326" s="6">
        <v>119563</v>
      </c>
      <c r="E326" s="6">
        <v>37450</v>
      </c>
      <c r="F326" s="6">
        <v>168336</v>
      </c>
      <c r="G326" s="6">
        <v>325349</v>
      </c>
      <c r="H326" s="6">
        <v>823839</v>
      </c>
      <c r="I326" s="6">
        <v>286298</v>
      </c>
      <c r="J326" s="6">
        <v>1110137</v>
      </c>
      <c r="K326" s="6">
        <v>596138</v>
      </c>
      <c r="L326" s="6">
        <v>2031624</v>
      </c>
      <c r="M326" s="142">
        <f t="shared" si="5"/>
        <v>41.821033780028408</v>
      </c>
      <c r="N326" s="4">
        <v>48579</v>
      </c>
    </row>
    <row r="327" spans="1:14" ht="13.5" thickBot="1" x14ac:dyDescent="0.25">
      <c r="A327" s="2" t="s">
        <v>253</v>
      </c>
      <c r="B327" s="1" t="s">
        <v>252</v>
      </c>
      <c r="C327" s="2" t="s">
        <v>45</v>
      </c>
      <c r="D327" s="6">
        <v>51596</v>
      </c>
      <c r="E327" s="6">
        <v>10219</v>
      </c>
      <c r="F327" s="6">
        <v>7840</v>
      </c>
      <c r="G327" s="6">
        <v>69655</v>
      </c>
      <c r="H327" s="6">
        <v>420361</v>
      </c>
      <c r="I327" s="6">
        <v>264027</v>
      </c>
      <c r="J327" s="6">
        <v>684388</v>
      </c>
      <c r="K327" s="6">
        <v>149613</v>
      </c>
      <c r="L327" s="6">
        <v>903656</v>
      </c>
      <c r="M327" s="142">
        <f t="shared" si="5"/>
        <v>27.854509586338697</v>
      </c>
      <c r="N327" s="4">
        <v>32442</v>
      </c>
    </row>
    <row r="328" spans="1:14" ht="13.5" thickBot="1" x14ac:dyDescent="0.25">
      <c r="A328" s="2" t="s">
        <v>313</v>
      </c>
      <c r="B328" s="1" t="s">
        <v>312</v>
      </c>
      <c r="C328" s="2" t="s">
        <v>45</v>
      </c>
      <c r="D328" s="6">
        <v>33933</v>
      </c>
      <c r="E328" s="6">
        <v>9468</v>
      </c>
      <c r="F328" s="6">
        <v>14145</v>
      </c>
      <c r="G328" s="6">
        <v>57546</v>
      </c>
      <c r="H328" s="6">
        <v>212431</v>
      </c>
      <c r="I328" s="6">
        <v>84728</v>
      </c>
      <c r="J328" s="6">
        <v>297159</v>
      </c>
      <c r="K328" s="6">
        <v>123475</v>
      </c>
      <c r="L328" s="6">
        <v>478180</v>
      </c>
      <c r="M328" s="142">
        <f t="shared" si="5"/>
        <v>17.267802975588619</v>
      </c>
      <c r="N328" s="4">
        <v>27692</v>
      </c>
    </row>
    <row r="329" spans="1:14" ht="13.5" thickBot="1" x14ac:dyDescent="0.25">
      <c r="A329" s="2" t="s">
        <v>321</v>
      </c>
      <c r="B329" s="1" t="s">
        <v>320</v>
      </c>
      <c r="C329" s="2" t="s">
        <v>45</v>
      </c>
      <c r="D329" s="6">
        <v>122966</v>
      </c>
      <c r="E329" s="6">
        <v>19997</v>
      </c>
      <c r="F329" s="6">
        <v>51072</v>
      </c>
      <c r="G329" s="6">
        <v>194035</v>
      </c>
      <c r="H329" s="6">
        <v>581772</v>
      </c>
      <c r="I329" s="6">
        <v>127392</v>
      </c>
      <c r="J329" s="6">
        <v>709164</v>
      </c>
      <c r="K329" s="6">
        <v>175522</v>
      </c>
      <c r="L329" s="6">
        <v>1078721</v>
      </c>
      <c r="M329" s="142">
        <f t="shared" si="5"/>
        <v>22.95883792699798</v>
      </c>
      <c r="N329" s="4">
        <v>46985</v>
      </c>
    </row>
    <row r="330" spans="1:14" ht="13.5" thickBot="1" x14ac:dyDescent="0.25">
      <c r="A330" s="2" t="s">
        <v>341</v>
      </c>
      <c r="B330" s="1" t="s">
        <v>340</v>
      </c>
      <c r="C330" s="2" t="s">
        <v>45</v>
      </c>
      <c r="D330" s="6">
        <v>55380</v>
      </c>
      <c r="E330" s="6">
        <v>12567</v>
      </c>
      <c r="F330" s="6">
        <v>29041</v>
      </c>
      <c r="G330" s="6">
        <v>96988</v>
      </c>
      <c r="H330" s="6">
        <v>895899</v>
      </c>
      <c r="I330" s="6">
        <v>470633</v>
      </c>
      <c r="J330" s="6">
        <v>1366532</v>
      </c>
      <c r="K330" s="6">
        <v>443982</v>
      </c>
      <c r="L330" s="6">
        <v>1907502</v>
      </c>
      <c r="M330" s="142">
        <f t="shared" si="5"/>
        <v>46.640471416695192</v>
      </c>
      <c r="N330" s="4">
        <v>40898</v>
      </c>
    </row>
    <row r="331" spans="1:14" ht="13.5" thickBot="1" x14ac:dyDescent="0.25">
      <c r="A331" s="2" t="s">
        <v>401</v>
      </c>
      <c r="B331" s="1" t="s">
        <v>400</v>
      </c>
      <c r="C331" s="2" t="s">
        <v>45</v>
      </c>
      <c r="D331" s="6">
        <v>141080</v>
      </c>
      <c r="E331" s="6">
        <v>16258</v>
      </c>
      <c r="F331" s="6">
        <v>19658</v>
      </c>
      <c r="G331" s="6">
        <v>176996</v>
      </c>
      <c r="H331" s="6">
        <v>309989</v>
      </c>
      <c r="I331" s="6">
        <v>91510</v>
      </c>
      <c r="J331" s="6">
        <v>401499</v>
      </c>
      <c r="K331" s="6">
        <v>599192</v>
      </c>
      <c r="L331" s="6">
        <v>1177687</v>
      </c>
      <c r="M331" s="142">
        <f t="shared" si="5"/>
        <v>28.183769683626096</v>
      </c>
      <c r="N331" s="4">
        <v>41786</v>
      </c>
    </row>
    <row r="332" spans="1:14" ht="13.5" thickBot="1" x14ac:dyDescent="0.25">
      <c r="A332" s="2" t="s">
        <v>445</v>
      </c>
      <c r="B332" s="1" t="s">
        <v>444</v>
      </c>
      <c r="C332" s="2" t="s">
        <v>45</v>
      </c>
      <c r="D332" s="6">
        <v>78632</v>
      </c>
      <c r="E332" s="6">
        <v>11628</v>
      </c>
      <c r="F332" s="6">
        <v>23581</v>
      </c>
      <c r="G332" s="6">
        <v>113841</v>
      </c>
      <c r="H332" s="6">
        <v>422601</v>
      </c>
      <c r="I332" s="6">
        <v>110863</v>
      </c>
      <c r="J332" s="6">
        <v>533464</v>
      </c>
      <c r="K332" s="6">
        <v>225542</v>
      </c>
      <c r="L332" s="6">
        <v>872847</v>
      </c>
      <c r="M332" s="142">
        <f t="shared" si="5"/>
        <v>21.408525667754041</v>
      </c>
      <c r="N332" s="4">
        <v>40771</v>
      </c>
    </row>
    <row r="333" spans="1:14" ht="13.5" thickBot="1" x14ac:dyDescent="0.25">
      <c r="A333" s="2" t="s">
        <v>451</v>
      </c>
      <c r="B333" s="1" t="s">
        <v>450</v>
      </c>
      <c r="C333" s="2" t="s">
        <v>45</v>
      </c>
      <c r="D333" s="6">
        <v>30000</v>
      </c>
      <c r="E333" s="6">
        <v>5000</v>
      </c>
      <c r="F333" s="6">
        <v>8000</v>
      </c>
      <c r="G333" s="6">
        <v>43000</v>
      </c>
      <c r="H333" s="6">
        <v>145918</v>
      </c>
      <c r="I333" s="6">
        <v>35533</v>
      </c>
      <c r="J333" s="6">
        <v>181451</v>
      </c>
      <c r="K333" s="6">
        <v>59619</v>
      </c>
      <c r="L333" s="6">
        <v>284070</v>
      </c>
      <c r="M333" s="142">
        <f t="shared" si="5"/>
        <v>7.4473049496644297</v>
      </c>
      <c r="N333" s="4">
        <v>38144</v>
      </c>
    </row>
    <row r="334" spans="1:14" ht="13.5" thickBot="1" x14ac:dyDescent="0.25">
      <c r="A334" s="2" t="s">
        <v>463</v>
      </c>
      <c r="B334" s="1" t="s">
        <v>462</v>
      </c>
      <c r="C334" s="2" t="s">
        <v>45</v>
      </c>
      <c r="D334" s="6">
        <v>108697</v>
      </c>
      <c r="E334" s="6">
        <v>31275</v>
      </c>
      <c r="F334" s="6">
        <v>59769</v>
      </c>
      <c r="G334" s="6">
        <v>199741</v>
      </c>
      <c r="H334" s="6">
        <v>904357</v>
      </c>
      <c r="I334" s="6">
        <v>315793</v>
      </c>
      <c r="J334" s="6">
        <v>1220150</v>
      </c>
      <c r="K334" s="6">
        <v>566542</v>
      </c>
      <c r="L334" s="6">
        <v>1986433</v>
      </c>
      <c r="M334" s="142">
        <f t="shared" si="5"/>
        <v>55.892881260551491</v>
      </c>
      <c r="N334" s="4">
        <v>35540</v>
      </c>
    </row>
    <row r="335" spans="1:14" ht="13.5" thickBot="1" x14ac:dyDescent="0.25">
      <c r="A335" s="2" t="s">
        <v>480</v>
      </c>
      <c r="B335" s="1" t="s">
        <v>479</v>
      </c>
      <c r="C335" s="2" t="s">
        <v>45</v>
      </c>
      <c r="D335" s="6">
        <v>52485</v>
      </c>
      <c r="E335" s="6">
        <v>3600</v>
      </c>
      <c r="F335" s="6">
        <v>15816</v>
      </c>
      <c r="G335" s="6">
        <v>71901</v>
      </c>
      <c r="H335" s="6">
        <v>337213</v>
      </c>
      <c r="I335" s="6">
        <v>129489</v>
      </c>
      <c r="J335" s="6">
        <v>466702</v>
      </c>
      <c r="K335" s="6">
        <v>50005</v>
      </c>
      <c r="L335" s="6">
        <v>588608</v>
      </c>
      <c r="M335" s="142">
        <f t="shared" si="5"/>
        <v>19.822455714959251</v>
      </c>
      <c r="N335" s="4">
        <v>29694</v>
      </c>
    </row>
    <row r="336" spans="1:14" ht="13.5" thickBot="1" x14ac:dyDescent="0.25">
      <c r="A336" s="2" t="s">
        <v>500</v>
      </c>
      <c r="B336" s="1" t="s">
        <v>499</v>
      </c>
      <c r="C336" s="2" t="s">
        <v>45</v>
      </c>
      <c r="D336" s="6">
        <v>70626</v>
      </c>
      <c r="E336" s="6">
        <v>20571</v>
      </c>
      <c r="F336" s="6">
        <v>18876</v>
      </c>
      <c r="G336" s="6">
        <v>110073</v>
      </c>
      <c r="H336" s="6">
        <v>515099</v>
      </c>
      <c r="I336" s="6">
        <v>134288</v>
      </c>
      <c r="J336" s="6">
        <v>649387</v>
      </c>
      <c r="K336" s="6">
        <v>305117</v>
      </c>
      <c r="L336" s="6">
        <v>1064577</v>
      </c>
      <c r="M336" s="142">
        <f t="shared" si="5"/>
        <v>37.163199050478255</v>
      </c>
      <c r="N336" s="4">
        <v>28646</v>
      </c>
    </row>
    <row r="337" spans="1:14" ht="13.5" thickBot="1" x14ac:dyDescent="0.25">
      <c r="A337" s="2" t="s">
        <v>556</v>
      </c>
      <c r="B337" s="1" t="s">
        <v>555</v>
      </c>
      <c r="C337" s="2" t="s">
        <v>45</v>
      </c>
      <c r="D337" s="6">
        <v>135230</v>
      </c>
      <c r="E337" s="6">
        <v>59200</v>
      </c>
      <c r="F337" s="6">
        <v>74667</v>
      </c>
      <c r="G337" s="6">
        <v>269097</v>
      </c>
      <c r="H337" s="6">
        <v>1236034</v>
      </c>
      <c r="I337" s="6">
        <v>355974</v>
      </c>
      <c r="J337" s="6">
        <v>1592008</v>
      </c>
      <c r="K337" s="6">
        <v>605134</v>
      </c>
      <c r="L337" s="6">
        <v>2466239</v>
      </c>
      <c r="M337" s="142">
        <f t="shared" si="5"/>
        <v>71.553631009371287</v>
      </c>
      <c r="N337" s="4">
        <v>34467</v>
      </c>
    </row>
    <row r="338" spans="1:14" ht="13.5" thickBot="1" x14ac:dyDescent="0.25">
      <c r="A338" s="2" t="s">
        <v>562</v>
      </c>
      <c r="B338" s="1" t="s">
        <v>561</v>
      </c>
      <c r="C338" s="2" t="s">
        <v>45</v>
      </c>
      <c r="D338" s="6">
        <v>48414</v>
      </c>
      <c r="E338" s="6">
        <v>8167</v>
      </c>
      <c r="F338" s="6">
        <v>6650</v>
      </c>
      <c r="G338" s="6">
        <v>63231</v>
      </c>
      <c r="H338" s="6">
        <v>351406</v>
      </c>
      <c r="I338" s="6">
        <v>265738</v>
      </c>
      <c r="J338" s="6">
        <v>617144</v>
      </c>
      <c r="K338" s="6">
        <v>162000</v>
      </c>
      <c r="L338" s="6">
        <v>842375</v>
      </c>
      <c r="M338" s="142">
        <f t="shared" si="5"/>
        <v>28.731368736996487</v>
      </c>
      <c r="N338" s="4">
        <v>29319</v>
      </c>
    </row>
    <row r="339" spans="1:14" ht="13.5" thickBot="1" x14ac:dyDescent="0.25">
      <c r="A339" s="2" t="s">
        <v>568</v>
      </c>
      <c r="B339" s="1" t="s">
        <v>567</v>
      </c>
      <c r="C339" s="2" t="s">
        <v>45</v>
      </c>
      <c r="D339" s="6">
        <v>112649</v>
      </c>
      <c r="E339" s="6">
        <v>55841</v>
      </c>
      <c r="F339" s="6">
        <v>84314</v>
      </c>
      <c r="G339" s="6">
        <v>252804</v>
      </c>
      <c r="H339" s="6">
        <v>1170403</v>
      </c>
      <c r="I339" s="6">
        <v>296646</v>
      </c>
      <c r="J339" s="6">
        <v>1467049</v>
      </c>
      <c r="K339" s="6">
        <v>406738</v>
      </c>
      <c r="L339" s="6">
        <v>2126591</v>
      </c>
      <c r="M339" s="142">
        <f t="shared" si="5"/>
        <v>60.08337571339775</v>
      </c>
      <c r="N339" s="4">
        <v>35394</v>
      </c>
    </row>
    <row r="340" spans="1:14" ht="13.5" thickBot="1" x14ac:dyDescent="0.25">
      <c r="A340" s="2" t="s">
        <v>598</v>
      </c>
      <c r="B340" s="1" t="s">
        <v>597</v>
      </c>
      <c r="C340" s="2" t="s">
        <v>45</v>
      </c>
      <c r="D340" s="6">
        <v>65979</v>
      </c>
      <c r="E340" s="6">
        <v>19475</v>
      </c>
      <c r="F340" s="6">
        <v>14796</v>
      </c>
      <c r="G340" s="6">
        <v>100250</v>
      </c>
      <c r="H340" s="6">
        <v>896620</v>
      </c>
      <c r="I340" s="6">
        <v>332266</v>
      </c>
      <c r="J340" s="6">
        <v>1228886</v>
      </c>
      <c r="K340" s="6">
        <v>468100</v>
      </c>
      <c r="L340" s="6">
        <v>1797236</v>
      </c>
      <c r="M340" s="142">
        <f t="shared" si="5"/>
        <v>49.319063691995282</v>
      </c>
      <c r="N340" s="4">
        <v>36441</v>
      </c>
    </row>
    <row r="341" spans="1:14" ht="13.5" thickBot="1" x14ac:dyDescent="0.25">
      <c r="A341" s="2" t="s">
        <v>608</v>
      </c>
      <c r="B341" s="1" t="s">
        <v>607</v>
      </c>
      <c r="C341" s="2" t="s">
        <v>45</v>
      </c>
      <c r="D341" s="6">
        <v>294546</v>
      </c>
      <c r="E341" s="6">
        <v>78545</v>
      </c>
      <c r="F341" s="6">
        <v>117818</v>
      </c>
      <c r="G341" s="6">
        <v>490909</v>
      </c>
      <c r="H341" s="6">
        <v>1720200</v>
      </c>
      <c r="I341" s="6">
        <v>389039</v>
      </c>
      <c r="J341" s="6">
        <v>2109239</v>
      </c>
      <c r="K341" s="6">
        <v>1019520</v>
      </c>
      <c r="L341" s="6">
        <v>3619668</v>
      </c>
      <c r="M341" s="142">
        <f t="shared" si="5"/>
        <v>98.746944565691834</v>
      </c>
      <c r="N341" s="4">
        <v>36656</v>
      </c>
    </row>
    <row r="342" spans="1:14" ht="13.5" thickBot="1" x14ac:dyDescent="0.25">
      <c r="A342" s="2" t="s">
        <v>636</v>
      </c>
      <c r="B342" s="1" t="s">
        <v>635</v>
      </c>
      <c r="C342" s="2" t="s">
        <v>45</v>
      </c>
      <c r="D342" s="6">
        <v>117647</v>
      </c>
      <c r="E342" s="6">
        <v>32100</v>
      </c>
      <c r="F342" s="6">
        <v>44122</v>
      </c>
      <c r="G342" s="6">
        <v>193869</v>
      </c>
      <c r="H342" s="6">
        <v>809216</v>
      </c>
      <c r="I342" s="6">
        <v>304907</v>
      </c>
      <c r="J342" s="6">
        <v>1114123</v>
      </c>
      <c r="K342" s="6">
        <v>432554</v>
      </c>
      <c r="L342" s="6">
        <v>1740546</v>
      </c>
      <c r="M342" s="142">
        <f t="shared" si="5"/>
        <v>35.98995078780861</v>
      </c>
      <c r="N342" s="4">
        <v>48362</v>
      </c>
    </row>
    <row r="343" spans="1:14" ht="13.5" thickBot="1" x14ac:dyDescent="0.25">
      <c r="A343" s="2" t="s">
        <v>662</v>
      </c>
      <c r="B343" s="1" t="s">
        <v>661</v>
      </c>
      <c r="C343" s="2" t="s">
        <v>45</v>
      </c>
      <c r="D343" s="6">
        <v>110209</v>
      </c>
      <c r="E343" s="6">
        <v>30123</v>
      </c>
      <c r="F343" s="6">
        <v>57769</v>
      </c>
      <c r="G343" s="6">
        <v>198101</v>
      </c>
      <c r="H343" s="6">
        <v>896543</v>
      </c>
      <c r="I343" s="6">
        <v>297501</v>
      </c>
      <c r="J343" s="6">
        <v>1194044</v>
      </c>
      <c r="K343" s="6">
        <v>435496</v>
      </c>
      <c r="L343" s="6">
        <v>1827641</v>
      </c>
      <c r="M343" s="142">
        <f t="shared" si="5"/>
        <v>54.009899819734628</v>
      </c>
      <c r="N343" s="4">
        <v>33839</v>
      </c>
    </row>
    <row r="344" spans="1:14" ht="13.5" thickBot="1" x14ac:dyDescent="0.25">
      <c r="A344" s="2" t="s">
        <v>664</v>
      </c>
      <c r="B344" s="1" t="s">
        <v>663</v>
      </c>
      <c r="C344" s="2" t="s">
        <v>45</v>
      </c>
      <c r="D344" s="6">
        <v>48722</v>
      </c>
      <c r="E344" s="6">
        <v>11513</v>
      </c>
      <c r="F344" s="6">
        <v>12109</v>
      </c>
      <c r="G344" s="6">
        <v>72344</v>
      </c>
      <c r="H344" s="6">
        <v>209569</v>
      </c>
      <c r="I344" s="6">
        <v>91283</v>
      </c>
      <c r="J344" s="6">
        <v>300852</v>
      </c>
      <c r="K344" s="6">
        <v>196793</v>
      </c>
      <c r="L344" s="6">
        <v>569989</v>
      </c>
      <c r="M344" s="142">
        <f t="shared" si="5"/>
        <v>14.296904785793117</v>
      </c>
      <c r="N344" s="4">
        <v>39868</v>
      </c>
    </row>
    <row r="345" spans="1:14" ht="13.5" thickBot="1" x14ac:dyDescent="0.25">
      <c r="A345" s="2" t="s">
        <v>668</v>
      </c>
      <c r="B345" s="1" t="s">
        <v>667</v>
      </c>
      <c r="C345" s="2" t="s">
        <v>45</v>
      </c>
      <c r="D345" s="6">
        <v>53756</v>
      </c>
      <c r="E345" s="6">
        <v>14643</v>
      </c>
      <c r="F345" s="6">
        <v>7447</v>
      </c>
      <c r="G345" s="6">
        <v>75846</v>
      </c>
      <c r="H345" s="6">
        <v>699953</v>
      </c>
      <c r="I345" s="6">
        <v>249059</v>
      </c>
      <c r="J345" s="6">
        <v>949012</v>
      </c>
      <c r="K345" s="6">
        <v>288122</v>
      </c>
      <c r="L345" s="6">
        <v>1312980</v>
      </c>
      <c r="M345" s="142">
        <f t="shared" si="5"/>
        <v>27.759149242055859</v>
      </c>
      <c r="N345" s="4">
        <v>47299</v>
      </c>
    </row>
    <row r="346" spans="1:14" ht="13.5" thickBot="1" x14ac:dyDescent="0.25">
      <c r="A346" s="2" t="s">
        <v>688</v>
      </c>
      <c r="B346" s="1" t="s">
        <v>687</v>
      </c>
      <c r="C346" s="2" t="s">
        <v>45</v>
      </c>
      <c r="D346" s="6">
        <v>102168</v>
      </c>
      <c r="E346" s="6">
        <v>34739</v>
      </c>
      <c r="F346" s="6">
        <v>57140</v>
      </c>
      <c r="G346" s="6">
        <v>194047</v>
      </c>
      <c r="H346" s="6">
        <v>977775</v>
      </c>
      <c r="I346" s="6">
        <v>174135</v>
      </c>
      <c r="J346" s="6">
        <v>1151910</v>
      </c>
      <c r="K346" s="6">
        <v>1758182</v>
      </c>
      <c r="L346" s="6">
        <v>3104139</v>
      </c>
      <c r="M346" s="142">
        <f t="shared" si="5"/>
        <v>117.6880118289354</v>
      </c>
      <c r="N346" s="4">
        <v>26376</v>
      </c>
    </row>
    <row r="347" spans="1:14" ht="13.5" thickBot="1" x14ac:dyDescent="0.25">
      <c r="A347" s="2" t="s">
        <v>712</v>
      </c>
      <c r="B347" s="1" t="s">
        <v>711</v>
      </c>
      <c r="C347" s="2" t="s">
        <v>45</v>
      </c>
      <c r="D347" s="6">
        <v>68934</v>
      </c>
      <c r="E347" s="6">
        <v>11220</v>
      </c>
      <c r="F347" s="6">
        <v>19384</v>
      </c>
      <c r="G347" s="6">
        <v>99538</v>
      </c>
      <c r="H347" s="6">
        <v>538851</v>
      </c>
      <c r="I347" s="6">
        <v>102332</v>
      </c>
      <c r="J347" s="6">
        <v>641183</v>
      </c>
      <c r="K347" s="6">
        <v>79368</v>
      </c>
      <c r="L347" s="6">
        <v>820089</v>
      </c>
      <c r="M347" s="142">
        <f t="shared" si="5"/>
        <v>29.372815186246417</v>
      </c>
      <c r="N347" s="4">
        <v>27920</v>
      </c>
    </row>
    <row r="348" spans="1:14" ht="13.5" thickBot="1" x14ac:dyDescent="0.25">
      <c r="A348" s="2" t="s">
        <v>722</v>
      </c>
      <c r="B348" s="1" t="s">
        <v>721</v>
      </c>
      <c r="C348" s="2" t="s">
        <v>45</v>
      </c>
      <c r="D348" s="6">
        <v>46573</v>
      </c>
      <c r="E348" s="6">
        <v>18751</v>
      </c>
      <c r="F348" s="6">
        <v>6650</v>
      </c>
      <c r="G348" s="6">
        <v>71974</v>
      </c>
      <c r="H348" s="6">
        <v>204945</v>
      </c>
      <c r="I348" s="6">
        <v>30515</v>
      </c>
      <c r="J348" s="6">
        <v>235460</v>
      </c>
      <c r="K348" s="6">
        <v>246178</v>
      </c>
      <c r="L348" s="6">
        <v>553612</v>
      </c>
      <c r="M348" s="142">
        <f t="shared" si="5"/>
        <v>18.424867707258628</v>
      </c>
      <c r="N348" s="4">
        <v>30047</v>
      </c>
    </row>
    <row r="349" spans="1:14" ht="13.5" thickBot="1" x14ac:dyDescent="0.25">
      <c r="A349" s="2" t="s">
        <v>740</v>
      </c>
      <c r="B349" s="1" t="s">
        <v>739</v>
      </c>
      <c r="C349" s="2" t="s">
        <v>45</v>
      </c>
      <c r="D349" s="6">
        <v>88630</v>
      </c>
      <c r="E349" s="6">
        <v>9805</v>
      </c>
      <c r="F349" s="6">
        <v>3000</v>
      </c>
      <c r="G349" s="6">
        <v>101435</v>
      </c>
      <c r="H349" s="6">
        <v>509517</v>
      </c>
      <c r="I349" s="6">
        <v>114476</v>
      </c>
      <c r="J349" s="6">
        <v>623993</v>
      </c>
      <c r="K349" s="6">
        <v>361421</v>
      </c>
      <c r="L349" s="6">
        <v>1086849</v>
      </c>
      <c r="M349" s="142">
        <f t="shared" si="5"/>
        <v>26.61171371905683</v>
      </c>
      <c r="N349" s="4">
        <v>40841</v>
      </c>
    </row>
    <row r="350" spans="1:14" ht="13.5" thickBot="1" x14ac:dyDescent="0.25">
      <c r="A350" s="2" t="s">
        <v>785</v>
      </c>
      <c r="B350" s="1" t="s">
        <v>784</v>
      </c>
      <c r="C350" s="2" t="s">
        <v>45</v>
      </c>
      <c r="D350" s="6">
        <v>145850</v>
      </c>
      <c r="E350" s="6">
        <v>51132</v>
      </c>
      <c r="F350" s="6">
        <v>39743</v>
      </c>
      <c r="G350" s="6">
        <v>236725</v>
      </c>
      <c r="H350" s="6">
        <v>1067668</v>
      </c>
      <c r="I350" s="6">
        <v>275561</v>
      </c>
      <c r="J350" s="6">
        <v>1343229</v>
      </c>
      <c r="K350" s="6">
        <v>377293</v>
      </c>
      <c r="L350" s="6">
        <v>1957247</v>
      </c>
      <c r="M350" s="142">
        <f t="shared" si="5"/>
        <v>44.216581949621599</v>
      </c>
      <c r="N350" s="4">
        <v>44265</v>
      </c>
    </row>
    <row r="351" spans="1:14" ht="13.5" thickBot="1" x14ac:dyDescent="0.25">
      <c r="A351" s="2" t="s">
        <v>827</v>
      </c>
      <c r="B351" s="1" t="s">
        <v>826</v>
      </c>
      <c r="C351" s="2" t="s">
        <v>45</v>
      </c>
      <c r="D351" s="6">
        <v>108668</v>
      </c>
      <c r="E351" s="6">
        <v>41871</v>
      </c>
      <c r="F351" s="6">
        <v>14000</v>
      </c>
      <c r="G351" s="6">
        <v>164539</v>
      </c>
      <c r="H351" s="6">
        <v>597892</v>
      </c>
      <c r="I351" s="6">
        <v>141343</v>
      </c>
      <c r="J351" s="6">
        <v>739235</v>
      </c>
      <c r="K351" s="6">
        <v>205330</v>
      </c>
      <c r="L351" s="6">
        <v>1109104</v>
      </c>
      <c r="M351" s="142">
        <f t="shared" si="5"/>
        <v>36.946733735300974</v>
      </c>
      <c r="N351" s="4">
        <v>30019</v>
      </c>
    </row>
    <row r="352" spans="1:14" ht="13.5" thickBot="1" x14ac:dyDescent="0.25">
      <c r="A352" s="2" t="s">
        <v>59</v>
      </c>
      <c r="B352" s="1" t="s">
        <v>58</v>
      </c>
      <c r="C352" s="2" t="s">
        <v>60</v>
      </c>
      <c r="D352" s="6">
        <v>772581</v>
      </c>
      <c r="E352" s="6">
        <v>347096</v>
      </c>
      <c r="F352" s="6">
        <v>468942</v>
      </c>
      <c r="G352" s="6">
        <v>1588619</v>
      </c>
      <c r="H352" s="6">
        <v>6549058</v>
      </c>
      <c r="I352" s="6">
        <v>2147629</v>
      </c>
      <c r="J352" s="6">
        <v>8696687</v>
      </c>
      <c r="K352" s="6">
        <v>4405450</v>
      </c>
      <c r="L352" s="6">
        <v>14690756</v>
      </c>
      <c r="M352" s="142">
        <f t="shared" si="5"/>
        <v>89.802286203313159</v>
      </c>
      <c r="N352" s="4">
        <v>163590</v>
      </c>
    </row>
    <row r="353" spans="1:14" ht="13.5" thickBot="1" x14ac:dyDescent="0.25">
      <c r="A353" s="2" t="s">
        <v>86</v>
      </c>
      <c r="B353" s="1" t="s">
        <v>85</v>
      </c>
      <c r="C353" s="2" t="s">
        <v>60</v>
      </c>
      <c r="D353" s="6">
        <v>349192</v>
      </c>
      <c r="E353" s="6">
        <v>87281</v>
      </c>
      <c r="F353" s="6">
        <v>110427</v>
      </c>
      <c r="G353" s="6">
        <v>546900</v>
      </c>
      <c r="H353" s="6">
        <v>2436772</v>
      </c>
      <c r="I353" s="6">
        <v>841619</v>
      </c>
      <c r="J353" s="6">
        <v>3278391</v>
      </c>
      <c r="K353" s="6">
        <v>916110</v>
      </c>
      <c r="L353" s="6">
        <v>4741401</v>
      </c>
      <c r="M353" s="142">
        <f t="shared" si="5"/>
        <v>44.031918351426903</v>
      </c>
      <c r="N353" s="4">
        <v>107681</v>
      </c>
    </row>
    <row r="354" spans="1:14" ht="13.5" thickBot="1" x14ac:dyDescent="0.25">
      <c r="A354" s="2" t="s">
        <v>148</v>
      </c>
      <c r="B354" s="1" t="s">
        <v>147</v>
      </c>
      <c r="C354" s="2" t="s">
        <v>60</v>
      </c>
      <c r="D354" s="6">
        <v>366472</v>
      </c>
      <c r="E354" s="6">
        <v>147702</v>
      </c>
      <c r="F354" s="6">
        <v>236080</v>
      </c>
      <c r="G354" s="6">
        <v>750254</v>
      </c>
      <c r="H354" s="6">
        <v>2591072</v>
      </c>
      <c r="I354" s="6">
        <v>463629</v>
      </c>
      <c r="J354" s="6">
        <v>3054701</v>
      </c>
      <c r="K354" s="6">
        <v>2099483</v>
      </c>
      <c r="L354" s="6">
        <v>5904438</v>
      </c>
      <c r="M354" s="142">
        <f t="shared" si="5"/>
        <v>65.479001474942606</v>
      </c>
      <c r="N354" s="4">
        <v>90173</v>
      </c>
    </row>
    <row r="355" spans="1:14" ht="13.5" thickBot="1" x14ac:dyDescent="0.25">
      <c r="A355" s="2" t="s">
        <v>150</v>
      </c>
      <c r="B355" s="1" t="s">
        <v>149</v>
      </c>
      <c r="C355" s="2" t="s">
        <v>60</v>
      </c>
      <c r="D355" s="6">
        <v>561115</v>
      </c>
      <c r="E355" s="6">
        <v>396574</v>
      </c>
      <c r="F355" s="6">
        <v>630930</v>
      </c>
      <c r="G355" s="6">
        <v>1588619</v>
      </c>
      <c r="H355" s="6">
        <v>5562906</v>
      </c>
      <c r="I355" s="6">
        <v>1609351</v>
      </c>
      <c r="J355" s="6">
        <v>7172257</v>
      </c>
      <c r="K355" s="6">
        <v>3025674</v>
      </c>
      <c r="L355" s="6">
        <v>11786550</v>
      </c>
      <c r="M355" s="142">
        <f t="shared" si="5"/>
        <v>49.345220401994482</v>
      </c>
      <c r="N355" s="4">
        <v>238859</v>
      </c>
    </row>
    <row r="356" spans="1:14" ht="13.5" thickBot="1" x14ac:dyDescent="0.25">
      <c r="A356" s="2" t="s">
        <v>180</v>
      </c>
      <c r="B356" s="1" t="s">
        <v>179</v>
      </c>
      <c r="C356" s="2" t="s">
        <v>60</v>
      </c>
      <c r="D356" s="6">
        <v>123955</v>
      </c>
      <c r="E356" s="6">
        <v>48515</v>
      </c>
      <c r="F356" s="6">
        <v>76049</v>
      </c>
      <c r="G356" s="6">
        <v>248519</v>
      </c>
      <c r="H356" s="6">
        <v>1056419</v>
      </c>
      <c r="I356" s="6">
        <v>248653</v>
      </c>
      <c r="J356" s="6">
        <v>1305072</v>
      </c>
      <c r="K356" s="6">
        <v>537934</v>
      </c>
      <c r="L356" s="6">
        <v>2091525</v>
      </c>
      <c r="M356" s="142">
        <f t="shared" si="5"/>
        <v>40.502033307513557</v>
      </c>
      <c r="N356" s="4">
        <v>51640</v>
      </c>
    </row>
    <row r="357" spans="1:14" ht="13.5" thickBot="1" x14ac:dyDescent="0.25">
      <c r="A357" s="2" t="s">
        <v>186</v>
      </c>
      <c r="B357" s="1" t="s">
        <v>185</v>
      </c>
      <c r="C357" s="2" t="s">
        <v>60</v>
      </c>
      <c r="D357" s="6">
        <v>378800</v>
      </c>
      <c r="E357" s="6">
        <v>328858</v>
      </c>
      <c r="F357" s="6">
        <v>271983</v>
      </c>
      <c r="G357" s="6">
        <v>979641</v>
      </c>
      <c r="H357" s="6">
        <v>2631297</v>
      </c>
      <c r="I357" s="6">
        <v>530138</v>
      </c>
      <c r="J357" s="6">
        <v>3161435</v>
      </c>
      <c r="K357" s="6">
        <v>1946603</v>
      </c>
      <c r="L357" s="6">
        <v>6087679</v>
      </c>
      <c r="M357" s="142">
        <f t="shared" si="5"/>
        <v>35.845088999193322</v>
      </c>
      <c r="N357" s="4">
        <v>169833</v>
      </c>
    </row>
    <row r="358" spans="1:14" ht="13.5" thickBot="1" x14ac:dyDescent="0.25">
      <c r="A358" s="2" t="s">
        <v>221</v>
      </c>
      <c r="B358" s="1" t="s">
        <v>220</v>
      </c>
      <c r="C358" s="2" t="s">
        <v>60</v>
      </c>
      <c r="D358" s="6">
        <v>110576</v>
      </c>
      <c r="E358" s="6">
        <v>21100</v>
      </c>
      <c r="F358" s="6">
        <v>14027</v>
      </c>
      <c r="G358" s="6">
        <v>145703</v>
      </c>
      <c r="H358" s="6">
        <v>741897</v>
      </c>
      <c r="I358" s="6">
        <v>174101</v>
      </c>
      <c r="J358" s="6">
        <v>915998</v>
      </c>
      <c r="K358" s="6">
        <v>471431</v>
      </c>
      <c r="L358" s="6">
        <v>1533132</v>
      </c>
      <c r="M358" s="142">
        <f t="shared" si="5"/>
        <v>26.536712015785646</v>
      </c>
      <c r="N358" s="4">
        <v>57774</v>
      </c>
    </row>
    <row r="359" spans="1:14" ht="13.5" thickBot="1" x14ac:dyDescent="0.25">
      <c r="A359" s="2" t="s">
        <v>223</v>
      </c>
      <c r="B359" s="1" t="s">
        <v>222</v>
      </c>
      <c r="C359" s="2" t="s">
        <v>60</v>
      </c>
      <c r="D359" s="6">
        <v>234500</v>
      </c>
      <c r="E359" s="6">
        <v>136150</v>
      </c>
      <c r="F359" s="6">
        <v>129350</v>
      </c>
      <c r="G359" s="6">
        <v>500000</v>
      </c>
      <c r="H359" s="6">
        <v>2397185</v>
      </c>
      <c r="I359" s="6">
        <v>1281546</v>
      </c>
      <c r="J359" s="6">
        <v>3678731</v>
      </c>
      <c r="K359" s="6">
        <v>1933851</v>
      </c>
      <c r="L359" s="6">
        <v>6112582</v>
      </c>
      <c r="M359" s="142">
        <f t="shared" si="5"/>
        <v>62.276058806149585</v>
      </c>
      <c r="N359" s="4">
        <v>98153</v>
      </c>
    </row>
    <row r="360" spans="1:14" ht="13.5" thickBot="1" x14ac:dyDescent="0.25">
      <c r="A360" s="2" t="s">
        <v>233</v>
      </c>
      <c r="B360" s="1" t="s">
        <v>232</v>
      </c>
      <c r="C360" s="2" t="s">
        <v>60</v>
      </c>
      <c r="D360" s="6">
        <v>500886</v>
      </c>
      <c r="E360" s="6">
        <v>526725</v>
      </c>
      <c r="F360" s="6">
        <v>381120</v>
      </c>
      <c r="G360" s="6">
        <v>1408731</v>
      </c>
      <c r="H360" s="6">
        <v>12779893</v>
      </c>
      <c r="I360" s="6">
        <v>6155805</v>
      </c>
      <c r="J360" s="6">
        <v>18935698</v>
      </c>
      <c r="K360" s="6">
        <v>11532330</v>
      </c>
      <c r="L360" s="6">
        <v>31876759</v>
      </c>
      <c r="M360" s="142">
        <f t="shared" si="5"/>
        <v>44.659268931332896</v>
      </c>
      <c r="N360" s="4">
        <v>713777</v>
      </c>
    </row>
    <row r="361" spans="1:14" ht="13.5" thickBot="1" x14ac:dyDescent="0.25">
      <c r="A361" s="2" t="s">
        <v>277</v>
      </c>
      <c r="B361" s="1" t="s">
        <v>276</v>
      </c>
      <c r="C361" s="2" t="s">
        <v>60</v>
      </c>
      <c r="D361" s="6">
        <v>293552</v>
      </c>
      <c r="E361" s="6">
        <v>149690</v>
      </c>
      <c r="F361" s="6">
        <v>184649</v>
      </c>
      <c r="G361" s="6">
        <v>627891</v>
      </c>
      <c r="H361" s="6">
        <v>2872806</v>
      </c>
      <c r="I361" s="6">
        <v>779683</v>
      </c>
      <c r="J361" s="6">
        <v>3652489</v>
      </c>
      <c r="K361" s="6">
        <v>1583141</v>
      </c>
      <c r="L361" s="6">
        <v>5863521</v>
      </c>
      <c r="M361" s="142">
        <f t="shared" si="5"/>
        <v>65.069258256392047</v>
      </c>
      <c r="N361" s="4">
        <v>90112</v>
      </c>
    </row>
    <row r="362" spans="1:14" ht="13.5" thickBot="1" x14ac:dyDescent="0.25">
      <c r="A362" s="2" t="s">
        <v>291</v>
      </c>
      <c r="B362" s="1" t="s">
        <v>290</v>
      </c>
      <c r="C362" s="2" t="s">
        <v>60</v>
      </c>
      <c r="D362" s="6">
        <v>55807</v>
      </c>
      <c r="E362" s="6">
        <v>74161</v>
      </c>
      <c r="F362" s="6">
        <v>93762</v>
      </c>
      <c r="G362" s="6">
        <v>223730</v>
      </c>
      <c r="H362" s="6">
        <v>1434520</v>
      </c>
      <c r="I362" s="6">
        <v>637769</v>
      </c>
      <c r="J362" s="6">
        <v>2072289</v>
      </c>
      <c r="K362" s="6">
        <v>1531188</v>
      </c>
      <c r="L362" s="6">
        <v>3827207</v>
      </c>
      <c r="M362" s="142">
        <f t="shared" si="5"/>
        <v>37.36266278774626</v>
      </c>
      <c r="N362" s="4">
        <v>102434</v>
      </c>
    </row>
    <row r="363" spans="1:14" ht="13.5" thickBot="1" x14ac:dyDescent="0.25">
      <c r="A363" s="2" t="s">
        <v>317</v>
      </c>
      <c r="B363" s="1" t="s">
        <v>316</v>
      </c>
      <c r="C363" s="2" t="s">
        <v>60</v>
      </c>
      <c r="D363" s="6">
        <v>835410</v>
      </c>
      <c r="E363" s="6">
        <v>813381</v>
      </c>
      <c r="F363" s="6">
        <v>20200</v>
      </c>
      <c r="G363" s="6">
        <v>1668991</v>
      </c>
      <c r="H363" s="6">
        <v>3390858</v>
      </c>
      <c r="I363" s="6">
        <v>1980988</v>
      </c>
      <c r="J363" s="6">
        <v>5371846</v>
      </c>
      <c r="K363" s="6">
        <v>1289995</v>
      </c>
      <c r="L363" s="6">
        <v>8330832</v>
      </c>
      <c r="M363" s="142">
        <f t="shared" si="5"/>
        <v>25.050086148054376</v>
      </c>
      <c r="N363" s="4">
        <v>332567</v>
      </c>
    </row>
    <row r="364" spans="1:14" ht="13.5" thickBot="1" x14ac:dyDescent="0.25">
      <c r="A364" s="2" t="s">
        <v>331</v>
      </c>
      <c r="B364" s="1" t="s">
        <v>330</v>
      </c>
      <c r="C364" s="2" t="s">
        <v>60</v>
      </c>
      <c r="D364" s="6">
        <v>195392</v>
      </c>
      <c r="E364" s="6">
        <v>66095</v>
      </c>
      <c r="F364" s="6">
        <v>164140</v>
      </c>
      <c r="G364" s="6">
        <v>425627</v>
      </c>
      <c r="H364" s="6">
        <v>1615606</v>
      </c>
      <c r="I364" s="6">
        <v>1277079</v>
      </c>
      <c r="J364" s="6">
        <v>2892685</v>
      </c>
      <c r="K364" s="6">
        <v>691297</v>
      </c>
      <c r="L364" s="6">
        <v>4009609</v>
      </c>
      <c r="M364" s="142">
        <f t="shared" si="5"/>
        <v>52.271748341090124</v>
      </c>
      <c r="N364" s="4">
        <v>76707</v>
      </c>
    </row>
    <row r="365" spans="1:14" ht="13.5" thickBot="1" x14ac:dyDescent="0.25">
      <c r="A365" s="2" t="s">
        <v>335</v>
      </c>
      <c r="B365" s="1" t="s">
        <v>334</v>
      </c>
      <c r="C365" s="2" t="s">
        <v>60</v>
      </c>
      <c r="D365" s="6">
        <v>563665</v>
      </c>
      <c r="E365" s="6">
        <v>198719</v>
      </c>
      <c r="F365" s="6">
        <v>416693</v>
      </c>
      <c r="G365" s="6">
        <v>1179077</v>
      </c>
      <c r="H365" s="6">
        <v>4386021</v>
      </c>
      <c r="I365" s="6">
        <v>1500488</v>
      </c>
      <c r="J365" s="6">
        <v>5886509</v>
      </c>
      <c r="K365" s="6">
        <v>2085099</v>
      </c>
      <c r="L365" s="6">
        <v>9150685</v>
      </c>
      <c r="M365" s="142">
        <f t="shared" si="5"/>
        <v>48.663502446288021</v>
      </c>
      <c r="N365" s="4">
        <v>188040</v>
      </c>
    </row>
    <row r="366" spans="1:14" ht="13.5" thickBot="1" x14ac:dyDescent="0.25">
      <c r="A366" s="2" t="s">
        <v>339</v>
      </c>
      <c r="B366" s="1" t="s">
        <v>338</v>
      </c>
      <c r="C366" s="2" t="s">
        <v>60</v>
      </c>
      <c r="D366" s="6">
        <v>303097</v>
      </c>
      <c r="E366" s="6">
        <v>130995</v>
      </c>
      <c r="F366" s="6">
        <v>192622</v>
      </c>
      <c r="G366" s="6">
        <v>626714</v>
      </c>
      <c r="H366" s="6">
        <v>1964000</v>
      </c>
      <c r="I366" s="6">
        <v>621348</v>
      </c>
      <c r="J366" s="6">
        <v>2585348</v>
      </c>
      <c r="K366" s="6">
        <v>1056177</v>
      </c>
      <c r="L366" s="6">
        <v>4268239</v>
      </c>
      <c r="M366" s="142">
        <f t="shared" si="5"/>
        <v>83.473275575460079</v>
      </c>
      <c r="N366" s="4">
        <v>51133</v>
      </c>
    </row>
    <row r="367" spans="1:14" ht="13.5" thickBot="1" x14ac:dyDescent="0.25">
      <c r="A367" s="2" t="s">
        <v>367</v>
      </c>
      <c r="B367" s="1" t="s">
        <v>366</v>
      </c>
      <c r="C367" s="2" t="s">
        <v>60</v>
      </c>
      <c r="D367" s="6">
        <v>224058</v>
      </c>
      <c r="E367" s="6">
        <v>100869</v>
      </c>
      <c r="F367" s="6">
        <v>346463</v>
      </c>
      <c r="G367" s="6">
        <v>671390</v>
      </c>
      <c r="H367" s="6">
        <v>2149035</v>
      </c>
      <c r="I367" s="6">
        <v>958126</v>
      </c>
      <c r="J367" s="6">
        <v>3107161</v>
      </c>
      <c r="K367" s="6">
        <v>874624</v>
      </c>
      <c r="L367" s="6">
        <v>4653175</v>
      </c>
      <c r="M367" s="142">
        <f t="shared" si="5"/>
        <v>45.430957890317607</v>
      </c>
      <c r="N367" s="4">
        <v>102423</v>
      </c>
    </row>
    <row r="368" spans="1:14" ht="13.5" thickBot="1" x14ac:dyDescent="0.25">
      <c r="A368" s="2" t="s">
        <v>389</v>
      </c>
      <c r="B368" s="1" t="s">
        <v>388</v>
      </c>
      <c r="C368" s="2" t="s">
        <v>60</v>
      </c>
      <c r="D368" s="6">
        <v>147623</v>
      </c>
      <c r="E368" s="6">
        <v>85825</v>
      </c>
      <c r="F368" s="6">
        <v>92016</v>
      </c>
      <c r="G368" s="6">
        <v>325464</v>
      </c>
      <c r="H368" s="6">
        <v>1036466</v>
      </c>
      <c r="I368" s="6">
        <v>311068</v>
      </c>
      <c r="J368" s="6">
        <v>1347534</v>
      </c>
      <c r="K368" s="6">
        <v>503350</v>
      </c>
      <c r="L368" s="6">
        <v>2176348</v>
      </c>
      <c r="M368" s="142">
        <f t="shared" si="5"/>
        <v>41.431361724000077</v>
      </c>
      <c r="N368" s="4">
        <v>52529</v>
      </c>
    </row>
    <row r="369" spans="1:14" ht="13.5" thickBot="1" x14ac:dyDescent="0.25">
      <c r="A369" s="2" t="s">
        <v>409</v>
      </c>
      <c r="B369" s="1" t="s">
        <v>408</v>
      </c>
      <c r="C369" s="2" t="s">
        <v>60</v>
      </c>
      <c r="D369" s="6">
        <v>357172</v>
      </c>
      <c r="E369" s="6">
        <v>193368</v>
      </c>
      <c r="F369" s="6">
        <v>437355</v>
      </c>
      <c r="G369" s="6">
        <v>987895</v>
      </c>
      <c r="H369" s="6">
        <v>3357741</v>
      </c>
      <c r="I369" s="6">
        <v>1582742</v>
      </c>
      <c r="J369" s="6">
        <v>4940483</v>
      </c>
      <c r="K369" s="6">
        <v>1397368</v>
      </c>
      <c r="L369" s="6">
        <v>7325746</v>
      </c>
      <c r="M369" s="142">
        <f t="shared" si="5"/>
        <v>45.715054166042634</v>
      </c>
      <c r="N369" s="4">
        <v>160248</v>
      </c>
    </row>
    <row r="370" spans="1:14" ht="13.5" thickBot="1" x14ac:dyDescent="0.25">
      <c r="A370" s="2" t="s">
        <v>417</v>
      </c>
      <c r="B370" s="1" t="s">
        <v>416</v>
      </c>
      <c r="C370" s="2" t="s">
        <v>60</v>
      </c>
      <c r="D370" s="6">
        <v>567443</v>
      </c>
      <c r="E370" s="6">
        <v>440832</v>
      </c>
      <c r="F370" s="6">
        <v>158773</v>
      </c>
      <c r="G370" s="6">
        <v>1167048</v>
      </c>
      <c r="H370" s="6">
        <v>5200796</v>
      </c>
      <c r="I370" s="6">
        <v>2398982</v>
      </c>
      <c r="J370" s="6">
        <v>7599778</v>
      </c>
      <c r="K370" s="6">
        <v>2290469</v>
      </c>
      <c r="L370" s="6">
        <v>11057295</v>
      </c>
      <c r="M370" s="142">
        <f t="shared" si="5"/>
        <v>94.95723302846838</v>
      </c>
      <c r="N370" s="4">
        <v>116445</v>
      </c>
    </row>
    <row r="371" spans="1:14" ht="13.5" thickBot="1" x14ac:dyDescent="0.25">
      <c r="A371" s="2" t="s">
        <v>421</v>
      </c>
      <c r="B371" s="1" t="s">
        <v>420</v>
      </c>
      <c r="C371" s="2" t="s">
        <v>60</v>
      </c>
      <c r="D371" s="6">
        <v>1125290</v>
      </c>
      <c r="E371" s="6">
        <v>787180</v>
      </c>
      <c r="F371" s="6">
        <v>1280560</v>
      </c>
      <c r="G371" s="6">
        <v>3193030</v>
      </c>
      <c r="H371" s="6">
        <v>10398814</v>
      </c>
      <c r="I371" s="6">
        <v>2480678</v>
      </c>
      <c r="J371" s="6">
        <v>12879492</v>
      </c>
      <c r="K371" s="6">
        <v>4298400</v>
      </c>
      <c r="L371" s="6">
        <v>20370922</v>
      </c>
      <c r="M371" s="142">
        <f t="shared" si="5"/>
        <v>51.485927311327906</v>
      </c>
      <c r="N371" s="4">
        <v>395660</v>
      </c>
    </row>
    <row r="372" spans="1:14" ht="13.5" thickBot="1" x14ac:dyDescent="0.25">
      <c r="A372" s="2" t="s">
        <v>431</v>
      </c>
      <c r="B372" s="1" t="s">
        <v>430</v>
      </c>
      <c r="C372" s="2" t="s">
        <v>60</v>
      </c>
      <c r="D372" s="6">
        <v>106308</v>
      </c>
      <c r="E372" s="6">
        <v>36920</v>
      </c>
      <c r="F372" s="6">
        <v>25563</v>
      </c>
      <c r="G372" s="6">
        <v>168791</v>
      </c>
      <c r="H372" s="6">
        <v>878835</v>
      </c>
      <c r="I372" s="6">
        <v>344851</v>
      </c>
      <c r="J372" s="6">
        <v>1223686</v>
      </c>
      <c r="K372" s="6">
        <v>486899</v>
      </c>
      <c r="L372" s="6">
        <v>1879376</v>
      </c>
      <c r="M372" s="142">
        <f t="shared" si="5"/>
        <v>31.319801353198013</v>
      </c>
      <c r="N372" s="4">
        <v>60006</v>
      </c>
    </row>
    <row r="373" spans="1:14" ht="13.5" thickBot="1" x14ac:dyDescent="0.25">
      <c r="A373" s="2" t="s">
        <v>459</v>
      </c>
      <c r="B373" s="1" t="s">
        <v>458</v>
      </c>
      <c r="C373" s="2" t="s">
        <v>60</v>
      </c>
      <c r="D373" s="6">
        <v>199000</v>
      </c>
      <c r="E373" s="6">
        <v>34500</v>
      </c>
      <c r="F373" s="6">
        <v>24753</v>
      </c>
      <c r="G373" s="6">
        <v>258253</v>
      </c>
      <c r="H373" s="6">
        <v>1744953</v>
      </c>
      <c r="I373" s="6">
        <v>738413</v>
      </c>
      <c r="J373" s="6">
        <v>2483366</v>
      </c>
      <c r="K373" s="6">
        <v>540898</v>
      </c>
      <c r="L373" s="6">
        <v>3282517</v>
      </c>
      <c r="M373" s="142">
        <f t="shared" si="5"/>
        <v>33.860628004373751</v>
      </c>
      <c r="N373" s="4">
        <v>96942</v>
      </c>
    </row>
    <row r="374" spans="1:14" ht="13.5" thickBot="1" x14ac:dyDescent="0.25">
      <c r="A374" s="2" t="s">
        <v>526</v>
      </c>
      <c r="B374" s="1" t="s">
        <v>525</v>
      </c>
      <c r="C374" s="2" t="s">
        <v>60</v>
      </c>
      <c r="D374" s="6">
        <v>410946</v>
      </c>
      <c r="E374" s="6">
        <v>189148</v>
      </c>
      <c r="F374" s="6">
        <v>177543</v>
      </c>
      <c r="G374" s="6">
        <v>777637</v>
      </c>
      <c r="H374" s="6">
        <v>4005962</v>
      </c>
      <c r="I374" s="6">
        <v>1617794</v>
      </c>
      <c r="J374" s="6">
        <v>5623756</v>
      </c>
      <c r="K374" s="6">
        <v>1212195</v>
      </c>
      <c r="L374" s="6">
        <v>7613588</v>
      </c>
      <c r="M374" s="142">
        <f t="shared" si="5"/>
        <v>50.772485078856988</v>
      </c>
      <c r="N374" s="4">
        <v>149955</v>
      </c>
    </row>
    <row r="375" spans="1:14" ht="13.5" thickBot="1" x14ac:dyDescent="0.25">
      <c r="A375" s="2" t="s">
        <v>540</v>
      </c>
      <c r="B375" s="1" t="s">
        <v>539</v>
      </c>
      <c r="C375" s="2" t="s">
        <v>60</v>
      </c>
      <c r="D375" s="6">
        <v>218035</v>
      </c>
      <c r="E375" s="6">
        <v>68410</v>
      </c>
      <c r="F375" s="6">
        <v>116509</v>
      </c>
      <c r="G375" s="6">
        <v>402954</v>
      </c>
      <c r="H375" s="6">
        <v>1393446</v>
      </c>
      <c r="I375" s="6">
        <v>538705</v>
      </c>
      <c r="J375" s="6">
        <v>1932151</v>
      </c>
      <c r="K375" s="6">
        <v>1058659</v>
      </c>
      <c r="L375" s="6">
        <v>3393764</v>
      </c>
      <c r="M375" s="142">
        <f t="shared" si="5"/>
        <v>32.061406492083286</v>
      </c>
      <c r="N375" s="4">
        <v>105852</v>
      </c>
    </row>
    <row r="376" spans="1:14" ht="13.5" thickBot="1" x14ac:dyDescent="0.25">
      <c r="A376" s="2" t="s">
        <v>560</v>
      </c>
      <c r="B376" s="1" t="s">
        <v>559</v>
      </c>
      <c r="C376" s="2" t="s">
        <v>60</v>
      </c>
      <c r="D376" s="6">
        <v>205771</v>
      </c>
      <c r="E376" s="6">
        <v>116776</v>
      </c>
      <c r="F376" s="6">
        <v>65870</v>
      </c>
      <c r="G376" s="6">
        <v>388417</v>
      </c>
      <c r="H376" s="6">
        <v>1424429</v>
      </c>
      <c r="I376" s="6">
        <v>340233</v>
      </c>
      <c r="J376" s="6">
        <v>1764662</v>
      </c>
      <c r="K376" s="6">
        <v>731415</v>
      </c>
      <c r="L376" s="6">
        <v>2884494</v>
      </c>
      <c r="M376" s="142">
        <f t="shared" si="5"/>
        <v>52.091125799111495</v>
      </c>
      <c r="N376" s="4">
        <v>55374</v>
      </c>
    </row>
    <row r="377" spans="1:14" ht="13.5" thickBot="1" x14ac:dyDescent="0.25">
      <c r="A377" s="2" t="s">
        <v>610</v>
      </c>
      <c r="B377" s="1" t="s">
        <v>609</v>
      </c>
      <c r="C377" s="2" t="s">
        <v>60</v>
      </c>
      <c r="D377" s="6">
        <v>31126</v>
      </c>
      <c r="E377" s="6">
        <v>22948</v>
      </c>
      <c r="F377" s="6">
        <v>21346</v>
      </c>
      <c r="G377" s="6">
        <v>75420</v>
      </c>
      <c r="H377" s="6">
        <v>404268</v>
      </c>
      <c r="I377" s="6">
        <v>86797</v>
      </c>
      <c r="J377" s="6">
        <v>491065</v>
      </c>
      <c r="K377" s="6">
        <v>467182</v>
      </c>
      <c r="L377" s="6">
        <v>1033667</v>
      </c>
      <c r="M377" s="142">
        <f t="shared" si="5"/>
        <v>17.368176090061329</v>
      </c>
      <c r="N377" s="4">
        <v>59515</v>
      </c>
    </row>
    <row r="378" spans="1:14" ht="13.5" thickBot="1" x14ac:dyDescent="0.25">
      <c r="A378" s="2" t="s">
        <v>614</v>
      </c>
      <c r="B378" s="1" t="s">
        <v>613</v>
      </c>
      <c r="C378" s="2" t="s">
        <v>60</v>
      </c>
      <c r="D378" s="6">
        <v>284695</v>
      </c>
      <c r="E378" s="6">
        <v>89866</v>
      </c>
      <c r="F378" s="6">
        <v>115095</v>
      </c>
      <c r="G378" s="6">
        <v>489656</v>
      </c>
      <c r="H378" s="6">
        <v>1325323</v>
      </c>
      <c r="I378" s="6">
        <v>459392</v>
      </c>
      <c r="J378" s="6">
        <v>1784715</v>
      </c>
      <c r="K378" s="6">
        <v>683182</v>
      </c>
      <c r="L378" s="6">
        <v>2957553</v>
      </c>
      <c r="M378" s="142">
        <f t="shared" si="5"/>
        <v>56.690684301322598</v>
      </c>
      <c r="N378" s="4">
        <v>52170</v>
      </c>
    </row>
    <row r="379" spans="1:14" ht="13.5" thickBot="1" x14ac:dyDescent="0.25">
      <c r="A379" s="2" t="s">
        <v>624</v>
      </c>
      <c r="B379" s="1" t="s">
        <v>623</v>
      </c>
      <c r="C379" s="2" t="s">
        <v>60</v>
      </c>
      <c r="D379" s="6">
        <v>197245</v>
      </c>
      <c r="E379" s="6">
        <v>66295</v>
      </c>
      <c r="F379" s="6">
        <v>78706</v>
      </c>
      <c r="G379" s="6">
        <v>342246</v>
      </c>
      <c r="H379" s="6">
        <v>1801556</v>
      </c>
      <c r="I379" s="6">
        <v>623895</v>
      </c>
      <c r="J379" s="6">
        <v>2425451</v>
      </c>
      <c r="K379" s="6">
        <v>1192589</v>
      </c>
      <c r="L379" s="6">
        <v>3960286</v>
      </c>
      <c r="M379" s="142">
        <f t="shared" si="5"/>
        <v>31.761055417435241</v>
      </c>
      <c r="N379" s="4">
        <v>124690</v>
      </c>
    </row>
    <row r="380" spans="1:14" ht="13.5" thickBot="1" x14ac:dyDescent="0.25">
      <c r="A380" s="2" t="s">
        <v>660</v>
      </c>
      <c r="B380" s="1" t="s">
        <v>659</v>
      </c>
      <c r="C380" s="2" t="s">
        <v>60</v>
      </c>
      <c r="D380" s="6">
        <v>351649</v>
      </c>
      <c r="E380" s="6">
        <v>151337</v>
      </c>
      <c r="F380" s="6">
        <v>214097</v>
      </c>
      <c r="G380" s="6">
        <v>717083</v>
      </c>
      <c r="H380" s="6">
        <v>2495926</v>
      </c>
      <c r="I380" s="6">
        <v>554585</v>
      </c>
      <c r="J380" s="6">
        <v>3050511</v>
      </c>
      <c r="K380" s="6">
        <v>785855</v>
      </c>
      <c r="L380" s="6">
        <v>4553449</v>
      </c>
      <c r="M380" s="142">
        <f t="shared" si="5"/>
        <v>45.314713638851572</v>
      </c>
      <c r="N380" s="4">
        <v>100485</v>
      </c>
    </row>
    <row r="381" spans="1:14" ht="13.5" thickBot="1" x14ac:dyDescent="0.25">
      <c r="A381" s="2" t="s">
        <v>670</v>
      </c>
      <c r="B381" s="1" t="s">
        <v>669</v>
      </c>
      <c r="C381" s="2" t="s">
        <v>60</v>
      </c>
      <c r="D381" s="6">
        <v>133674</v>
      </c>
      <c r="E381" s="6">
        <v>31352</v>
      </c>
      <c r="F381" s="6">
        <v>94914</v>
      </c>
      <c r="G381" s="6">
        <v>259940</v>
      </c>
      <c r="H381" s="6">
        <v>911340</v>
      </c>
      <c r="I381" s="6">
        <v>585376</v>
      </c>
      <c r="J381" s="6">
        <v>1496716</v>
      </c>
      <c r="K381" s="6">
        <v>755853</v>
      </c>
      <c r="L381" s="6">
        <v>2512509</v>
      </c>
      <c r="M381" s="142">
        <f t="shared" si="5"/>
        <v>43.897354811656996</v>
      </c>
      <c r="N381" s="4">
        <v>57236</v>
      </c>
    </row>
    <row r="382" spans="1:14" ht="13.5" thickBot="1" x14ac:dyDescent="0.25">
      <c r="A382" s="2" t="s">
        <v>678</v>
      </c>
      <c r="B382" s="1" t="s">
        <v>677</v>
      </c>
      <c r="C382" s="2" t="s">
        <v>60</v>
      </c>
      <c r="D382" s="6">
        <v>277955</v>
      </c>
      <c r="E382" s="6">
        <v>106305</v>
      </c>
      <c r="F382" s="6">
        <v>164225</v>
      </c>
      <c r="G382" s="6">
        <v>548485</v>
      </c>
      <c r="H382" s="6">
        <v>2474857</v>
      </c>
      <c r="I382" s="6">
        <v>732215</v>
      </c>
      <c r="J382" s="6">
        <v>3207072</v>
      </c>
      <c r="K382" s="6">
        <v>1030720</v>
      </c>
      <c r="L382" s="6">
        <v>4786277</v>
      </c>
      <c r="M382" s="142">
        <f t="shared" si="5"/>
        <v>29.856012026548232</v>
      </c>
      <c r="N382" s="4">
        <v>160312</v>
      </c>
    </row>
    <row r="383" spans="1:14" ht="13.5" thickBot="1" x14ac:dyDescent="0.25">
      <c r="A383" s="2" t="s">
        <v>680</v>
      </c>
      <c r="B383" s="1" t="s">
        <v>679</v>
      </c>
      <c r="C383" s="2" t="s">
        <v>60</v>
      </c>
      <c r="D383" s="6">
        <v>83188</v>
      </c>
      <c r="E383" s="6">
        <v>12745</v>
      </c>
      <c r="F383" s="6">
        <v>5000</v>
      </c>
      <c r="G383" s="6">
        <v>100933</v>
      </c>
      <c r="H383" s="6">
        <v>601580</v>
      </c>
      <c r="I383" s="6">
        <v>378301</v>
      </c>
      <c r="J383" s="6">
        <v>979881</v>
      </c>
      <c r="K383" s="6">
        <v>334658</v>
      </c>
      <c r="L383" s="6">
        <v>1415472</v>
      </c>
      <c r="M383" s="142">
        <f t="shared" si="5"/>
        <v>23.703793016829941</v>
      </c>
      <c r="N383" s="4">
        <v>59715</v>
      </c>
    </row>
    <row r="384" spans="1:14" ht="13.5" thickBot="1" x14ac:dyDescent="0.25">
      <c r="A384" s="2" t="s">
        <v>708</v>
      </c>
      <c r="B384" s="1" t="s">
        <v>707</v>
      </c>
      <c r="C384" s="2" t="s">
        <v>60</v>
      </c>
      <c r="D384" s="6">
        <v>126170</v>
      </c>
      <c r="E384" s="6">
        <v>12094</v>
      </c>
      <c r="F384" s="6">
        <v>19190</v>
      </c>
      <c r="G384" s="6">
        <v>157454</v>
      </c>
      <c r="H384" s="6">
        <v>608039</v>
      </c>
      <c r="I384" s="6">
        <v>89438</v>
      </c>
      <c r="J384" s="6">
        <v>697477</v>
      </c>
      <c r="K384" s="6">
        <v>161966</v>
      </c>
      <c r="L384" s="6">
        <v>1016897</v>
      </c>
      <c r="M384" s="142">
        <f t="shared" si="5"/>
        <v>13.778345347135657</v>
      </c>
      <c r="N384" s="4">
        <v>73804</v>
      </c>
    </row>
    <row r="385" spans="1:14" ht="13.5" thickBot="1" x14ac:dyDescent="0.25">
      <c r="A385" s="2" t="s">
        <v>720</v>
      </c>
      <c r="B385" s="1" t="s">
        <v>719</v>
      </c>
      <c r="C385" s="2" t="s">
        <v>60</v>
      </c>
      <c r="D385" s="6">
        <v>204807</v>
      </c>
      <c r="E385" s="6">
        <v>60000</v>
      </c>
      <c r="F385" s="6">
        <v>50000</v>
      </c>
      <c r="G385" s="6">
        <v>314807</v>
      </c>
      <c r="H385" s="6">
        <v>1773196</v>
      </c>
      <c r="I385" s="6">
        <v>1189891</v>
      </c>
      <c r="J385" s="6">
        <v>2963087</v>
      </c>
      <c r="K385" s="6">
        <v>1441935</v>
      </c>
      <c r="L385" s="6">
        <v>4719829</v>
      </c>
      <c r="M385" s="142">
        <f t="shared" si="5"/>
        <v>62.255374996702457</v>
      </c>
      <c r="N385" s="4">
        <v>75814</v>
      </c>
    </row>
    <row r="386" spans="1:14" ht="13.5" thickBot="1" x14ac:dyDescent="0.25">
      <c r="A386" s="2" t="s">
        <v>734</v>
      </c>
      <c r="B386" s="1" t="s">
        <v>733</v>
      </c>
      <c r="C386" s="2" t="s">
        <v>60</v>
      </c>
      <c r="D386" s="6">
        <v>171208</v>
      </c>
      <c r="E386" s="6">
        <v>42767</v>
      </c>
      <c r="F386" s="6">
        <v>25265</v>
      </c>
      <c r="G386" s="6">
        <v>239240</v>
      </c>
      <c r="H386" s="6">
        <v>1358531</v>
      </c>
      <c r="I386" s="6">
        <v>727068</v>
      </c>
      <c r="J386" s="6">
        <v>2085599</v>
      </c>
      <c r="K386" s="6">
        <v>268202</v>
      </c>
      <c r="L386" s="6">
        <v>2593041</v>
      </c>
      <c r="M386" s="142">
        <f t="shared" si="5"/>
        <v>19.992760160062915</v>
      </c>
      <c r="N386" s="4">
        <v>129699</v>
      </c>
    </row>
    <row r="387" spans="1:14" ht="13.5" thickBot="1" x14ac:dyDescent="0.25">
      <c r="A387" s="2" t="s">
        <v>751</v>
      </c>
      <c r="B387" s="1" t="s">
        <v>750</v>
      </c>
      <c r="C387" s="2" t="s">
        <v>60</v>
      </c>
      <c r="D387" s="6">
        <v>81438</v>
      </c>
      <c r="E387" s="6">
        <v>16781</v>
      </c>
      <c r="F387" s="6">
        <v>23138</v>
      </c>
      <c r="G387" s="6">
        <v>121357</v>
      </c>
      <c r="H387" s="6">
        <v>481568</v>
      </c>
      <c r="I387" s="6">
        <v>83373</v>
      </c>
      <c r="J387" s="6">
        <v>564941</v>
      </c>
      <c r="K387" s="6">
        <v>345030</v>
      </c>
      <c r="L387" s="6">
        <v>1031328</v>
      </c>
      <c r="M387" s="142">
        <f t="shared" si="5"/>
        <v>16.336316548130078</v>
      </c>
      <c r="N387" s="4">
        <v>63131</v>
      </c>
    </row>
    <row r="388" spans="1:14" ht="13.5" thickBot="1" x14ac:dyDescent="0.25">
      <c r="A388" s="2" t="s">
        <v>777</v>
      </c>
      <c r="B388" s="1" t="s">
        <v>776</v>
      </c>
      <c r="C388" s="2" t="s">
        <v>60</v>
      </c>
      <c r="D388" s="6">
        <v>259384</v>
      </c>
      <c r="E388" s="6">
        <v>95435</v>
      </c>
      <c r="F388" s="6">
        <v>183791</v>
      </c>
      <c r="G388" s="6">
        <v>538610</v>
      </c>
      <c r="H388" s="6">
        <v>2139422</v>
      </c>
      <c r="I388" s="6">
        <v>954749</v>
      </c>
      <c r="J388" s="6">
        <v>3094171</v>
      </c>
      <c r="K388" s="6">
        <v>1241462</v>
      </c>
      <c r="L388" s="6">
        <v>4874243</v>
      </c>
      <c r="M388" s="142">
        <f t="shared" ref="M388:M396" si="6">L388/N388</f>
        <v>50.045617889851741</v>
      </c>
      <c r="N388" s="4">
        <v>97396</v>
      </c>
    </row>
    <row r="389" spans="1:14" ht="13.5" thickBot="1" x14ac:dyDescent="0.25">
      <c r="A389" s="2" t="s">
        <v>779</v>
      </c>
      <c r="B389" s="1" t="s">
        <v>778</v>
      </c>
      <c r="C389" s="2" t="s">
        <v>60</v>
      </c>
      <c r="D389" s="6">
        <v>74284</v>
      </c>
      <c r="E389" s="6">
        <v>8139</v>
      </c>
      <c r="F389" s="6">
        <v>16678</v>
      </c>
      <c r="G389" s="6">
        <v>99101</v>
      </c>
      <c r="H389" s="6">
        <v>348242</v>
      </c>
      <c r="I389" s="6">
        <v>93694</v>
      </c>
      <c r="J389" s="6">
        <v>441936</v>
      </c>
      <c r="K389" s="6">
        <v>216099</v>
      </c>
      <c r="L389" s="6">
        <v>757136</v>
      </c>
      <c r="M389" s="142">
        <f t="shared" si="6"/>
        <v>10.410802189038309</v>
      </c>
      <c r="N389" s="4">
        <v>72726</v>
      </c>
    </row>
    <row r="390" spans="1:14" ht="13.5" thickBot="1" x14ac:dyDescent="0.25">
      <c r="A390" s="2" t="s">
        <v>781</v>
      </c>
      <c r="B390" s="1" t="s">
        <v>780</v>
      </c>
      <c r="C390" s="2" t="s">
        <v>60</v>
      </c>
      <c r="D390" s="6">
        <v>263600</v>
      </c>
      <c r="E390" s="6">
        <v>123400</v>
      </c>
      <c r="F390" s="6">
        <v>208000</v>
      </c>
      <c r="G390" s="6">
        <v>595000</v>
      </c>
      <c r="H390" s="6">
        <v>1520105</v>
      </c>
      <c r="I390" s="6">
        <v>457672</v>
      </c>
      <c r="J390" s="6">
        <v>1977777</v>
      </c>
      <c r="K390" s="6">
        <v>1158948</v>
      </c>
      <c r="L390" s="6">
        <v>3731725</v>
      </c>
      <c r="M390" s="142">
        <f t="shared" si="6"/>
        <v>46.082057298098299</v>
      </c>
      <c r="N390" s="4">
        <v>80980</v>
      </c>
    </row>
    <row r="391" spans="1:14" ht="13.5" thickBot="1" x14ac:dyDescent="0.25">
      <c r="A391" s="2" t="s">
        <v>805</v>
      </c>
      <c r="B391" s="1" t="s">
        <v>804</v>
      </c>
      <c r="C391" s="2" t="s">
        <v>60</v>
      </c>
      <c r="D391" s="6">
        <v>254728</v>
      </c>
      <c r="E391" s="6">
        <v>47327</v>
      </c>
      <c r="F391" s="6">
        <v>51501</v>
      </c>
      <c r="G391" s="6">
        <v>353556</v>
      </c>
      <c r="H391" s="6">
        <v>1400235</v>
      </c>
      <c r="I391" s="6">
        <v>1327435</v>
      </c>
      <c r="J391" s="6">
        <v>2727670</v>
      </c>
      <c r="K391" s="6">
        <v>1030725</v>
      </c>
      <c r="L391" s="6">
        <v>4111951</v>
      </c>
      <c r="M391" s="142">
        <f t="shared" si="6"/>
        <v>30.673382765411471</v>
      </c>
      <c r="N391" s="4">
        <v>134056</v>
      </c>
    </row>
    <row r="392" spans="1:14" ht="13.5" thickBot="1" x14ac:dyDescent="0.25">
      <c r="A392" s="2" t="s">
        <v>807</v>
      </c>
      <c r="B392" s="1" t="s">
        <v>806</v>
      </c>
      <c r="C392" s="2" t="s">
        <v>60</v>
      </c>
      <c r="D392" s="6">
        <v>86858</v>
      </c>
      <c r="E392" s="6">
        <v>55014</v>
      </c>
      <c r="F392" s="6">
        <v>42869</v>
      </c>
      <c r="G392" s="6">
        <v>184741</v>
      </c>
      <c r="H392" s="6">
        <v>1043422</v>
      </c>
      <c r="I392" s="6">
        <v>453627</v>
      </c>
      <c r="J392" s="6">
        <v>1497049</v>
      </c>
      <c r="K392" s="6">
        <v>378772</v>
      </c>
      <c r="L392" s="6">
        <v>2060562</v>
      </c>
      <c r="M392" s="142">
        <f t="shared" si="6"/>
        <v>28.620109171215468</v>
      </c>
      <c r="N392" s="4">
        <v>71997</v>
      </c>
    </row>
    <row r="393" spans="1:14" ht="13.5" thickBot="1" x14ac:dyDescent="0.25">
      <c r="A393" s="2" t="s">
        <v>815</v>
      </c>
      <c r="B393" s="1" t="s">
        <v>814</v>
      </c>
      <c r="C393" s="2" t="s">
        <v>60</v>
      </c>
      <c r="D393" s="6">
        <v>473581</v>
      </c>
      <c r="E393" s="6">
        <v>247729</v>
      </c>
      <c r="F393" s="6">
        <v>519862</v>
      </c>
      <c r="G393" s="6">
        <v>1241172</v>
      </c>
      <c r="H393" s="6">
        <v>1805325</v>
      </c>
      <c r="I393" s="6">
        <v>418355</v>
      </c>
      <c r="J393" s="6">
        <v>2223680</v>
      </c>
      <c r="K393" s="6">
        <v>1202439</v>
      </c>
      <c r="L393" s="6">
        <v>4667291</v>
      </c>
      <c r="M393" s="142">
        <f t="shared" si="6"/>
        <v>65.044819176364015</v>
      </c>
      <c r="N393" s="4">
        <v>71755</v>
      </c>
    </row>
    <row r="394" spans="1:14" ht="13.5" thickBot="1" x14ac:dyDescent="0.25">
      <c r="A394" s="2" t="s">
        <v>835</v>
      </c>
      <c r="B394" s="1" t="s">
        <v>834</v>
      </c>
      <c r="C394" s="2" t="s">
        <v>60</v>
      </c>
      <c r="D394" s="6">
        <v>659279</v>
      </c>
      <c r="E394" s="6">
        <v>169954</v>
      </c>
      <c r="F394" s="6">
        <v>195252</v>
      </c>
      <c r="G394" s="6">
        <v>1024485</v>
      </c>
      <c r="H394" s="6">
        <v>2353039</v>
      </c>
      <c r="I394" s="6">
        <v>1056372</v>
      </c>
      <c r="J394" s="6">
        <v>3409411</v>
      </c>
      <c r="K394" s="6">
        <v>1510943</v>
      </c>
      <c r="L394" s="6">
        <v>5944839</v>
      </c>
      <c r="M394" s="142">
        <f t="shared" si="6"/>
        <v>66.216364628699367</v>
      </c>
      <c r="N394" s="4">
        <v>89779</v>
      </c>
    </row>
    <row r="395" spans="1:14" ht="13.5" thickBot="1" x14ac:dyDescent="0.25">
      <c r="A395" s="2" t="s">
        <v>837</v>
      </c>
      <c r="B395" s="1" t="s">
        <v>836</v>
      </c>
      <c r="C395" s="2" t="s">
        <v>60</v>
      </c>
      <c r="D395" s="6">
        <v>146737</v>
      </c>
      <c r="E395" s="6">
        <v>27108</v>
      </c>
      <c r="F395" s="6">
        <v>77854</v>
      </c>
      <c r="G395" s="6">
        <v>251699</v>
      </c>
      <c r="H395" s="6">
        <v>1361692</v>
      </c>
      <c r="I395" s="6">
        <v>521460</v>
      </c>
      <c r="J395" s="6">
        <v>1883152</v>
      </c>
      <c r="K395" s="6">
        <v>751528</v>
      </c>
      <c r="L395" s="6">
        <v>2886379</v>
      </c>
      <c r="M395" s="142">
        <f t="shared" si="6"/>
        <v>34.323245415844177</v>
      </c>
      <c r="N395" s="4">
        <v>84094</v>
      </c>
    </row>
    <row r="396" spans="1:14" ht="13.5" thickBot="1" x14ac:dyDescent="0.25">
      <c r="A396" s="2" t="s">
        <v>843</v>
      </c>
      <c r="B396" s="114" t="s">
        <v>842</v>
      </c>
      <c r="C396" s="2" t="s">
        <v>60</v>
      </c>
      <c r="D396" s="6">
        <v>134547</v>
      </c>
      <c r="E396" s="6">
        <v>67588</v>
      </c>
      <c r="F396" s="6">
        <v>104361</v>
      </c>
      <c r="G396" s="6">
        <v>306496</v>
      </c>
      <c r="H396" s="6">
        <v>1799519</v>
      </c>
      <c r="I396" s="6">
        <v>603661</v>
      </c>
      <c r="J396" s="6">
        <v>2403180</v>
      </c>
      <c r="K396" s="6">
        <v>853806</v>
      </c>
      <c r="L396" s="6">
        <v>3563482</v>
      </c>
      <c r="M396" s="142">
        <f t="shared" si="6"/>
        <v>42.946971340419893</v>
      </c>
      <c r="N396" s="4">
        <v>82974</v>
      </c>
    </row>
    <row r="397" spans="1:14" ht="18.75" thickBot="1" x14ac:dyDescent="0.3">
      <c r="B397" s="223" t="s">
        <v>2623</v>
      </c>
      <c r="C397" s="140">
        <f>SUBTOTAL(103,Table7[Library Class])</f>
        <v>393</v>
      </c>
    </row>
    <row r="398" spans="1:14" ht="15.75" thickBot="1" x14ac:dyDescent="0.3">
      <c r="C398" s="158" t="s">
        <v>2624</v>
      </c>
      <c r="D398" s="159">
        <f>SUBTOTAL(109,Table7[Print Materials Expenditure])</f>
        <v>24316181</v>
      </c>
      <c r="E398" s="159">
        <f>SUBTOTAL(109,Table7[Other Materials Expenditure])</f>
        <v>9935668</v>
      </c>
      <c r="F398" s="159">
        <f>SUBTOTAL(109,Table7[Electronic Materials Expenditure])</f>
        <v>11769614</v>
      </c>
      <c r="G398" s="159">
        <f>SUBTOTAL(109,Table7[Total Collection Expenditures])</f>
        <v>46021463</v>
      </c>
      <c r="H398" s="159">
        <f>SUBTOTAL(109,Table7[Salaries and Wages])</f>
        <v>189753535</v>
      </c>
      <c r="I398" s="159">
        <f>SUBTOTAL(109,Table7[Employee Benefits])</f>
        <v>62347677</v>
      </c>
      <c r="J398" s="159">
        <f>SUBTOTAL(109,Table7[Total Staff Expenditures])</f>
        <v>252101212</v>
      </c>
      <c r="K398" s="159">
        <f>SUBTOTAL(109,Table7[Other Operating Expenditures])</f>
        <v>107983298</v>
      </c>
      <c r="L398" s="159">
        <f>SUBTOTAL(109,Table7[Total Operating Expenditures])</f>
        <v>406105973</v>
      </c>
      <c r="M398" s="159">
        <f>SUBTOTAL(109,Table7[Total Operating Expenditures Per Capita])</f>
        <v>14203.298137728487</v>
      </c>
      <c r="N398" s="160">
        <f>SUBTOTAL(109,Table7[Total Population Served])</f>
        <v>9843022</v>
      </c>
    </row>
    <row r="399" spans="1:14" ht="15.75" thickBot="1" x14ac:dyDescent="0.3">
      <c r="C399" s="158" t="s">
        <v>2625</v>
      </c>
      <c r="D399" s="161">
        <f>SUBTOTAL(101,Table7[Print Materials Expenditure])</f>
        <v>61873.234096692111</v>
      </c>
      <c r="E399" s="161">
        <f>SUBTOTAL(101,Table7[Other Materials Expenditure])</f>
        <v>25281.59796437659</v>
      </c>
      <c r="F399" s="161">
        <f>SUBTOTAL(101,Table7[Electronic Materials Expenditure])</f>
        <v>29948.127226463104</v>
      </c>
      <c r="G399" s="161">
        <f>SUBTOTAL(101,Table7[Total Collection Expenditures])</f>
        <v>117102.9592875318</v>
      </c>
      <c r="H399" s="161">
        <f>SUBTOTAL(101,Table7[Salaries and Wages])</f>
        <v>482833.42239185749</v>
      </c>
      <c r="I399" s="161">
        <f>SUBTOTAL(101,Table7[Employee Benefits])</f>
        <v>158645.48854961831</v>
      </c>
      <c r="J399" s="161">
        <f>SUBTOTAL(101,Table7[Total Staff Expenditures])</f>
        <v>641478.91094147577</v>
      </c>
      <c r="K399" s="161">
        <f>SUBTOTAL(101,Table7[Other Operating Expenditures])</f>
        <v>274766.66157760815</v>
      </c>
      <c r="L399" s="161">
        <f>SUBTOTAL(101,Table7[Total Operating Expenditures])</f>
        <v>1033348.5318066158</v>
      </c>
      <c r="M399" s="161">
        <f>SUBTOTAL(101,Table7[Total Operating Expenditures Per Capita])</f>
        <v>36.140707729589025</v>
      </c>
      <c r="N399" s="162">
        <f>SUBTOTAL(101,Table7[Total Population Served])</f>
        <v>25045.857506361324</v>
      </c>
    </row>
  </sheetData>
  <sortState xmlns:xlrd2="http://schemas.microsoft.com/office/spreadsheetml/2017/richdata2" ref="A4:N396">
    <sortCondition ref="C4:C396"/>
    <sortCondition ref="B4:B396"/>
  </sortState>
  <hyperlinks>
    <hyperlink ref="G1" location="'Table of Contents'!A1" display="Return to Table of Contents" xr:uid="{3F7AA81C-19D5-42A2-95CE-B6FEA566C078}"/>
  </hyperlink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A568D2"/>
  </sheetPr>
  <dimension ref="A1:N397"/>
  <sheetViews>
    <sheetView zoomScaleNormal="100" workbookViewId="0">
      <pane ySplit="3" topLeftCell="A4" activePane="bottomLeft" state="frozen"/>
      <selection activeCell="N42" sqref="N42"/>
      <selection pane="bottomLeft" activeCell="C2" sqref="C2"/>
    </sheetView>
  </sheetViews>
  <sheetFormatPr defaultRowHeight="12.75" x14ac:dyDescent="0.2"/>
  <cols>
    <col min="2" max="2" width="46.5703125" bestFit="1" customWidth="1"/>
    <col min="3" max="3" width="25.5703125" bestFit="1" customWidth="1"/>
    <col min="4" max="4" width="22.7109375" customWidth="1"/>
    <col min="5" max="5" width="20.7109375" customWidth="1"/>
    <col min="6" max="6" width="19.7109375" customWidth="1"/>
    <col min="7" max="7" width="22.28515625" customWidth="1"/>
    <col min="8" max="8" width="20.5703125" customWidth="1"/>
    <col min="9" max="9" width="23.7109375" customWidth="1"/>
    <col min="10" max="10" width="40.140625" customWidth="1"/>
    <col min="11" max="11" width="39" customWidth="1"/>
    <col min="12" max="12" width="22.140625" customWidth="1"/>
    <col min="13" max="13" width="26.5703125" customWidth="1"/>
    <col min="14" max="14" width="25.85546875" customWidth="1"/>
  </cols>
  <sheetData>
    <row r="1" spans="1:14" ht="18.75" x14ac:dyDescent="0.3">
      <c r="B1" s="312" t="s">
        <v>3576</v>
      </c>
      <c r="D1" s="310" t="s">
        <v>3577</v>
      </c>
      <c r="G1" s="8" t="s">
        <v>1844</v>
      </c>
      <c r="J1" s="311"/>
    </row>
    <row r="3" spans="1:14" s="5" customFormat="1" ht="26.25" thickBot="1" x14ac:dyDescent="0.25">
      <c r="A3" s="74" t="s">
        <v>1</v>
      </c>
      <c r="B3" s="74" t="s">
        <v>0</v>
      </c>
      <c r="C3" s="74" t="s">
        <v>4</v>
      </c>
      <c r="D3" s="74" t="s">
        <v>1345</v>
      </c>
      <c r="E3" s="74" t="s">
        <v>1346</v>
      </c>
      <c r="F3" s="74" t="s">
        <v>1347</v>
      </c>
      <c r="G3" s="74" t="s">
        <v>1348</v>
      </c>
      <c r="H3" s="74" t="s">
        <v>1349</v>
      </c>
      <c r="I3" s="74" t="s">
        <v>844</v>
      </c>
      <c r="J3" s="74" t="s">
        <v>1350</v>
      </c>
      <c r="K3" s="74" t="s">
        <v>1351</v>
      </c>
      <c r="L3" s="74" t="s">
        <v>1352</v>
      </c>
      <c r="M3" s="74" t="s">
        <v>1353</v>
      </c>
      <c r="N3" s="74" t="s">
        <v>1354</v>
      </c>
    </row>
    <row r="4" spans="1:14" ht="13.5" thickBot="1" x14ac:dyDescent="0.25">
      <c r="A4" s="2" t="s">
        <v>40</v>
      </c>
      <c r="B4" s="1" t="s">
        <v>39</v>
      </c>
      <c r="C4" s="2" t="s">
        <v>19</v>
      </c>
      <c r="D4" s="164">
        <v>0</v>
      </c>
      <c r="E4" s="164">
        <v>0</v>
      </c>
      <c r="F4" s="164">
        <v>0</v>
      </c>
      <c r="G4" s="164">
        <v>0</v>
      </c>
      <c r="H4" s="164">
        <v>0</v>
      </c>
      <c r="I4" s="106">
        <v>1285</v>
      </c>
      <c r="J4" s="164">
        <v>0</v>
      </c>
      <c r="K4" s="164">
        <v>0</v>
      </c>
      <c r="L4" s="164">
        <v>0</v>
      </c>
      <c r="M4" s="164">
        <v>0</v>
      </c>
      <c r="N4" s="164">
        <v>0</v>
      </c>
    </row>
    <row r="5" spans="1:14" ht="13.5" thickBot="1" x14ac:dyDescent="0.25">
      <c r="A5" s="2" t="s">
        <v>64</v>
      </c>
      <c r="B5" s="1" t="s">
        <v>63</v>
      </c>
      <c r="C5" s="2" t="s">
        <v>19</v>
      </c>
      <c r="D5" s="164">
        <v>0</v>
      </c>
      <c r="E5" s="164">
        <v>2251</v>
      </c>
      <c r="F5" s="164">
        <v>552</v>
      </c>
      <c r="G5" s="164">
        <v>0</v>
      </c>
      <c r="H5" s="164">
        <v>2803</v>
      </c>
      <c r="I5" s="106">
        <v>3248</v>
      </c>
      <c r="J5" s="164">
        <v>762</v>
      </c>
      <c r="K5" s="164">
        <v>638</v>
      </c>
      <c r="L5" s="164">
        <v>25393</v>
      </c>
      <c r="M5" s="165">
        <v>0</v>
      </c>
      <c r="N5" s="164">
        <v>26793</v>
      </c>
    </row>
    <row r="6" spans="1:14" ht="13.5" thickBot="1" x14ac:dyDescent="0.25">
      <c r="A6" s="2" t="s">
        <v>88</v>
      </c>
      <c r="B6" s="1" t="s">
        <v>87</v>
      </c>
      <c r="C6" s="2" t="s">
        <v>19</v>
      </c>
      <c r="D6" s="164">
        <v>0</v>
      </c>
      <c r="E6" s="164">
        <v>0</v>
      </c>
      <c r="F6" s="164">
        <v>0</v>
      </c>
      <c r="G6" s="164">
        <v>0</v>
      </c>
      <c r="H6" s="164">
        <v>0</v>
      </c>
      <c r="I6" s="106">
        <v>657</v>
      </c>
      <c r="J6" s="164">
        <v>0</v>
      </c>
      <c r="K6" s="164">
        <v>5655</v>
      </c>
      <c r="L6" s="164">
        <v>0</v>
      </c>
      <c r="M6" s="164">
        <v>0</v>
      </c>
      <c r="N6" s="164">
        <v>5655</v>
      </c>
    </row>
    <row r="7" spans="1:14" ht="13.5" thickBot="1" x14ac:dyDescent="0.25">
      <c r="A7" s="2" t="s">
        <v>90</v>
      </c>
      <c r="B7" s="1" t="s">
        <v>89</v>
      </c>
      <c r="C7" s="2" t="s">
        <v>19</v>
      </c>
      <c r="D7" s="164">
        <v>0</v>
      </c>
      <c r="E7" s="164">
        <v>0</v>
      </c>
      <c r="F7" s="164">
        <v>0</v>
      </c>
      <c r="G7" s="164">
        <v>0</v>
      </c>
      <c r="H7" s="164">
        <v>0</v>
      </c>
      <c r="I7" s="106">
        <v>3769</v>
      </c>
      <c r="J7" s="164">
        <v>583</v>
      </c>
      <c r="K7" s="164">
        <v>2762</v>
      </c>
      <c r="L7" s="164">
        <v>770</v>
      </c>
      <c r="M7" s="164">
        <v>1286</v>
      </c>
      <c r="N7" s="164">
        <v>5401</v>
      </c>
    </row>
    <row r="8" spans="1:14" ht="13.5" thickBot="1" x14ac:dyDescent="0.25">
      <c r="A8" s="2" t="s">
        <v>94</v>
      </c>
      <c r="B8" s="1" t="s">
        <v>93</v>
      </c>
      <c r="C8" s="2" t="s">
        <v>19</v>
      </c>
      <c r="D8" s="164">
        <v>0</v>
      </c>
      <c r="E8" s="164">
        <v>0</v>
      </c>
      <c r="F8" s="164">
        <v>0</v>
      </c>
      <c r="G8" s="164">
        <v>0</v>
      </c>
      <c r="H8" s="164">
        <v>0</v>
      </c>
      <c r="I8" s="106">
        <v>3150</v>
      </c>
      <c r="J8" s="164">
        <v>0</v>
      </c>
      <c r="K8" s="164">
        <v>0</v>
      </c>
      <c r="L8" s="164">
        <v>0</v>
      </c>
      <c r="M8" s="164">
        <v>0</v>
      </c>
      <c r="N8" s="164">
        <v>0</v>
      </c>
    </row>
    <row r="9" spans="1:14" ht="13.5" thickBot="1" x14ac:dyDescent="0.25">
      <c r="A9" s="2" t="s">
        <v>98</v>
      </c>
      <c r="B9" s="1" t="s">
        <v>97</v>
      </c>
      <c r="C9" s="2" t="s">
        <v>19</v>
      </c>
      <c r="D9" s="164">
        <v>0</v>
      </c>
      <c r="E9" s="164">
        <v>0</v>
      </c>
      <c r="F9" s="164">
        <v>0</v>
      </c>
      <c r="G9" s="164">
        <v>0</v>
      </c>
      <c r="H9" s="164">
        <v>0</v>
      </c>
      <c r="I9" s="106">
        <v>3811</v>
      </c>
      <c r="J9" s="164">
        <v>0</v>
      </c>
      <c r="K9" s="164">
        <v>1883</v>
      </c>
      <c r="L9" s="164">
        <v>0</v>
      </c>
      <c r="M9" s="164">
        <v>0</v>
      </c>
      <c r="N9" s="164">
        <v>1883</v>
      </c>
    </row>
    <row r="10" spans="1:14" ht="13.5" thickBot="1" x14ac:dyDescent="0.25">
      <c r="A10" s="2" t="s">
        <v>100</v>
      </c>
      <c r="B10" s="1" t="s">
        <v>99</v>
      </c>
      <c r="C10" s="2" t="s">
        <v>19</v>
      </c>
      <c r="D10" s="164">
        <v>0</v>
      </c>
      <c r="E10" s="164">
        <v>0</v>
      </c>
      <c r="F10" s="164">
        <v>0</v>
      </c>
      <c r="G10" s="164">
        <v>21</v>
      </c>
      <c r="H10" s="164">
        <v>21</v>
      </c>
      <c r="I10" s="106">
        <v>3623</v>
      </c>
      <c r="J10" s="164">
        <v>0</v>
      </c>
      <c r="K10" s="164">
        <v>0</v>
      </c>
      <c r="L10" s="164">
        <v>0</v>
      </c>
      <c r="M10" s="164">
        <v>0</v>
      </c>
      <c r="N10" s="164">
        <v>0</v>
      </c>
    </row>
    <row r="11" spans="1:14" ht="13.5" thickBot="1" x14ac:dyDescent="0.25">
      <c r="A11" s="2" t="s">
        <v>108</v>
      </c>
      <c r="B11" s="1" t="s">
        <v>107</v>
      </c>
      <c r="C11" s="2" t="s">
        <v>19</v>
      </c>
      <c r="D11" s="164">
        <v>0</v>
      </c>
      <c r="E11" s="164">
        <v>0</v>
      </c>
      <c r="F11" s="164">
        <v>0</v>
      </c>
      <c r="G11" s="164">
        <v>0</v>
      </c>
      <c r="H11" s="164">
        <v>0</v>
      </c>
      <c r="I11" s="106">
        <v>2937</v>
      </c>
      <c r="J11" s="164">
        <v>2802</v>
      </c>
      <c r="K11" s="164">
        <v>0</v>
      </c>
      <c r="L11" s="164">
        <v>0</v>
      </c>
      <c r="M11" s="164">
        <v>0</v>
      </c>
      <c r="N11" s="164">
        <v>2802</v>
      </c>
    </row>
    <row r="12" spans="1:14" ht="13.5" thickBot="1" x14ac:dyDescent="0.25">
      <c r="A12" s="2" t="s">
        <v>138</v>
      </c>
      <c r="B12" s="1" t="s">
        <v>137</v>
      </c>
      <c r="C12" s="2" t="s">
        <v>19</v>
      </c>
      <c r="D12" s="164">
        <v>0</v>
      </c>
      <c r="E12" s="164">
        <v>0</v>
      </c>
      <c r="F12" s="164">
        <v>0</v>
      </c>
      <c r="G12" s="164">
        <v>0</v>
      </c>
      <c r="H12" s="164">
        <v>0</v>
      </c>
      <c r="I12" s="106">
        <v>2611</v>
      </c>
      <c r="J12" s="164">
        <v>0</v>
      </c>
      <c r="K12" s="164">
        <v>0</v>
      </c>
      <c r="L12" s="164">
        <v>0</v>
      </c>
      <c r="M12" s="164">
        <v>0</v>
      </c>
      <c r="N12" s="164">
        <v>0</v>
      </c>
    </row>
    <row r="13" spans="1:14" ht="13.5" thickBot="1" x14ac:dyDescent="0.25">
      <c r="A13" s="2" t="s">
        <v>154</v>
      </c>
      <c r="B13" s="1" t="s">
        <v>153</v>
      </c>
      <c r="C13" s="2" t="s">
        <v>19</v>
      </c>
      <c r="D13" s="164">
        <v>0</v>
      </c>
      <c r="E13" s="164">
        <v>0</v>
      </c>
      <c r="F13" s="164">
        <v>0</v>
      </c>
      <c r="G13" s="164">
        <v>0</v>
      </c>
      <c r="H13" s="164">
        <v>0</v>
      </c>
      <c r="I13" s="106">
        <v>722</v>
      </c>
      <c r="J13" s="164">
        <v>0</v>
      </c>
      <c r="K13" s="164">
        <v>614</v>
      </c>
      <c r="L13" s="164">
        <v>0</v>
      </c>
      <c r="M13" s="164">
        <v>0</v>
      </c>
      <c r="N13" s="164">
        <v>614</v>
      </c>
    </row>
    <row r="14" spans="1:14" ht="13.5" thickBot="1" x14ac:dyDescent="0.25">
      <c r="A14" s="2" t="s">
        <v>164</v>
      </c>
      <c r="B14" s="1" t="s">
        <v>163</v>
      </c>
      <c r="C14" s="2" t="s">
        <v>19</v>
      </c>
      <c r="D14" s="164">
        <v>0</v>
      </c>
      <c r="E14" s="164">
        <v>0</v>
      </c>
      <c r="F14" s="164">
        <v>0</v>
      </c>
      <c r="G14" s="164">
        <v>0</v>
      </c>
      <c r="H14" s="164">
        <v>0</v>
      </c>
      <c r="I14" s="106">
        <v>3995</v>
      </c>
      <c r="J14" s="164">
        <v>0</v>
      </c>
      <c r="K14" s="164">
        <v>0</v>
      </c>
      <c r="L14" s="164">
        <v>0</v>
      </c>
      <c r="M14" s="164">
        <v>0</v>
      </c>
      <c r="N14" s="164">
        <v>0</v>
      </c>
    </row>
    <row r="15" spans="1:14" ht="13.5" thickBot="1" x14ac:dyDescent="0.25">
      <c r="A15" s="2" t="s">
        <v>172</v>
      </c>
      <c r="B15" s="1" t="s">
        <v>171</v>
      </c>
      <c r="C15" s="2" t="s">
        <v>19</v>
      </c>
      <c r="D15" s="164">
        <v>0</v>
      </c>
      <c r="E15" s="164">
        <v>0</v>
      </c>
      <c r="F15" s="164">
        <v>0</v>
      </c>
      <c r="G15" s="164">
        <v>0</v>
      </c>
      <c r="H15" s="164">
        <v>0</v>
      </c>
      <c r="I15" s="106">
        <v>1854</v>
      </c>
      <c r="J15" s="164">
        <v>1391</v>
      </c>
      <c r="K15" s="164">
        <v>1466</v>
      </c>
      <c r="L15" s="164">
        <v>0</v>
      </c>
      <c r="M15" s="164">
        <v>0</v>
      </c>
      <c r="N15" s="164">
        <v>2857</v>
      </c>
    </row>
    <row r="16" spans="1:14" ht="13.5" thickBot="1" x14ac:dyDescent="0.25">
      <c r="A16" s="2" t="s">
        <v>184</v>
      </c>
      <c r="B16" s="1" t="s">
        <v>183</v>
      </c>
      <c r="C16" s="2" t="s">
        <v>19</v>
      </c>
      <c r="D16" s="164">
        <v>0</v>
      </c>
      <c r="E16" s="164">
        <v>0</v>
      </c>
      <c r="F16" s="164">
        <v>0</v>
      </c>
      <c r="G16" s="164">
        <v>0</v>
      </c>
      <c r="H16" s="164">
        <v>0</v>
      </c>
      <c r="I16" s="106">
        <v>3604</v>
      </c>
      <c r="J16" s="164">
        <v>0</v>
      </c>
      <c r="K16" s="164">
        <v>0</v>
      </c>
      <c r="L16" s="164">
        <v>0</v>
      </c>
      <c r="M16" s="164">
        <v>0</v>
      </c>
      <c r="N16" s="164">
        <v>0</v>
      </c>
    </row>
    <row r="17" spans="1:14" ht="13.5" thickBot="1" x14ac:dyDescent="0.25">
      <c r="A17" s="2" t="s">
        <v>192</v>
      </c>
      <c r="B17" s="1" t="s">
        <v>191</v>
      </c>
      <c r="C17" s="2" t="s">
        <v>19</v>
      </c>
      <c r="D17" s="164">
        <v>0</v>
      </c>
      <c r="E17" s="164">
        <v>0</v>
      </c>
      <c r="F17" s="164">
        <v>74102</v>
      </c>
      <c r="G17" s="164">
        <v>0</v>
      </c>
      <c r="H17" s="164">
        <v>74102</v>
      </c>
      <c r="I17" s="106">
        <v>3803</v>
      </c>
      <c r="J17" s="164">
        <v>0</v>
      </c>
      <c r="K17" s="164">
        <v>0</v>
      </c>
      <c r="L17" s="164">
        <v>74102</v>
      </c>
      <c r="M17" s="164">
        <v>0</v>
      </c>
      <c r="N17" s="164">
        <v>74102</v>
      </c>
    </row>
    <row r="18" spans="1:14" ht="13.5" thickBot="1" x14ac:dyDescent="0.25">
      <c r="A18" s="2" t="s">
        <v>194</v>
      </c>
      <c r="B18" s="1" t="s">
        <v>193</v>
      </c>
      <c r="C18" s="2" t="s">
        <v>19</v>
      </c>
      <c r="D18" s="164">
        <v>0</v>
      </c>
      <c r="E18" s="164">
        <v>0</v>
      </c>
      <c r="F18" s="164">
        <v>0</v>
      </c>
      <c r="G18" s="164">
        <v>0</v>
      </c>
      <c r="H18" s="164">
        <v>0</v>
      </c>
      <c r="I18" s="106">
        <v>2373</v>
      </c>
      <c r="J18" s="164">
        <v>0</v>
      </c>
      <c r="K18" s="164">
        <v>5196</v>
      </c>
      <c r="L18" s="164">
        <v>0</v>
      </c>
      <c r="M18" s="164">
        <v>0</v>
      </c>
      <c r="N18" s="164">
        <v>5196</v>
      </c>
    </row>
    <row r="19" spans="1:14" ht="13.5" thickBot="1" x14ac:dyDescent="0.25">
      <c r="A19" s="2" t="s">
        <v>210</v>
      </c>
      <c r="B19" s="1" t="s">
        <v>209</v>
      </c>
      <c r="C19" s="2" t="s">
        <v>19</v>
      </c>
      <c r="D19" s="164">
        <v>0</v>
      </c>
      <c r="E19" s="164">
        <v>0</v>
      </c>
      <c r="F19" s="164">
        <v>0</v>
      </c>
      <c r="G19" s="164">
        <v>0</v>
      </c>
      <c r="H19" s="164">
        <v>0</v>
      </c>
      <c r="I19" s="106">
        <v>3953</v>
      </c>
      <c r="J19" s="164">
        <v>0</v>
      </c>
      <c r="K19" s="164">
        <v>0</v>
      </c>
      <c r="L19" s="164">
        <v>0</v>
      </c>
      <c r="M19" s="164">
        <v>0</v>
      </c>
      <c r="N19" s="164">
        <v>0</v>
      </c>
    </row>
    <row r="20" spans="1:14" ht="13.5" thickBot="1" x14ac:dyDescent="0.25">
      <c r="A20" s="2" t="s">
        <v>212</v>
      </c>
      <c r="B20" s="1" t="s">
        <v>211</v>
      </c>
      <c r="C20" s="2" t="s">
        <v>19</v>
      </c>
      <c r="D20" s="164">
        <v>0</v>
      </c>
      <c r="E20" s="164">
        <v>0</v>
      </c>
      <c r="F20" s="164">
        <v>0</v>
      </c>
      <c r="G20" s="164">
        <v>0</v>
      </c>
      <c r="H20" s="164">
        <v>0</v>
      </c>
      <c r="I20" s="106">
        <v>3228</v>
      </c>
      <c r="J20" s="165">
        <v>0</v>
      </c>
      <c r="K20" s="164">
        <v>473</v>
      </c>
      <c r="L20" s="164">
        <v>1200</v>
      </c>
      <c r="M20" s="165">
        <v>0</v>
      </c>
      <c r="N20" s="164">
        <v>1673</v>
      </c>
    </row>
    <row r="21" spans="1:14" ht="13.5" thickBot="1" x14ac:dyDescent="0.25">
      <c r="A21" s="2" t="s">
        <v>214</v>
      </c>
      <c r="B21" s="1" t="s">
        <v>213</v>
      </c>
      <c r="C21" s="2" t="s">
        <v>19</v>
      </c>
      <c r="D21" s="164">
        <v>0</v>
      </c>
      <c r="E21" s="164">
        <v>0</v>
      </c>
      <c r="F21" s="164">
        <v>0</v>
      </c>
      <c r="G21" s="164">
        <v>2000</v>
      </c>
      <c r="H21" s="164">
        <v>2000</v>
      </c>
      <c r="I21" s="106">
        <v>3453</v>
      </c>
      <c r="J21" s="164">
        <v>1624</v>
      </c>
      <c r="K21" s="164">
        <v>0</v>
      </c>
      <c r="L21" s="164">
        <v>0</v>
      </c>
      <c r="M21" s="164">
        <v>0</v>
      </c>
      <c r="N21" s="164">
        <v>1624</v>
      </c>
    </row>
    <row r="22" spans="1:14" ht="13.5" thickBot="1" x14ac:dyDescent="0.25">
      <c r="A22" s="2" t="s">
        <v>216</v>
      </c>
      <c r="B22" s="1" t="s">
        <v>215</v>
      </c>
      <c r="C22" s="2" t="s">
        <v>19</v>
      </c>
      <c r="D22" s="164">
        <v>0</v>
      </c>
      <c r="E22" s="164">
        <v>0</v>
      </c>
      <c r="F22" s="164">
        <v>0</v>
      </c>
      <c r="G22" s="164">
        <v>0</v>
      </c>
      <c r="H22" s="164">
        <v>0</v>
      </c>
      <c r="I22" s="106">
        <v>1236</v>
      </c>
      <c r="J22" s="165">
        <v>0</v>
      </c>
      <c r="K22" s="164">
        <v>17</v>
      </c>
      <c r="L22" s="164">
        <v>362</v>
      </c>
      <c r="M22" s="164">
        <v>1635</v>
      </c>
      <c r="N22" s="164">
        <v>2014</v>
      </c>
    </row>
    <row r="23" spans="1:14" ht="13.5" thickBot="1" x14ac:dyDescent="0.25">
      <c r="A23" s="2" t="s">
        <v>219</v>
      </c>
      <c r="B23" s="1" t="s">
        <v>218</v>
      </c>
      <c r="C23" s="2" t="s">
        <v>19</v>
      </c>
      <c r="D23" s="164">
        <v>0</v>
      </c>
      <c r="E23" s="164">
        <v>0</v>
      </c>
      <c r="F23" s="164">
        <v>0</v>
      </c>
      <c r="G23" s="164">
        <v>0</v>
      </c>
      <c r="H23" s="164">
        <v>0</v>
      </c>
      <c r="I23" s="106">
        <v>3179</v>
      </c>
      <c r="J23" s="165">
        <v>0</v>
      </c>
      <c r="K23" s="165">
        <v>0</v>
      </c>
      <c r="L23" s="165">
        <v>0</v>
      </c>
      <c r="M23" s="165">
        <v>0</v>
      </c>
      <c r="N23" s="165">
        <v>0</v>
      </c>
    </row>
    <row r="24" spans="1:14" ht="13.5" thickBot="1" x14ac:dyDescent="0.25">
      <c r="A24" s="2" t="s">
        <v>231</v>
      </c>
      <c r="B24" s="1" t="s">
        <v>230</v>
      </c>
      <c r="C24" s="2" t="s">
        <v>19</v>
      </c>
      <c r="D24" s="164">
        <v>0</v>
      </c>
      <c r="E24" s="164">
        <v>0</v>
      </c>
      <c r="F24" s="164">
        <v>0</v>
      </c>
      <c r="G24" s="164">
        <v>0</v>
      </c>
      <c r="H24" s="164">
        <v>0</v>
      </c>
      <c r="I24" s="106">
        <v>2190</v>
      </c>
      <c r="J24" s="164">
        <v>0</v>
      </c>
      <c r="K24" s="164">
        <v>0</v>
      </c>
      <c r="L24" s="164">
        <v>0</v>
      </c>
      <c r="M24" s="164">
        <v>0</v>
      </c>
      <c r="N24" s="164">
        <v>0</v>
      </c>
    </row>
    <row r="25" spans="1:14" ht="13.5" thickBot="1" x14ac:dyDescent="0.25">
      <c r="A25" s="2" t="s">
        <v>267</v>
      </c>
      <c r="B25" s="1" t="s">
        <v>266</v>
      </c>
      <c r="C25" s="2" t="s">
        <v>19</v>
      </c>
      <c r="D25" s="164">
        <v>0</v>
      </c>
      <c r="E25" s="164">
        <v>0</v>
      </c>
      <c r="F25" s="164">
        <v>0</v>
      </c>
      <c r="G25" s="164">
        <v>0</v>
      </c>
      <c r="H25" s="164">
        <v>0</v>
      </c>
      <c r="I25" s="106">
        <v>2769</v>
      </c>
      <c r="J25" s="164">
        <v>0</v>
      </c>
      <c r="K25" s="164">
        <v>1093</v>
      </c>
      <c r="L25" s="164">
        <v>0</v>
      </c>
      <c r="M25" s="164">
        <v>0</v>
      </c>
      <c r="N25" s="164">
        <v>1093</v>
      </c>
    </row>
    <row r="26" spans="1:14" ht="13.5" thickBot="1" x14ac:dyDescent="0.25">
      <c r="A26" s="2" t="s">
        <v>269</v>
      </c>
      <c r="B26" s="1" t="s">
        <v>268</v>
      </c>
      <c r="C26" s="2" t="s">
        <v>19</v>
      </c>
      <c r="D26" s="164">
        <v>0</v>
      </c>
      <c r="E26" s="164">
        <v>0</v>
      </c>
      <c r="F26" s="164">
        <v>0</v>
      </c>
      <c r="G26" s="164">
        <v>0</v>
      </c>
      <c r="H26" s="164">
        <v>0</v>
      </c>
      <c r="I26" s="106">
        <v>3738</v>
      </c>
      <c r="J26" s="164">
        <v>0</v>
      </c>
      <c r="K26" s="164">
        <v>0</v>
      </c>
      <c r="L26" s="164">
        <v>0</v>
      </c>
      <c r="M26" s="164">
        <v>0</v>
      </c>
      <c r="N26" s="164">
        <v>0</v>
      </c>
    </row>
    <row r="27" spans="1:14" ht="13.5" thickBot="1" x14ac:dyDescent="0.25">
      <c r="A27" s="2" t="s">
        <v>275</v>
      </c>
      <c r="B27" s="1" t="s">
        <v>274</v>
      </c>
      <c r="C27" s="2" t="s">
        <v>19</v>
      </c>
      <c r="D27" s="164">
        <v>0</v>
      </c>
      <c r="E27" s="164">
        <v>0</v>
      </c>
      <c r="F27" s="164">
        <v>0</v>
      </c>
      <c r="G27" s="164">
        <v>0</v>
      </c>
      <c r="H27" s="164">
        <v>0</v>
      </c>
      <c r="I27" s="106">
        <v>3112</v>
      </c>
      <c r="J27" s="164">
        <v>2325</v>
      </c>
      <c r="K27" s="164">
        <v>6112</v>
      </c>
      <c r="L27" s="164">
        <v>0</v>
      </c>
      <c r="M27" s="164">
        <v>13775</v>
      </c>
      <c r="N27" s="164">
        <v>22212</v>
      </c>
    </row>
    <row r="28" spans="1:14" ht="13.5" thickBot="1" x14ac:dyDescent="0.25">
      <c r="A28" s="2" t="s">
        <v>283</v>
      </c>
      <c r="B28" s="1" t="s">
        <v>282</v>
      </c>
      <c r="C28" s="2" t="s">
        <v>19</v>
      </c>
      <c r="D28" s="164">
        <v>0</v>
      </c>
      <c r="E28" s="164">
        <v>0</v>
      </c>
      <c r="F28" s="164">
        <v>0</v>
      </c>
      <c r="G28" s="164">
        <v>0</v>
      </c>
      <c r="H28" s="164">
        <v>0</v>
      </c>
      <c r="I28" s="106">
        <v>2791</v>
      </c>
      <c r="J28" s="164">
        <v>0</v>
      </c>
      <c r="K28" s="164">
        <v>356</v>
      </c>
      <c r="L28" s="164">
        <v>2656</v>
      </c>
      <c r="M28" s="164">
        <v>0</v>
      </c>
      <c r="N28" s="164">
        <v>3012</v>
      </c>
    </row>
    <row r="29" spans="1:14" ht="13.5" thickBot="1" x14ac:dyDescent="0.25">
      <c r="A29" s="2" t="s">
        <v>299</v>
      </c>
      <c r="B29" s="1" t="s">
        <v>298</v>
      </c>
      <c r="C29" s="2" t="s">
        <v>19</v>
      </c>
      <c r="D29" s="164">
        <v>0</v>
      </c>
      <c r="E29" s="164">
        <v>0</v>
      </c>
      <c r="F29" s="164">
        <v>44382</v>
      </c>
      <c r="G29" s="164">
        <v>0</v>
      </c>
      <c r="H29" s="164">
        <v>44382</v>
      </c>
      <c r="I29" s="106">
        <v>3150</v>
      </c>
      <c r="J29" s="164">
        <v>0</v>
      </c>
      <c r="K29" s="164">
        <v>2220</v>
      </c>
      <c r="L29" s="164">
        <v>2050</v>
      </c>
      <c r="M29" s="164">
        <v>0</v>
      </c>
      <c r="N29" s="164">
        <v>4270</v>
      </c>
    </row>
    <row r="30" spans="1:14" ht="13.5" thickBot="1" x14ac:dyDescent="0.25">
      <c r="A30" s="2" t="s">
        <v>311</v>
      </c>
      <c r="B30" s="1" t="s">
        <v>310</v>
      </c>
      <c r="C30" s="2" t="s">
        <v>19</v>
      </c>
      <c r="D30" s="164">
        <v>0</v>
      </c>
      <c r="E30" s="164">
        <v>0</v>
      </c>
      <c r="F30" s="164">
        <v>0</v>
      </c>
      <c r="G30" s="164">
        <v>0</v>
      </c>
      <c r="H30" s="164">
        <v>0</v>
      </c>
      <c r="I30" s="106">
        <v>3043</v>
      </c>
      <c r="J30" s="164">
        <v>1892</v>
      </c>
      <c r="K30" s="164">
        <v>920</v>
      </c>
      <c r="L30" s="165">
        <v>0</v>
      </c>
      <c r="M30" s="165">
        <v>0</v>
      </c>
      <c r="N30" s="164">
        <v>2812</v>
      </c>
    </row>
    <row r="31" spans="1:14" ht="13.5" thickBot="1" x14ac:dyDescent="0.25">
      <c r="A31" s="2" t="s">
        <v>319</v>
      </c>
      <c r="B31" s="1" t="s">
        <v>318</v>
      </c>
      <c r="C31" s="2" t="s">
        <v>19</v>
      </c>
      <c r="D31" s="164">
        <v>0</v>
      </c>
      <c r="E31" s="164">
        <v>0</v>
      </c>
      <c r="F31" s="164">
        <v>0</v>
      </c>
      <c r="G31" s="164">
        <v>0</v>
      </c>
      <c r="H31" s="164">
        <v>0</v>
      </c>
      <c r="I31" s="106">
        <v>2047</v>
      </c>
      <c r="J31" s="164">
        <v>0</v>
      </c>
      <c r="K31" s="164">
        <v>0</v>
      </c>
      <c r="L31" s="164">
        <v>0</v>
      </c>
      <c r="M31" s="164">
        <v>0</v>
      </c>
      <c r="N31" s="164">
        <v>0</v>
      </c>
    </row>
    <row r="32" spans="1:14" ht="13.5" thickBot="1" x14ac:dyDescent="0.25">
      <c r="A32" s="2" t="s">
        <v>327</v>
      </c>
      <c r="B32" s="1" t="s">
        <v>326</v>
      </c>
      <c r="C32" s="2" t="s">
        <v>19</v>
      </c>
      <c r="D32" s="164">
        <v>0</v>
      </c>
      <c r="E32" s="164">
        <v>0</v>
      </c>
      <c r="F32" s="164">
        <v>0</v>
      </c>
      <c r="G32" s="164">
        <v>0</v>
      </c>
      <c r="H32" s="164">
        <v>0</v>
      </c>
      <c r="I32" s="106">
        <v>3650</v>
      </c>
      <c r="J32" s="164">
        <v>0</v>
      </c>
      <c r="K32" s="164">
        <v>0</v>
      </c>
      <c r="L32" s="164">
        <v>0</v>
      </c>
      <c r="M32" s="164">
        <v>29227</v>
      </c>
      <c r="N32" s="164">
        <v>29227</v>
      </c>
    </row>
    <row r="33" spans="1:14" ht="13.5" thickBot="1" x14ac:dyDescent="0.25">
      <c r="A33" s="2" t="s">
        <v>329</v>
      </c>
      <c r="B33" s="1" t="s">
        <v>328</v>
      </c>
      <c r="C33" s="2" t="s">
        <v>19</v>
      </c>
      <c r="D33" s="164">
        <v>0</v>
      </c>
      <c r="E33" s="164">
        <v>1267</v>
      </c>
      <c r="F33" s="164">
        <v>0</v>
      </c>
      <c r="G33" s="164">
        <v>0</v>
      </c>
      <c r="H33" s="164">
        <v>1267</v>
      </c>
      <c r="I33" s="106">
        <v>1828</v>
      </c>
      <c r="J33" s="164">
        <v>0</v>
      </c>
      <c r="K33" s="164">
        <v>2200</v>
      </c>
      <c r="L33" s="165">
        <v>0</v>
      </c>
      <c r="M33" s="165">
        <v>0</v>
      </c>
      <c r="N33" s="164">
        <v>2200</v>
      </c>
    </row>
    <row r="34" spans="1:14" ht="13.5" thickBot="1" x14ac:dyDescent="0.25">
      <c r="A34" s="2" t="s">
        <v>379</v>
      </c>
      <c r="B34" s="1" t="s">
        <v>378</v>
      </c>
      <c r="C34" s="2" t="s">
        <v>19</v>
      </c>
      <c r="D34" s="164">
        <v>0</v>
      </c>
      <c r="E34" s="164">
        <v>0</v>
      </c>
      <c r="F34" s="164">
        <v>0</v>
      </c>
      <c r="G34" s="164">
        <v>0</v>
      </c>
      <c r="H34" s="164">
        <v>0</v>
      </c>
      <c r="I34" s="106">
        <v>3926</v>
      </c>
      <c r="J34" s="164">
        <v>0</v>
      </c>
      <c r="K34" s="164">
        <v>0</v>
      </c>
      <c r="L34" s="164">
        <v>906</v>
      </c>
      <c r="M34" s="164">
        <v>0</v>
      </c>
      <c r="N34" s="164">
        <v>906</v>
      </c>
    </row>
    <row r="35" spans="1:14" ht="13.5" thickBot="1" x14ac:dyDescent="0.25">
      <c r="A35" s="2" t="s">
        <v>395</v>
      </c>
      <c r="B35" s="1" t="s">
        <v>394</v>
      </c>
      <c r="C35" s="2" t="s">
        <v>19</v>
      </c>
      <c r="D35" s="164">
        <v>0</v>
      </c>
      <c r="E35" s="164">
        <v>2500</v>
      </c>
      <c r="F35" s="164">
        <v>0</v>
      </c>
      <c r="G35" s="164">
        <v>0</v>
      </c>
      <c r="H35" s="164">
        <v>2500</v>
      </c>
      <c r="I35" s="106">
        <v>3038</v>
      </c>
      <c r="J35" s="164">
        <v>0</v>
      </c>
      <c r="K35" s="164">
        <v>0</v>
      </c>
      <c r="L35" s="164">
        <v>0</v>
      </c>
      <c r="M35" s="164">
        <v>0</v>
      </c>
      <c r="N35" s="164">
        <v>0</v>
      </c>
    </row>
    <row r="36" spans="1:14" ht="13.5" thickBot="1" x14ac:dyDescent="0.25">
      <c r="A36" s="2" t="s">
        <v>427</v>
      </c>
      <c r="B36" s="1" t="s">
        <v>426</v>
      </c>
      <c r="C36" s="2" t="s">
        <v>19</v>
      </c>
      <c r="D36" s="164">
        <v>0</v>
      </c>
      <c r="E36" s="164">
        <v>0</v>
      </c>
      <c r="F36" s="164">
        <v>0</v>
      </c>
      <c r="G36" s="164">
        <v>0</v>
      </c>
      <c r="H36" s="164">
        <v>0</v>
      </c>
      <c r="I36" s="106">
        <v>3730</v>
      </c>
      <c r="J36" s="164">
        <v>0</v>
      </c>
      <c r="K36" s="164">
        <v>0</v>
      </c>
      <c r="L36" s="164">
        <v>0</v>
      </c>
      <c r="M36" s="164">
        <v>0</v>
      </c>
      <c r="N36" s="164">
        <v>0</v>
      </c>
    </row>
    <row r="37" spans="1:14" ht="13.5" thickBot="1" x14ac:dyDescent="0.25">
      <c r="A37" s="2" t="s">
        <v>433</v>
      </c>
      <c r="B37" s="1" t="s">
        <v>432</v>
      </c>
      <c r="C37" s="2" t="s">
        <v>19</v>
      </c>
      <c r="D37" s="164">
        <v>0</v>
      </c>
      <c r="E37" s="164">
        <v>0</v>
      </c>
      <c r="F37" s="164">
        <v>0</v>
      </c>
      <c r="G37" s="164">
        <v>0</v>
      </c>
      <c r="H37" s="164">
        <v>0</v>
      </c>
      <c r="I37" s="106">
        <v>2735</v>
      </c>
      <c r="J37" s="164">
        <v>504</v>
      </c>
      <c r="K37" s="164">
        <v>4481</v>
      </c>
      <c r="L37" s="164">
        <v>0</v>
      </c>
      <c r="M37" s="164">
        <v>0</v>
      </c>
      <c r="N37" s="164">
        <v>4985</v>
      </c>
    </row>
    <row r="38" spans="1:14" ht="13.5" thickBot="1" x14ac:dyDescent="0.25">
      <c r="A38" s="2" t="s">
        <v>435</v>
      </c>
      <c r="B38" s="1" t="s">
        <v>434</v>
      </c>
      <c r="C38" s="2" t="s">
        <v>19</v>
      </c>
      <c r="D38" s="164">
        <v>0</v>
      </c>
      <c r="E38" s="164">
        <v>0</v>
      </c>
      <c r="F38" s="164">
        <v>0</v>
      </c>
      <c r="G38" s="164">
        <v>0</v>
      </c>
      <c r="H38" s="164">
        <v>0</v>
      </c>
      <c r="I38" s="106">
        <v>1900</v>
      </c>
      <c r="J38" s="164">
        <v>2376</v>
      </c>
      <c r="K38" s="164">
        <v>0</v>
      </c>
      <c r="L38" s="164">
        <v>0</v>
      </c>
      <c r="M38" s="164">
        <v>0</v>
      </c>
      <c r="N38" s="164">
        <v>2376</v>
      </c>
    </row>
    <row r="39" spans="1:14" ht="13.5" thickBot="1" x14ac:dyDescent="0.25">
      <c r="A39" s="2" t="s">
        <v>439</v>
      </c>
      <c r="B39" s="1" t="s">
        <v>438</v>
      </c>
      <c r="C39" s="2" t="s">
        <v>19</v>
      </c>
      <c r="D39" s="164">
        <v>0</v>
      </c>
      <c r="E39" s="164">
        <v>0</v>
      </c>
      <c r="F39" s="164">
        <v>0</v>
      </c>
      <c r="G39" s="164">
        <v>0</v>
      </c>
      <c r="H39" s="164">
        <v>0</v>
      </c>
      <c r="I39" s="106">
        <v>2027</v>
      </c>
      <c r="J39" s="164">
        <v>0</v>
      </c>
      <c r="K39" s="164">
        <v>0</v>
      </c>
      <c r="L39" s="164">
        <v>0</v>
      </c>
      <c r="M39" s="164">
        <v>0</v>
      </c>
      <c r="N39" s="164">
        <v>0</v>
      </c>
    </row>
    <row r="40" spans="1:14" ht="13.5" thickBot="1" x14ac:dyDescent="0.25">
      <c r="A40" s="2" t="s">
        <v>449</v>
      </c>
      <c r="B40" s="1" t="s">
        <v>448</v>
      </c>
      <c r="C40" s="2" t="s">
        <v>19</v>
      </c>
      <c r="D40" s="164">
        <v>0</v>
      </c>
      <c r="E40" s="164">
        <v>0</v>
      </c>
      <c r="F40" s="164">
        <v>0</v>
      </c>
      <c r="G40" s="164">
        <v>0</v>
      </c>
      <c r="H40" s="164">
        <v>0</v>
      </c>
      <c r="I40" s="106">
        <v>2835</v>
      </c>
      <c r="J40" s="164">
        <v>3780</v>
      </c>
      <c r="K40" s="164">
        <v>0</v>
      </c>
      <c r="L40" s="164">
        <v>842</v>
      </c>
      <c r="M40" s="164">
        <v>6026</v>
      </c>
      <c r="N40" s="164">
        <v>10648</v>
      </c>
    </row>
    <row r="41" spans="1:14" ht="13.5" thickBot="1" x14ac:dyDescent="0.25">
      <c r="A41" s="2" t="s">
        <v>455</v>
      </c>
      <c r="B41" s="1" t="s">
        <v>454</v>
      </c>
      <c r="C41" s="2" t="s">
        <v>19</v>
      </c>
      <c r="D41" s="164">
        <v>0</v>
      </c>
      <c r="E41" s="164">
        <v>0</v>
      </c>
      <c r="F41" s="164">
        <v>0</v>
      </c>
      <c r="G41" s="164">
        <v>0</v>
      </c>
      <c r="H41" s="164">
        <v>0</v>
      </c>
      <c r="I41" s="106">
        <v>2372</v>
      </c>
      <c r="J41" s="164">
        <v>0</v>
      </c>
      <c r="K41" s="164">
        <v>0</v>
      </c>
      <c r="L41" s="164">
        <v>16308</v>
      </c>
      <c r="M41" s="164">
        <v>0</v>
      </c>
      <c r="N41" s="164">
        <v>16308</v>
      </c>
    </row>
    <row r="42" spans="1:14" ht="13.5" thickBot="1" x14ac:dyDescent="0.25">
      <c r="A42" s="2" t="s">
        <v>469</v>
      </c>
      <c r="B42" s="1" t="s">
        <v>468</v>
      </c>
      <c r="C42" s="2" t="s">
        <v>19</v>
      </c>
      <c r="D42" s="164">
        <v>0</v>
      </c>
      <c r="E42" s="164">
        <v>0</v>
      </c>
      <c r="F42" s="164">
        <v>0</v>
      </c>
      <c r="G42" s="164">
        <v>0</v>
      </c>
      <c r="H42" s="164">
        <v>0</v>
      </c>
      <c r="I42" s="106">
        <v>3667</v>
      </c>
      <c r="J42" s="164">
        <v>0</v>
      </c>
      <c r="K42" s="164">
        <v>0</v>
      </c>
      <c r="L42" s="164">
        <v>1475</v>
      </c>
      <c r="M42" s="164">
        <v>0</v>
      </c>
      <c r="N42" s="164">
        <v>1475</v>
      </c>
    </row>
    <row r="43" spans="1:14" ht="13.5" thickBot="1" x14ac:dyDescent="0.25">
      <c r="A43" s="2" t="s">
        <v>476</v>
      </c>
      <c r="B43" s="1" t="s">
        <v>475</v>
      </c>
      <c r="C43" s="2" t="s">
        <v>19</v>
      </c>
      <c r="D43" s="164">
        <v>0</v>
      </c>
      <c r="E43" s="164">
        <v>0</v>
      </c>
      <c r="F43" s="164">
        <v>0</v>
      </c>
      <c r="G43" s="164">
        <v>0</v>
      </c>
      <c r="H43" s="164">
        <v>0</v>
      </c>
      <c r="I43" s="106">
        <v>492</v>
      </c>
      <c r="J43" s="164">
        <v>415</v>
      </c>
      <c r="K43" s="164">
        <v>3015</v>
      </c>
      <c r="L43" s="164">
        <v>0</v>
      </c>
      <c r="M43" s="164">
        <v>0</v>
      </c>
      <c r="N43" s="164">
        <v>3430</v>
      </c>
    </row>
    <row r="44" spans="1:14" ht="13.5" thickBot="1" x14ac:dyDescent="0.25">
      <c r="A44" s="2" t="s">
        <v>492</v>
      </c>
      <c r="B44" s="1" t="s">
        <v>491</v>
      </c>
      <c r="C44" s="2" t="s">
        <v>19</v>
      </c>
      <c r="D44" s="164">
        <v>0</v>
      </c>
      <c r="E44" s="164">
        <v>0</v>
      </c>
      <c r="F44" s="164">
        <v>0</v>
      </c>
      <c r="G44" s="164">
        <v>0</v>
      </c>
      <c r="H44" s="164">
        <v>0</v>
      </c>
      <c r="I44" s="106">
        <v>3115</v>
      </c>
      <c r="J44" s="164">
        <v>0</v>
      </c>
      <c r="K44" s="164">
        <v>1182</v>
      </c>
      <c r="L44" s="164">
        <v>0</v>
      </c>
      <c r="M44" s="164">
        <v>0</v>
      </c>
      <c r="N44" s="164">
        <v>1182</v>
      </c>
    </row>
    <row r="45" spans="1:14" ht="13.5" thickBot="1" x14ac:dyDescent="0.25">
      <c r="A45" s="2" t="s">
        <v>508</v>
      </c>
      <c r="B45" s="1" t="s">
        <v>507</v>
      </c>
      <c r="C45" s="2" t="s">
        <v>19</v>
      </c>
      <c r="D45" s="165">
        <v>0</v>
      </c>
      <c r="E45" s="165">
        <v>0</v>
      </c>
      <c r="F45" s="165">
        <v>0</v>
      </c>
      <c r="G45" s="165">
        <v>0</v>
      </c>
      <c r="H45" s="165">
        <v>0</v>
      </c>
      <c r="I45" s="106">
        <v>2440</v>
      </c>
      <c r="J45" s="164">
        <v>0</v>
      </c>
      <c r="K45" s="164">
        <v>0</v>
      </c>
      <c r="L45" s="164">
        <v>0</v>
      </c>
      <c r="M45" s="164">
        <v>0</v>
      </c>
      <c r="N45" s="164">
        <v>0</v>
      </c>
    </row>
    <row r="46" spans="1:14" ht="13.5" thickBot="1" x14ac:dyDescent="0.25">
      <c r="A46" s="2" t="s">
        <v>516</v>
      </c>
      <c r="B46" s="1" t="s">
        <v>515</v>
      </c>
      <c r="C46" s="2" t="s">
        <v>19</v>
      </c>
      <c r="D46" s="164">
        <v>0</v>
      </c>
      <c r="E46" s="164">
        <v>0</v>
      </c>
      <c r="F46" s="164">
        <v>0</v>
      </c>
      <c r="G46" s="164">
        <v>0</v>
      </c>
      <c r="H46" s="164">
        <v>0</v>
      </c>
      <c r="I46" s="106">
        <v>3433</v>
      </c>
      <c r="J46" s="164">
        <v>0</v>
      </c>
      <c r="K46" s="164">
        <v>699</v>
      </c>
      <c r="L46" s="164">
        <v>5657</v>
      </c>
      <c r="M46" s="164">
        <v>0</v>
      </c>
      <c r="N46" s="164">
        <v>6356</v>
      </c>
    </row>
    <row r="47" spans="1:14" ht="13.5" thickBot="1" x14ac:dyDescent="0.25">
      <c r="A47" s="2" t="s">
        <v>536</v>
      </c>
      <c r="B47" s="1" t="s">
        <v>535</v>
      </c>
      <c r="C47" s="2" t="s">
        <v>19</v>
      </c>
      <c r="D47" s="164">
        <v>0</v>
      </c>
      <c r="E47" s="164">
        <v>0</v>
      </c>
      <c r="F47" s="164">
        <v>0</v>
      </c>
      <c r="G47" s="164">
        <v>0</v>
      </c>
      <c r="H47" s="164">
        <v>0</v>
      </c>
      <c r="I47" s="106">
        <v>1848</v>
      </c>
      <c r="J47" s="165">
        <v>0</v>
      </c>
      <c r="K47" s="165">
        <v>0</v>
      </c>
      <c r="L47" s="165">
        <v>0</v>
      </c>
      <c r="M47" s="165">
        <v>0</v>
      </c>
      <c r="N47" s="165">
        <v>0</v>
      </c>
    </row>
    <row r="48" spans="1:14" ht="13.5" thickBot="1" x14ac:dyDescent="0.25">
      <c r="A48" s="2" t="s">
        <v>552</v>
      </c>
      <c r="B48" s="1" t="s">
        <v>551</v>
      </c>
      <c r="C48" s="2" t="s">
        <v>19</v>
      </c>
      <c r="D48" s="164">
        <v>0</v>
      </c>
      <c r="E48" s="164">
        <v>0</v>
      </c>
      <c r="F48" s="164">
        <v>0</v>
      </c>
      <c r="G48" s="164">
        <v>0</v>
      </c>
      <c r="H48" s="164">
        <v>0</v>
      </c>
      <c r="I48" s="106">
        <v>3645</v>
      </c>
      <c r="J48" s="164">
        <v>8000</v>
      </c>
      <c r="K48" s="164">
        <v>1856</v>
      </c>
      <c r="L48" s="165">
        <v>0</v>
      </c>
      <c r="M48" s="164">
        <v>31885</v>
      </c>
      <c r="N48" s="164">
        <v>41741</v>
      </c>
    </row>
    <row r="49" spans="1:14" ht="13.5" thickBot="1" x14ac:dyDescent="0.25">
      <c r="A49" s="2" t="s">
        <v>566</v>
      </c>
      <c r="B49" s="1" t="s">
        <v>565</v>
      </c>
      <c r="C49" s="2" t="s">
        <v>19</v>
      </c>
      <c r="D49" s="164">
        <v>0</v>
      </c>
      <c r="E49" s="164">
        <v>0</v>
      </c>
      <c r="F49" s="164">
        <v>0</v>
      </c>
      <c r="G49" s="164">
        <v>0</v>
      </c>
      <c r="H49" s="164">
        <v>0</v>
      </c>
      <c r="I49" s="106">
        <v>3679</v>
      </c>
      <c r="J49" s="164">
        <v>0</v>
      </c>
      <c r="K49" s="164">
        <v>0</v>
      </c>
      <c r="L49" s="164">
        <v>0</v>
      </c>
      <c r="M49" s="164">
        <v>0</v>
      </c>
      <c r="N49" s="164">
        <v>0</v>
      </c>
    </row>
    <row r="50" spans="1:14" ht="13.5" thickBot="1" x14ac:dyDescent="0.25">
      <c r="A50" s="2" t="s">
        <v>570</v>
      </c>
      <c r="B50" s="1" t="s">
        <v>569</v>
      </c>
      <c r="C50" s="2" t="s">
        <v>19</v>
      </c>
      <c r="D50" s="164">
        <v>0</v>
      </c>
      <c r="E50" s="164">
        <v>0</v>
      </c>
      <c r="F50" s="164">
        <v>0</v>
      </c>
      <c r="G50" s="164">
        <v>0</v>
      </c>
      <c r="H50" s="164">
        <v>0</v>
      </c>
      <c r="I50" s="106">
        <v>1830</v>
      </c>
      <c r="J50" s="164">
        <v>0</v>
      </c>
      <c r="K50" s="164">
        <v>0</v>
      </c>
      <c r="L50" s="164">
        <v>0</v>
      </c>
      <c r="M50" s="164">
        <v>0</v>
      </c>
      <c r="N50" s="164">
        <v>0</v>
      </c>
    </row>
    <row r="51" spans="1:14" ht="13.5" thickBot="1" x14ac:dyDescent="0.25">
      <c r="A51" s="2" t="s">
        <v>592</v>
      </c>
      <c r="B51" s="1" t="s">
        <v>591</v>
      </c>
      <c r="C51" s="2" t="s">
        <v>19</v>
      </c>
      <c r="D51" s="164">
        <v>0</v>
      </c>
      <c r="E51" s="164">
        <v>0</v>
      </c>
      <c r="F51" s="164">
        <v>0</v>
      </c>
      <c r="G51" s="164">
        <v>0</v>
      </c>
      <c r="H51" s="164">
        <v>0</v>
      </c>
      <c r="I51" s="106">
        <v>1939</v>
      </c>
      <c r="J51" s="164">
        <v>12763</v>
      </c>
      <c r="K51" s="164">
        <v>112758</v>
      </c>
      <c r="L51" s="164">
        <v>210691</v>
      </c>
      <c r="M51" s="164">
        <v>722</v>
      </c>
      <c r="N51" s="164">
        <v>336934</v>
      </c>
    </row>
    <row r="52" spans="1:14" ht="13.5" thickBot="1" x14ac:dyDescent="0.25">
      <c r="A52" s="2" t="s">
        <v>612</v>
      </c>
      <c r="B52" s="1" t="s">
        <v>611</v>
      </c>
      <c r="C52" s="2" t="s">
        <v>19</v>
      </c>
      <c r="D52" s="164">
        <v>0</v>
      </c>
      <c r="E52" s="164">
        <v>0</v>
      </c>
      <c r="F52" s="164">
        <v>88100</v>
      </c>
      <c r="G52" s="164">
        <v>0</v>
      </c>
      <c r="H52" s="164">
        <v>88100</v>
      </c>
      <c r="I52" s="106">
        <v>5033</v>
      </c>
      <c r="J52" s="164">
        <v>4950</v>
      </c>
      <c r="K52" s="164">
        <v>500</v>
      </c>
      <c r="L52" s="165">
        <v>0</v>
      </c>
      <c r="M52" s="165">
        <v>0</v>
      </c>
      <c r="N52" s="164">
        <v>5450</v>
      </c>
    </row>
    <row r="53" spans="1:14" ht="13.5" thickBot="1" x14ac:dyDescent="0.25">
      <c r="A53" s="2" t="s">
        <v>632</v>
      </c>
      <c r="B53" s="1" t="s">
        <v>631</v>
      </c>
      <c r="C53" s="2" t="s">
        <v>19</v>
      </c>
      <c r="D53" s="164">
        <v>0</v>
      </c>
      <c r="E53" s="164">
        <v>0</v>
      </c>
      <c r="F53" s="164">
        <v>0</v>
      </c>
      <c r="G53" s="164">
        <v>0</v>
      </c>
      <c r="H53" s="164">
        <v>0</v>
      </c>
      <c r="I53" s="106">
        <v>3739</v>
      </c>
      <c r="J53" s="164">
        <v>11880</v>
      </c>
      <c r="K53" s="164">
        <v>0</v>
      </c>
      <c r="L53" s="164">
        <v>61590</v>
      </c>
      <c r="M53" s="164">
        <v>0</v>
      </c>
      <c r="N53" s="164">
        <v>73470</v>
      </c>
    </row>
    <row r="54" spans="1:14" ht="13.5" thickBot="1" x14ac:dyDescent="0.25">
      <c r="A54" s="2" t="s">
        <v>642</v>
      </c>
      <c r="B54" s="1" t="s">
        <v>641</v>
      </c>
      <c r="C54" s="2" t="s">
        <v>19</v>
      </c>
      <c r="D54" s="164">
        <v>0</v>
      </c>
      <c r="E54" s="164">
        <v>0</v>
      </c>
      <c r="F54" s="164">
        <v>0</v>
      </c>
      <c r="G54" s="164">
        <v>0</v>
      </c>
      <c r="H54" s="164">
        <v>0</v>
      </c>
      <c r="I54" s="106">
        <v>1508</v>
      </c>
      <c r="J54" s="164">
        <v>0</v>
      </c>
      <c r="K54" s="164">
        <v>0</v>
      </c>
      <c r="L54" s="164">
        <v>0</v>
      </c>
      <c r="M54" s="164">
        <v>0</v>
      </c>
      <c r="N54" s="164">
        <v>0</v>
      </c>
    </row>
    <row r="55" spans="1:14" ht="13.5" thickBot="1" x14ac:dyDescent="0.25">
      <c r="A55" s="2" t="s">
        <v>644</v>
      </c>
      <c r="B55" s="1" t="s">
        <v>643</v>
      </c>
      <c r="C55" s="2" t="s">
        <v>19</v>
      </c>
      <c r="D55" s="164">
        <v>0</v>
      </c>
      <c r="E55" s="164">
        <v>0</v>
      </c>
      <c r="F55" s="164">
        <v>0</v>
      </c>
      <c r="G55" s="164">
        <v>0</v>
      </c>
      <c r="H55" s="164">
        <v>0</v>
      </c>
      <c r="I55" s="106">
        <v>3731</v>
      </c>
      <c r="J55" s="164">
        <v>0</v>
      </c>
      <c r="K55" s="164">
        <v>0</v>
      </c>
      <c r="L55" s="164">
        <v>0</v>
      </c>
      <c r="M55" s="164">
        <v>0</v>
      </c>
      <c r="N55" s="164">
        <v>0</v>
      </c>
    </row>
    <row r="56" spans="1:14" ht="13.5" thickBot="1" x14ac:dyDescent="0.25">
      <c r="A56" s="2" t="s">
        <v>650</v>
      </c>
      <c r="B56" s="1" t="s">
        <v>649</v>
      </c>
      <c r="C56" s="2" t="s">
        <v>19</v>
      </c>
      <c r="D56" s="164">
        <v>0</v>
      </c>
      <c r="E56" s="164">
        <v>0</v>
      </c>
      <c r="F56" s="164">
        <v>0</v>
      </c>
      <c r="G56" s="164">
        <v>0</v>
      </c>
      <c r="H56" s="164">
        <v>0</v>
      </c>
      <c r="I56" s="106">
        <v>3674</v>
      </c>
      <c r="J56" s="164">
        <v>2413</v>
      </c>
      <c r="K56" s="164">
        <v>2943</v>
      </c>
      <c r="L56" s="164">
        <v>0</v>
      </c>
      <c r="M56" s="164">
        <v>0</v>
      </c>
      <c r="N56" s="164">
        <v>5356</v>
      </c>
    </row>
    <row r="57" spans="1:14" ht="13.5" thickBot="1" x14ac:dyDescent="0.25">
      <c r="A57" s="2" t="s">
        <v>652</v>
      </c>
      <c r="B57" s="1" t="s">
        <v>651</v>
      </c>
      <c r="C57" s="2" t="s">
        <v>19</v>
      </c>
      <c r="D57" s="164">
        <v>0</v>
      </c>
      <c r="E57" s="164">
        <v>0</v>
      </c>
      <c r="F57" s="164">
        <v>0</v>
      </c>
      <c r="G57" s="164">
        <v>0</v>
      </c>
      <c r="H57" s="164">
        <v>0</v>
      </c>
      <c r="I57" s="106">
        <v>882</v>
      </c>
      <c r="J57" s="164">
        <v>0</v>
      </c>
      <c r="K57" s="164">
        <v>0</v>
      </c>
      <c r="L57" s="164">
        <v>0</v>
      </c>
      <c r="M57" s="164">
        <v>0</v>
      </c>
      <c r="N57" s="164">
        <v>0</v>
      </c>
    </row>
    <row r="58" spans="1:14" ht="13.5" thickBot="1" x14ac:dyDescent="0.25">
      <c r="A58" s="2" t="s">
        <v>672</v>
      </c>
      <c r="B58" s="1" t="s">
        <v>671</v>
      </c>
      <c r="C58" s="2" t="s">
        <v>19</v>
      </c>
      <c r="D58" s="164">
        <v>0</v>
      </c>
      <c r="E58" s="164">
        <v>0</v>
      </c>
      <c r="F58" s="164">
        <v>0</v>
      </c>
      <c r="G58" s="164">
        <v>0</v>
      </c>
      <c r="H58" s="164">
        <v>0</v>
      </c>
      <c r="I58" s="106">
        <v>2419</v>
      </c>
      <c r="J58" s="164">
        <v>0</v>
      </c>
      <c r="K58" s="164">
        <v>0</v>
      </c>
      <c r="L58" s="164">
        <v>0</v>
      </c>
      <c r="M58" s="164">
        <v>0</v>
      </c>
      <c r="N58" s="164">
        <v>0</v>
      </c>
    </row>
    <row r="59" spans="1:14" ht="13.5" thickBot="1" x14ac:dyDescent="0.25">
      <c r="A59" s="2" t="s">
        <v>698</v>
      </c>
      <c r="B59" s="1" t="s">
        <v>697</v>
      </c>
      <c r="C59" s="2" t="s">
        <v>19</v>
      </c>
      <c r="D59" s="164">
        <v>0</v>
      </c>
      <c r="E59" s="164">
        <v>0</v>
      </c>
      <c r="F59" s="164">
        <v>0</v>
      </c>
      <c r="G59" s="164">
        <v>2576</v>
      </c>
      <c r="H59" s="164">
        <v>2576</v>
      </c>
      <c r="I59" s="106">
        <v>3775</v>
      </c>
      <c r="J59" s="165">
        <v>0</v>
      </c>
      <c r="K59" s="164">
        <v>2089</v>
      </c>
      <c r="L59" s="164">
        <v>123</v>
      </c>
      <c r="M59" s="165">
        <v>0</v>
      </c>
      <c r="N59" s="164">
        <v>2212</v>
      </c>
    </row>
    <row r="60" spans="1:14" ht="13.5" thickBot="1" x14ac:dyDescent="0.25">
      <c r="A60" s="2" t="s">
        <v>704</v>
      </c>
      <c r="B60" s="1" t="s">
        <v>703</v>
      </c>
      <c r="C60" s="2" t="s">
        <v>19</v>
      </c>
      <c r="D60" s="164">
        <v>0</v>
      </c>
      <c r="E60" s="164">
        <v>0</v>
      </c>
      <c r="F60" s="164">
        <v>0</v>
      </c>
      <c r="G60" s="164">
        <v>0</v>
      </c>
      <c r="H60" s="164">
        <v>0</v>
      </c>
      <c r="I60" s="106">
        <v>3138</v>
      </c>
      <c r="J60" s="164">
        <v>2599</v>
      </c>
      <c r="K60" s="164">
        <v>0</v>
      </c>
      <c r="L60" s="164">
        <v>3037</v>
      </c>
      <c r="M60" s="164">
        <v>0</v>
      </c>
      <c r="N60" s="164">
        <v>5636</v>
      </c>
    </row>
    <row r="61" spans="1:14" ht="13.5" thickBot="1" x14ac:dyDescent="0.25">
      <c r="A61" s="2" t="s">
        <v>714</v>
      </c>
      <c r="B61" s="1" t="s">
        <v>713</v>
      </c>
      <c r="C61" s="2" t="s">
        <v>19</v>
      </c>
      <c r="D61" s="164">
        <v>0</v>
      </c>
      <c r="E61" s="164">
        <v>2242</v>
      </c>
      <c r="F61" s="164">
        <v>600</v>
      </c>
      <c r="G61" s="164">
        <v>1240</v>
      </c>
      <c r="H61" s="164">
        <v>4082</v>
      </c>
      <c r="I61" s="106">
        <v>3428</v>
      </c>
      <c r="J61" s="164">
        <v>4922</v>
      </c>
      <c r="K61" s="164">
        <v>0</v>
      </c>
      <c r="L61" s="164">
        <v>765</v>
      </c>
      <c r="M61" s="164">
        <v>0</v>
      </c>
      <c r="N61" s="164">
        <v>5687</v>
      </c>
    </row>
    <row r="62" spans="1:14" ht="13.5" thickBot="1" x14ac:dyDescent="0.25">
      <c r="A62" s="2" t="s">
        <v>716</v>
      </c>
      <c r="B62" s="1" t="s">
        <v>715</v>
      </c>
      <c r="C62" s="2" t="s">
        <v>19</v>
      </c>
      <c r="D62" s="164">
        <v>0</v>
      </c>
      <c r="E62" s="164">
        <v>0</v>
      </c>
      <c r="F62" s="164">
        <v>0</v>
      </c>
      <c r="G62" s="164">
        <v>0</v>
      </c>
      <c r="H62" s="164">
        <v>0</v>
      </c>
      <c r="I62" s="106">
        <v>1932</v>
      </c>
      <c r="J62" s="164">
        <v>0</v>
      </c>
      <c r="K62" s="164">
        <v>0</v>
      </c>
      <c r="L62" s="164">
        <v>0</v>
      </c>
      <c r="M62" s="164">
        <v>0</v>
      </c>
      <c r="N62" s="164">
        <v>0</v>
      </c>
    </row>
    <row r="63" spans="1:14" ht="13.5" thickBot="1" x14ac:dyDescent="0.25">
      <c r="A63" s="2" t="s">
        <v>738</v>
      </c>
      <c r="B63" s="1" t="s">
        <v>737</v>
      </c>
      <c r="C63" s="2" t="s">
        <v>19</v>
      </c>
      <c r="D63" s="164">
        <v>0</v>
      </c>
      <c r="E63" s="164">
        <v>0</v>
      </c>
      <c r="F63" s="164">
        <v>0</v>
      </c>
      <c r="G63" s="164">
        <v>0</v>
      </c>
      <c r="H63" s="164">
        <v>0</v>
      </c>
      <c r="I63" s="106">
        <v>2387</v>
      </c>
      <c r="J63" s="164">
        <v>205</v>
      </c>
      <c r="K63" s="164">
        <v>0</v>
      </c>
      <c r="L63" s="164">
        <v>0</v>
      </c>
      <c r="M63" s="164">
        <v>0</v>
      </c>
      <c r="N63" s="164">
        <v>205</v>
      </c>
    </row>
    <row r="64" spans="1:14" ht="13.5" thickBot="1" x14ac:dyDescent="0.25">
      <c r="A64" s="2" t="s">
        <v>757</v>
      </c>
      <c r="B64" s="1" t="s">
        <v>756</v>
      </c>
      <c r="C64" s="2" t="s">
        <v>19</v>
      </c>
      <c r="D64" s="164">
        <v>0</v>
      </c>
      <c r="E64" s="164">
        <v>0</v>
      </c>
      <c r="F64" s="164">
        <v>0</v>
      </c>
      <c r="G64" s="164">
        <v>0</v>
      </c>
      <c r="H64" s="164">
        <v>0</v>
      </c>
      <c r="I64" s="106">
        <v>1873</v>
      </c>
      <c r="J64" s="164">
        <v>0</v>
      </c>
      <c r="K64" s="164">
        <v>0</v>
      </c>
      <c r="L64" s="164">
        <v>22380</v>
      </c>
      <c r="M64" s="164">
        <v>0</v>
      </c>
      <c r="N64" s="164">
        <v>22380</v>
      </c>
    </row>
    <row r="65" spans="1:14" ht="13.5" thickBot="1" x14ac:dyDescent="0.25">
      <c r="A65" s="2" t="s">
        <v>775</v>
      </c>
      <c r="B65" s="1" t="s">
        <v>774</v>
      </c>
      <c r="C65" s="2" t="s">
        <v>19</v>
      </c>
      <c r="D65" s="164">
        <v>0</v>
      </c>
      <c r="E65" s="164">
        <v>0</v>
      </c>
      <c r="F65" s="164">
        <v>0</v>
      </c>
      <c r="G65" s="164">
        <v>0</v>
      </c>
      <c r="H65" s="164">
        <v>0</v>
      </c>
      <c r="I65" s="106">
        <v>1652</v>
      </c>
      <c r="J65" s="164">
        <v>0</v>
      </c>
      <c r="K65" s="164">
        <v>0</v>
      </c>
      <c r="L65" s="164">
        <v>3182</v>
      </c>
      <c r="M65" s="164">
        <v>0</v>
      </c>
      <c r="N65" s="164">
        <v>3182</v>
      </c>
    </row>
    <row r="66" spans="1:14" ht="13.5" thickBot="1" x14ac:dyDescent="0.25">
      <c r="A66" s="2" t="s">
        <v>787</v>
      </c>
      <c r="B66" s="1" t="s">
        <v>786</v>
      </c>
      <c r="C66" s="2" t="s">
        <v>19</v>
      </c>
      <c r="D66" s="164">
        <v>0</v>
      </c>
      <c r="E66" s="164">
        <v>0</v>
      </c>
      <c r="F66" s="164">
        <v>0</v>
      </c>
      <c r="G66" s="164">
        <v>0</v>
      </c>
      <c r="H66" s="164">
        <v>0</v>
      </c>
      <c r="I66" s="106">
        <v>3895</v>
      </c>
      <c r="J66" s="164">
        <v>0</v>
      </c>
      <c r="K66" s="164">
        <v>0</v>
      </c>
      <c r="L66" s="164">
        <v>0</v>
      </c>
      <c r="M66" s="164">
        <v>0</v>
      </c>
      <c r="N66" s="164">
        <v>0</v>
      </c>
    </row>
    <row r="67" spans="1:14" ht="13.5" thickBot="1" x14ac:dyDescent="0.25">
      <c r="A67" s="2" t="s">
        <v>793</v>
      </c>
      <c r="B67" s="1" t="s">
        <v>792</v>
      </c>
      <c r="C67" s="2" t="s">
        <v>19</v>
      </c>
      <c r="D67" s="164">
        <v>0</v>
      </c>
      <c r="E67" s="164">
        <v>0</v>
      </c>
      <c r="F67" s="164">
        <v>0</v>
      </c>
      <c r="G67" s="164">
        <v>0</v>
      </c>
      <c r="H67" s="164">
        <v>0</v>
      </c>
      <c r="I67" s="106">
        <v>2156</v>
      </c>
      <c r="J67" s="164">
        <v>0</v>
      </c>
      <c r="K67" s="164">
        <v>0</v>
      </c>
      <c r="L67" s="164">
        <v>0</v>
      </c>
      <c r="M67" s="164">
        <v>0</v>
      </c>
      <c r="N67" s="164">
        <v>0</v>
      </c>
    </row>
    <row r="68" spans="1:14" ht="13.5" thickBot="1" x14ac:dyDescent="0.25">
      <c r="A68" s="2" t="s">
        <v>795</v>
      </c>
      <c r="B68" s="1" t="s">
        <v>794</v>
      </c>
      <c r="C68" s="2" t="s">
        <v>19</v>
      </c>
      <c r="D68" s="164">
        <v>0</v>
      </c>
      <c r="E68" s="164">
        <v>0</v>
      </c>
      <c r="F68" s="164">
        <v>0</v>
      </c>
      <c r="G68" s="164">
        <v>226</v>
      </c>
      <c r="H68" s="164">
        <v>226</v>
      </c>
      <c r="I68" s="106">
        <v>2475</v>
      </c>
      <c r="J68" s="164">
        <v>0</v>
      </c>
      <c r="K68" s="164">
        <v>0</v>
      </c>
      <c r="L68" s="164">
        <v>226</v>
      </c>
      <c r="M68" s="164">
        <v>0</v>
      </c>
      <c r="N68" s="164">
        <v>226</v>
      </c>
    </row>
    <row r="69" spans="1:14" ht="13.5" thickBot="1" x14ac:dyDescent="0.25">
      <c r="A69" s="2" t="s">
        <v>799</v>
      </c>
      <c r="B69" s="1" t="s">
        <v>798</v>
      </c>
      <c r="C69" s="2" t="s">
        <v>19</v>
      </c>
      <c r="D69" s="164">
        <v>0</v>
      </c>
      <c r="E69" s="164">
        <v>0</v>
      </c>
      <c r="F69" s="164">
        <v>0</v>
      </c>
      <c r="G69" s="164">
        <v>0</v>
      </c>
      <c r="H69" s="164">
        <v>0</v>
      </c>
      <c r="I69" s="106">
        <v>1968</v>
      </c>
      <c r="J69" s="164">
        <v>0</v>
      </c>
      <c r="K69" s="164">
        <v>0</v>
      </c>
      <c r="L69" s="164">
        <v>0</v>
      </c>
      <c r="M69" s="164">
        <v>0</v>
      </c>
      <c r="N69" s="164">
        <v>0</v>
      </c>
    </row>
    <row r="70" spans="1:14" ht="13.5" thickBot="1" x14ac:dyDescent="0.25">
      <c r="A70" s="2" t="s">
        <v>809</v>
      </c>
      <c r="B70" s="1" t="s">
        <v>808</v>
      </c>
      <c r="C70" s="2" t="s">
        <v>19</v>
      </c>
      <c r="D70" s="164">
        <v>0</v>
      </c>
      <c r="E70" s="164">
        <v>0</v>
      </c>
      <c r="F70" s="164">
        <v>0</v>
      </c>
      <c r="G70" s="164">
        <v>0</v>
      </c>
      <c r="H70" s="164">
        <v>0</v>
      </c>
      <c r="I70" s="106">
        <v>2202</v>
      </c>
      <c r="J70" s="164">
        <v>0</v>
      </c>
      <c r="K70" s="164">
        <v>0</v>
      </c>
      <c r="L70" s="164">
        <v>0</v>
      </c>
      <c r="M70" s="164">
        <v>0</v>
      </c>
      <c r="N70" s="164">
        <v>0</v>
      </c>
    </row>
    <row r="71" spans="1:14" ht="13.5" thickBot="1" x14ac:dyDescent="0.25">
      <c r="A71" s="2" t="s">
        <v>821</v>
      </c>
      <c r="B71" s="1" t="s">
        <v>820</v>
      </c>
      <c r="C71" s="2" t="s">
        <v>19</v>
      </c>
      <c r="D71" s="164">
        <v>0</v>
      </c>
      <c r="E71" s="164">
        <v>0</v>
      </c>
      <c r="F71" s="164">
        <v>0</v>
      </c>
      <c r="G71" s="164">
        <v>0</v>
      </c>
      <c r="H71" s="164">
        <v>0</v>
      </c>
      <c r="I71" s="106">
        <v>2913</v>
      </c>
      <c r="J71" s="164">
        <v>0</v>
      </c>
      <c r="K71" s="164">
        <v>0</v>
      </c>
      <c r="L71" s="164">
        <v>0</v>
      </c>
      <c r="M71" s="164">
        <v>0</v>
      </c>
      <c r="N71" s="164">
        <v>0</v>
      </c>
    </row>
    <row r="72" spans="1:14" ht="13.5" thickBot="1" x14ac:dyDescent="0.25">
      <c r="A72" s="2" t="s">
        <v>833</v>
      </c>
      <c r="B72" s="1" t="s">
        <v>832</v>
      </c>
      <c r="C72" s="2" t="s">
        <v>19</v>
      </c>
      <c r="D72" s="164">
        <v>0</v>
      </c>
      <c r="E72" s="164">
        <v>0</v>
      </c>
      <c r="F72" s="164">
        <v>0</v>
      </c>
      <c r="G72" s="164">
        <v>0</v>
      </c>
      <c r="H72" s="164">
        <v>0</v>
      </c>
      <c r="I72" s="106">
        <v>575</v>
      </c>
      <c r="J72" s="164">
        <v>250</v>
      </c>
      <c r="K72" s="164">
        <v>559</v>
      </c>
      <c r="L72" s="164">
        <v>0</v>
      </c>
      <c r="M72" s="164">
        <v>0</v>
      </c>
      <c r="N72" s="164">
        <v>809</v>
      </c>
    </row>
    <row r="73" spans="1:14" ht="13.5" thickBot="1" x14ac:dyDescent="0.25">
      <c r="A73" s="2" t="s">
        <v>841</v>
      </c>
      <c r="B73" s="1" t="s">
        <v>840</v>
      </c>
      <c r="C73" s="2" t="s">
        <v>19</v>
      </c>
      <c r="D73" s="164">
        <v>0</v>
      </c>
      <c r="E73" s="164">
        <v>0</v>
      </c>
      <c r="F73" s="164">
        <v>0</v>
      </c>
      <c r="G73" s="164">
        <v>0</v>
      </c>
      <c r="H73" s="164">
        <v>0</v>
      </c>
      <c r="I73" s="106">
        <v>2738</v>
      </c>
      <c r="J73" s="164">
        <v>1808</v>
      </c>
      <c r="K73" s="164">
        <v>843</v>
      </c>
      <c r="L73" s="164">
        <v>3977</v>
      </c>
      <c r="M73" s="164">
        <v>0</v>
      </c>
      <c r="N73" s="164">
        <v>6628</v>
      </c>
    </row>
    <row r="74" spans="1:14" ht="13.5" thickBot="1" x14ac:dyDescent="0.25">
      <c r="A74" s="2" t="s">
        <v>21</v>
      </c>
      <c r="B74" s="1" t="s">
        <v>20</v>
      </c>
      <c r="C74" s="2" t="s">
        <v>24</v>
      </c>
      <c r="D74" s="164">
        <v>0</v>
      </c>
      <c r="E74" s="164">
        <v>0</v>
      </c>
      <c r="F74" s="164">
        <v>0</v>
      </c>
      <c r="G74" s="164">
        <v>0</v>
      </c>
      <c r="H74" s="164">
        <v>0</v>
      </c>
      <c r="I74" s="106">
        <v>6351</v>
      </c>
      <c r="J74" s="164">
        <v>0</v>
      </c>
      <c r="K74" s="164">
        <v>0</v>
      </c>
      <c r="L74" s="164">
        <v>0</v>
      </c>
      <c r="M74" s="164">
        <v>0</v>
      </c>
      <c r="N74" s="164">
        <v>0</v>
      </c>
    </row>
    <row r="75" spans="1:14" ht="13.5" thickBot="1" x14ac:dyDescent="0.25">
      <c r="A75" s="2" t="s">
        <v>51</v>
      </c>
      <c r="B75" s="1" t="s">
        <v>50</v>
      </c>
      <c r="C75" s="2" t="s">
        <v>24</v>
      </c>
      <c r="D75" s="164">
        <v>0</v>
      </c>
      <c r="E75" s="164">
        <v>0</v>
      </c>
      <c r="F75" s="164">
        <v>0</v>
      </c>
      <c r="G75" s="164">
        <v>0</v>
      </c>
      <c r="H75" s="164">
        <v>0</v>
      </c>
      <c r="I75" s="106">
        <v>6583</v>
      </c>
      <c r="J75" s="164">
        <v>717</v>
      </c>
      <c r="K75" s="164">
        <v>931</v>
      </c>
      <c r="L75" s="164">
        <v>121</v>
      </c>
      <c r="M75" s="164">
        <v>0</v>
      </c>
      <c r="N75" s="164">
        <v>1769</v>
      </c>
    </row>
    <row r="76" spans="1:14" ht="13.5" thickBot="1" x14ac:dyDescent="0.25">
      <c r="A76" s="2" t="s">
        <v>62</v>
      </c>
      <c r="B76" s="1" t="s">
        <v>61</v>
      </c>
      <c r="C76" s="2" t="s">
        <v>24</v>
      </c>
      <c r="D76" s="164">
        <v>0</v>
      </c>
      <c r="E76" s="164">
        <v>0</v>
      </c>
      <c r="F76" s="164">
        <v>0</v>
      </c>
      <c r="G76" s="164">
        <v>0</v>
      </c>
      <c r="H76" s="164">
        <v>0</v>
      </c>
      <c r="I76" s="106">
        <v>5379</v>
      </c>
      <c r="J76" s="164">
        <v>0</v>
      </c>
      <c r="K76" s="164">
        <v>0</v>
      </c>
      <c r="L76" s="164">
        <v>0</v>
      </c>
      <c r="M76" s="164">
        <v>0</v>
      </c>
      <c r="N76" s="164">
        <v>0</v>
      </c>
    </row>
    <row r="77" spans="1:14" ht="13.5" thickBot="1" x14ac:dyDescent="0.25">
      <c r="A77" s="2" t="s">
        <v>66</v>
      </c>
      <c r="B77" s="1" t="s">
        <v>65</v>
      </c>
      <c r="C77" s="2" t="s">
        <v>24</v>
      </c>
      <c r="D77" s="164">
        <v>0</v>
      </c>
      <c r="E77" s="164">
        <v>0</v>
      </c>
      <c r="F77" s="164">
        <v>0</v>
      </c>
      <c r="G77" s="164">
        <v>0</v>
      </c>
      <c r="H77" s="164">
        <v>0</v>
      </c>
      <c r="I77" s="106">
        <v>4265</v>
      </c>
      <c r="J77" s="164">
        <v>0</v>
      </c>
      <c r="K77" s="164">
        <v>0</v>
      </c>
      <c r="L77" s="164">
        <v>0</v>
      </c>
      <c r="M77" s="164">
        <v>0</v>
      </c>
      <c r="N77" s="164">
        <v>0</v>
      </c>
    </row>
    <row r="78" spans="1:14" ht="13.5" thickBot="1" x14ac:dyDescent="0.25">
      <c r="A78" s="2" t="s">
        <v>78</v>
      </c>
      <c r="B78" s="1" t="s">
        <v>77</v>
      </c>
      <c r="C78" s="2" t="s">
        <v>24</v>
      </c>
      <c r="D78" s="164">
        <v>0</v>
      </c>
      <c r="E78" s="164">
        <v>0</v>
      </c>
      <c r="F78" s="164">
        <v>0</v>
      </c>
      <c r="G78" s="164">
        <v>0</v>
      </c>
      <c r="H78" s="164">
        <v>0</v>
      </c>
      <c r="I78" s="106">
        <v>6621</v>
      </c>
      <c r="J78" s="164">
        <v>0</v>
      </c>
      <c r="K78" s="164">
        <v>0</v>
      </c>
      <c r="L78" s="164">
        <v>0</v>
      </c>
      <c r="M78" s="164">
        <v>0</v>
      </c>
      <c r="N78" s="164">
        <v>0</v>
      </c>
    </row>
    <row r="79" spans="1:14" ht="13.5" thickBot="1" x14ac:dyDescent="0.25">
      <c r="A79" s="2" t="s">
        <v>82</v>
      </c>
      <c r="B79" s="1" t="s">
        <v>81</v>
      </c>
      <c r="C79" s="2" t="s">
        <v>24</v>
      </c>
      <c r="D79" s="164">
        <v>0</v>
      </c>
      <c r="E79" s="164">
        <v>0</v>
      </c>
      <c r="F79" s="164">
        <v>0</v>
      </c>
      <c r="G79" s="164">
        <v>0</v>
      </c>
      <c r="H79" s="164">
        <v>0</v>
      </c>
      <c r="I79" s="106">
        <v>4075</v>
      </c>
      <c r="J79" s="164">
        <v>0</v>
      </c>
      <c r="K79" s="164">
        <v>0</v>
      </c>
      <c r="L79" s="164">
        <v>0</v>
      </c>
      <c r="M79" s="164">
        <v>0</v>
      </c>
      <c r="N79" s="164">
        <v>0</v>
      </c>
    </row>
    <row r="80" spans="1:14" ht="13.5" thickBot="1" x14ac:dyDescent="0.25">
      <c r="A80" s="2" t="s">
        <v>106</v>
      </c>
      <c r="B80" s="1" t="s">
        <v>105</v>
      </c>
      <c r="C80" s="2" t="s">
        <v>24</v>
      </c>
      <c r="D80" s="164">
        <v>0</v>
      </c>
      <c r="E80" s="164">
        <v>0</v>
      </c>
      <c r="F80" s="164">
        <v>0</v>
      </c>
      <c r="G80" s="164">
        <v>0</v>
      </c>
      <c r="H80" s="164">
        <v>0</v>
      </c>
      <c r="I80" s="106">
        <v>5414</v>
      </c>
      <c r="J80" s="164">
        <v>0</v>
      </c>
      <c r="K80" s="164">
        <v>4674</v>
      </c>
      <c r="L80" s="164">
        <v>0</v>
      </c>
      <c r="M80" s="164">
        <v>0</v>
      </c>
      <c r="N80" s="164">
        <v>4674</v>
      </c>
    </row>
    <row r="81" spans="1:14" ht="13.5" thickBot="1" x14ac:dyDescent="0.25">
      <c r="A81" s="2" t="s">
        <v>126</v>
      </c>
      <c r="B81" s="1" t="s">
        <v>125</v>
      </c>
      <c r="C81" s="2" t="s">
        <v>24</v>
      </c>
      <c r="D81" s="164">
        <v>0</v>
      </c>
      <c r="E81" s="164">
        <v>0</v>
      </c>
      <c r="F81" s="164">
        <v>0</v>
      </c>
      <c r="G81" s="164">
        <v>0</v>
      </c>
      <c r="H81" s="164">
        <v>0</v>
      </c>
      <c r="I81" s="106">
        <v>6296</v>
      </c>
      <c r="J81" s="164">
        <v>0</v>
      </c>
      <c r="K81" s="164">
        <v>3300</v>
      </c>
      <c r="L81" s="164">
        <v>0</v>
      </c>
      <c r="M81" s="164">
        <v>0</v>
      </c>
      <c r="N81" s="164">
        <v>3300</v>
      </c>
    </row>
    <row r="82" spans="1:14" ht="13.5" thickBot="1" x14ac:dyDescent="0.25">
      <c r="A82" s="2" t="s">
        <v>132</v>
      </c>
      <c r="B82" s="1" t="s">
        <v>131</v>
      </c>
      <c r="C82" s="2" t="s">
        <v>24</v>
      </c>
      <c r="D82" s="164">
        <v>0</v>
      </c>
      <c r="E82" s="164">
        <v>0</v>
      </c>
      <c r="F82" s="164">
        <v>0</v>
      </c>
      <c r="G82" s="164">
        <v>0</v>
      </c>
      <c r="H82" s="164">
        <v>0</v>
      </c>
      <c r="I82" s="106">
        <v>4005</v>
      </c>
      <c r="J82" s="164">
        <v>0</v>
      </c>
      <c r="K82" s="164">
        <v>0</v>
      </c>
      <c r="L82" s="164">
        <v>0</v>
      </c>
      <c r="M82" s="164">
        <v>0</v>
      </c>
      <c r="N82" s="164">
        <v>0</v>
      </c>
    </row>
    <row r="83" spans="1:14" ht="13.5" thickBot="1" x14ac:dyDescent="0.25">
      <c r="A83" s="2" t="s">
        <v>146</v>
      </c>
      <c r="B83" s="1" t="s">
        <v>145</v>
      </c>
      <c r="C83" s="2" t="s">
        <v>24</v>
      </c>
      <c r="D83" s="164">
        <v>0</v>
      </c>
      <c r="E83" s="164">
        <v>0</v>
      </c>
      <c r="F83" s="164">
        <v>2049</v>
      </c>
      <c r="G83" s="164">
        <v>0</v>
      </c>
      <c r="H83" s="164">
        <v>2049</v>
      </c>
      <c r="I83" s="106">
        <v>4191</v>
      </c>
      <c r="J83" s="164">
        <v>0</v>
      </c>
      <c r="K83" s="164">
        <v>0</v>
      </c>
      <c r="L83" s="164">
        <v>0</v>
      </c>
      <c r="M83" s="164">
        <v>2542</v>
      </c>
      <c r="N83" s="164">
        <v>2542</v>
      </c>
    </row>
    <row r="84" spans="1:14" ht="13.5" thickBot="1" x14ac:dyDescent="0.25">
      <c r="A84" s="2" t="s">
        <v>188</v>
      </c>
      <c r="B84" s="1" t="s">
        <v>187</v>
      </c>
      <c r="C84" s="2" t="s">
        <v>24</v>
      </c>
      <c r="D84" s="164">
        <v>0</v>
      </c>
      <c r="E84" s="164">
        <v>0</v>
      </c>
      <c r="F84" s="164">
        <v>0</v>
      </c>
      <c r="G84" s="164">
        <v>0</v>
      </c>
      <c r="H84" s="164">
        <v>0</v>
      </c>
      <c r="I84" s="106">
        <v>4622</v>
      </c>
      <c r="J84" s="164">
        <v>0</v>
      </c>
      <c r="K84" s="164">
        <v>2223</v>
      </c>
      <c r="L84" s="164">
        <v>0</v>
      </c>
      <c r="M84" s="164">
        <v>0</v>
      </c>
      <c r="N84" s="164">
        <v>2223</v>
      </c>
    </row>
    <row r="85" spans="1:14" ht="13.5" thickBot="1" x14ac:dyDescent="0.25">
      <c r="A85" s="2" t="s">
        <v>202</v>
      </c>
      <c r="B85" s="1" t="s">
        <v>201</v>
      </c>
      <c r="C85" s="2" t="s">
        <v>24</v>
      </c>
      <c r="D85" s="164">
        <v>0</v>
      </c>
      <c r="E85" s="164">
        <v>0</v>
      </c>
      <c r="F85" s="164">
        <v>0</v>
      </c>
      <c r="G85" s="164">
        <v>0</v>
      </c>
      <c r="H85" s="164">
        <v>0</v>
      </c>
      <c r="I85" s="106">
        <v>4986</v>
      </c>
      <c r="J85" s="164">
        <v>0</v>
      </c>
      <c r="K85" s="164">
        <v>0</v>
      </c>
      <c r="L85" s="164">
        <v>0</v>
      </c>
      <c r="M85" s="164">
        <v>3875</v>
      </c>
      <c r="N85" s="164">
        <v>3875</v>
      </c>
    </row>
    <row r="86" spans="1:14" ht="13.5" thickBot="1" x14ac:dyDescent="0.25">
      <c r="A86" s="2" t="s">
        <v>225</v>
      </c>
      <c r="B86" s="1" t="s">
        <v>224</v>
      </c>
      <c r="C86" s="2" t="s">
        <v>24</v>
      </c>
      <c r="D86" s="164">
        <v>0</v>
      </c>
      <c r="E86" s="164">
        <v>0</v>
      </c>
      <c r="F86" s="164">
        <v>0</v>
      </c>
      <c r="G86" s="164">
        <v>0</v>
      </c>
      <c r="H86" s="164">
        <v>0</v>
      </c>
      <c r="I86" s="106">
        <v>4514</v>
      </c>
      <c r="J86" s="165">
        <v>0</v>
      </c>
      <c r="K86" s="165">
        <v>0</v>
      </c>
      <c r="L86" s="164">
        <v>3582</v>
      </c>
      <c r="M86" s="165">
        <v>0</v>
      </c>
      <c r="N86" s="164">
        <v>3582</v>
      </c>
    </row>
    <row r="87" spans="1:14" ht="13.5" thickBot="1" x14ac:dyDescent="0.25">
      <c r="A87" s="2" t="s">
        <v>241</v>
      </c>
      <c r="B87" s="1" t="s">
        <v>240</v>
      </c>
      <c r="C87" s="2" t="s">
        <v>24</v>
      </c>
      <c r="D87" s="164">
        <v>0</v>
      </c>
      <c r="E87" s="164">
        <v>0</v>
      </c>
      <c r="F87" s="164">
        <v>0</v>
      </c>
      <c r="G87" s="164">
        <v>0</v>
      </c>
      <c r="H87" s="164">
        <v>0</v>
      </c>
      <c r="I87" s="106">
        <v>6838</v>
      </c>
      <c r="J87" s="164">
        <v>0</v>
      </c>
      <c r="K87" s="164">
        <v>1884</v>
      </c>
      <c r="L87" s="164">
        <v>0</v>
      </c>
      <c r="M87" s="165">
        <v>0</v>
      </c>
      <c r="N87" s="164">
        <v>1884</v>
      </c>
    </row>
    <row r="88" spans="1:14" ht="13.5" thickBot="1" x14ac:dyDescent="0.25">
      <c r="A88" s="2" t="s">
        <v>247</v>
      </c>
      <c r="B88" s="1" t="s">
        <v>246</v>
      </c>
      <c r="C88" s="2" t="s">
        <v>24</v>
      </c>
      <c r="D88" s="164">
        <v>0</v>
      </c>
      <c r="E88" s="164">
        <v>0</v>
      </c>
      <c r="F88" s="164">
        <v>0</v>
      </c>
      <c r="G88" s="164">
        <v>0</v>
      </c>
      <c r="H88" s="164">
        <v>0</v>
      </c>
      <c r="I88" s="106">
        <v>4869</v>
      </c>
      <c r="J88" s="164">
        <v>884</v>
      </c>
      <c r="K88" s="164">
        <v>0</v>
      </c>
      <c r="L88" s="164">
        <v>0</v>
      </c>
      <c r="M88" s="164">
        <v>0</v>
      </c>
      <c r="N88" s="164">
        <v>884</v>
      </c>
    </row>
    <row r="89" spans="1:14" ht="13.5" thickBot="1" x14ac:dyDescent="0.25">
      <c r="A89" s="2" t="s">
        <v>249</v>
      </c>
      <c r="B89" s="1" t="s">
        <v>248</v>
      </c>
      <c r="C89" s="2" t="s">
        <v>24</v>
      </c>
      <c r="D89" s="164">
        <v>0</v>
      </c>
      <c r="E89" s="164">
        <v>0</v>
      </c>
      <c r="F89" s="164">
        <v>0</v>
      </c>
      <c r="G89" s="164">
        <v>0</v>
      </c>
      <c r="H89" s="164">
        <v>0</v>
      </c>
      <c r="I89" s="106">
        <v>4768</v>
      </c>
      <c r="J89" s="164">
        <v>0</v>
      </c>
      <c r="K89" s="164">
        <v>0</v>
      </c>
      <c r="L89" s="164">
        <v>0</v>
      </c>
      <c r="M89" s="164">
        <v>0</v>
      </c>
      <c r="N89" s="164">
        <v>0</v>
      </c>
    </row>
    <row r="90" spans="1:14" ht="13.5" thickBot="1" x14ac:dyDescent="0.25">
      <c r="A90" s="2" t="s">
        <v>263</v>
      </c>
      <c r="B90" s="1" t="s">
        <v>262</v>
      </c>
      <c r="C90" s="2" t="s">
        <v>24</v>
      </c>
      <c r="D90" s="164">
        <v>0</v>
      </c>
      <c r="E90" s="164">
        <v>0</v>
      </c>
      <c r="F90" s="164">
        <v>0</v>
      </c>
      <c r="G90" s="164">
        <v>0</v>
      </c>
      <c r="H90" s="164">
        <v>0</v>
      </c>
      <c r="I90" s="106">
        <v>5432</v>
      </c>
      <c r="J90" s="165">
        <v>0</v>
      </c>
      <c r="K90" s="165">
        <v>0</v>
      </c>
      <c r="L90" s="164">
        <v>32817</v>
      </c>
      <c r="M90" s="165">
        <v>0</v>
      </c>
      <c r="N90" s="164">
        <v>32817</v>
      </c>
    </row>
    <row r="91" spans="1:14" ht="13.5" thickBot="1" x14ac:dyDescent="0.25">
      <c r="A91" s="2" t="s">
        <v>293</v>
      </c>
      <c r="B91" s="1" t="s">
        <v>292</v>
      </c>
      <c r="C91" s="2" t="s">
        <v>24</v>
      </c>
      <c r="D91" s="164">
        <v>0</v>
      </c>
      <c r="E91" s="164">
        <v>0</v>
      </c>
      <c r="F91" s="164">
        <v>0</v>
      </c>
      <c r="G91" s="164">
        <v>0</v>
      </c>
      <c r="H91" s="164">
        <v>0</v>
      </c>
      <c r="I91" s="106">
        <v>6164</v>
      </c>
      <c r="J91" s="164">
        <v>0</v>
      </c>
      <c r="K91" s="164">
        <v>0</v>
      </c>
      <c r="L91" s="164">
        <v>0</v>
      </c>
      <c r="M91" s="164">
        <v>0</v>
      </c>
      <c r="N91" s="164">
        <v>0</v>
      </c>
    </row>
    <row r="92" spans="1:14" ht="13.5" thickBot="1" x14ac:dyDescent="0.25">
      <c r="A92" s="2" t="s">
        <v>303</v>
      </c>
      <c r="B92" s="1" t="s">
        <v>302</v>
      </c>
      <c r="C92" s="2" t="s">
        <v>24</v>
      </c>
      <c r="D92" s="164">
        <v>0</v>
      </c>
      <c r="E92" s="164">
        <v>0</v>
      </c>
      <c r="F92" s="164">
        <v>0</v>
      </c>
      <c r="G92" s="164">
        <v>0</v>
      </c>
      <c r="H92" s="164">
        <v>0</v>
      </c>
      <c r="I92" s="106">
        <v>5641</v>
      </c>
      <c r="J92" s="164">
        <v>0</v>
      </c>
      <c r="K92" s="164">
        <v>0</v>
      </c>
      <c r="L92" s="164">
        <v>0</v>
      </c>
      <c r="M92" s="164">
        <v>0</v>
      </c>
      <c r="N92" s="164">
        <v>0</v>
      </c>
    </row>
    <row r="93" spans="1:14" ht="13.5" thickBot="1" x14ac:dyDescent="0.25">
      <c r="A93" s="2" t="s">
        <v>347</v>
      </c>
      <c r="B93" s="1" t="s">
        <v>346</v>
      </c>
      <c r="C93" s="2" t="s">
        <v>24</v>
      </c>
      <c r="D93" s="164">
        <v>0</v>
      </c>
      <c r="E93" s="164">
        <v>0</v>
      </c>
      <c r="F93" s="164">
        <v>0</v>
      </c>
      <c r="G93" s="164">
        <v>0</v>
      </c>
      <c r="H93" s="164">
        <v>0</v>
      </c>
      <c r="I93" s="106">
        <v>6831</v>
      </c>
      <c r="J93" s="164">
        <v>0</v>
      </c>
      <c r="K93" s="164">
        <v>0</v>
      </c>
      <c r="L93" s="164">
        <v>0</v>
      </c>
      <c r="M93" s="164">
        <v>0</v>
      </c>
      <c r="N93" s="164">
        <v>0</v>
      </c>
    </row>
    <row r="94" spans="1:14" ht="13.5" thickBot="1" x14ac:dyDescent="0.25">
      <c r="A94" s="2" t="s">
        <v>349</v>
      </c>
      <c r="B94" s="1" t="s">
        <v>348</v>
      </c>
      <c r="C94" s="2" t="s">
        <v>24</v>
      </c>
      <c r="D94" s="164">
        <v>0</v>
      </c>
      <c r="E94" s="164">
        <v>0</v>
      </c>
      <c r="F94" s="164">
        <v>0</v>
      </c>
      <c r="G94" s="164">
        <v>0</v>
      </c>
      <c r="H94" s="164">
        <v>0</v>
      </c>
      <c r="I94" s="106">
        <v>6119</v>
      </c>
      <c r="J94" s="164">
        <v>0</v>
      </c>
      <c r="K94" s="164">
        <v>10753</v>
      </c>
      <c r="L94" s="164">
        <v>29523</v>
      </c>
      <c r="M94" s="165">
        <v>0</v>
      </c>
      <c r="N94" s="164">
        <v>40276</v>
      </c>
    </row>
    <row r="95" spans="1:14" ht="13.5" thickBot="1" x14ac:dyDescent="0.25">
      <c r="A95" s="2" t="s">
        <v>359</v>
      </c>
      <c r="B95" s="1" t="s">
        <v>358</v>
      </c>
      <c r="C95" s="2" t="s">
        <v>24</v>
      </c>
      <c r="D95" s="164">
        <v>0</v>
      </c>
      <c r="E95" s="164">
        <v>0</v>
      </c>
      <c r="F95" s="164">
        <v>0</v>
      </c>
      <c r="G95" s="164">
        <v>0</v>
      </c>
      <c r="H95" s="164">
        <v>0</v>
      </c>
      <c r="I95" s="106">
        <v>6582</v>
      </c>
      <c r="J95" s="164">
        <v>0</v>
      </c>
      <c r="K95" s="164">
        <v>4732</v>
      </c>
      <c r="L95" s="164">
        <v>3672</v>
      </c>
      <c r="M95" s="164">
        <v>0</v>
      </c>
      <c r="N95" s="164">
        <v>8404</v>
      </c>
    </row>
    <row r="96" spans="1:14" ht="13.5" thickBot="1" x14ac:dyDescent="0.25">
      <c r="A96" s="2" t="s">
        <v>369</v>
      </c>
      <c r="B96" s="1" t="s">
        <v>368</v>
      </c>
      <c r="C96" s="2" t="s">
        <v>24</v>
      </c>
      <c r="D96" s="164">
        <v>0</v>
      </c>
      <c r="E96" s="164">
        <v>0</v>
      </c>
      <c r="F96" s="164">
        <v>13832</v>
      </c>
      <c r="G96" s="164">
        <v>0</v>
      </c>
      <c r="H96" s="164">
        <v>13832</v>
      </c>
      <c r="I96" s="106">
        <v>5933</v>
      </c>
      <c r="J96" s="164">
        <v>1907</v>
      </c>
      <c r="K96" s="165">
        <v>0</v>
      </c>
      <c r="L96" s="165">
        <v>0</v>
      </c>
      <c r="M96" s="165">
        <v>0</v>
      </c>
      <c r="N96" s="164">
        <v>1907</v>
      </c>
    </row>
    <row r="97" spans="1:14" ht="13.5" thickBot="1" x14ac:dyDescent="0.25">
      <c r="A97" s="2" t="s">
        <v>377</v>
      </c>
      <c r="B97" s="1" t="s">
        <v>376</v>
      </c>
      <c r="C97" s="2" t="s">
        <v>24</v>
      </c>
      <c r="D97" s="164">
        <v>0</v>
      </c>
      <c r="E97" s="164">
        <v>0</v>
      </c>
      <c r="F97" s="164">
        <v>0</v>
      </c>
      <c r="G97" s="164">
        <v>0</v>
      </c>
      <c r="H97" s="164">
        <v>0</v>
      </c>
      <c r="I97" s="106">
        <v>4220</v>
      </c>
      <c r="J97" s="164">
        <v>2997</v>
      </c>
      <c r="K97" s="164">
        <v>0</v>
      </c>
      <c r="L97" s="164">
        <v>0</v>
      </c>
      <c r="M97" s="164">
        <v>0</v>
      </c>
      <c r="N97" s="164">
        <v>2997</v>
      </c>
    </row>
    <row r="98" spans="1:14" ht="13.5" thickBot="1" x14ac:dyDescent="0.25">
      <c r="A98" s="2" t="s">
        <v>381</v>
      </c>
      <c r="B98" s="1" t="s">
        <v>380</v>
      </c>
      <c r="C98" s="2" t="s">
        <v>24</v>
      </c>
      <c r="D98" s="164">
        <v>0</v>
      </c>
      <c r="E98" s="164">
        <v>0</v>
      </c>
      <c r="F98" s="164">
        <v>0</v>
      </c>
      <c r="G98" s="164">
        <v>0</v>
      </c>
      <c r="H98" s="164">
        <v>0</v>
      </c>
      <c r="I98" s="106">
        <v>4610</v>
      </c>
      <c r="J98" s="164">
        <v>0</v>
      </c>
      <c r="K98" s="164">
        <v>0</v>
      </c>
      <c r="L98" s="164">
        <v>0</v>
      </c>
      <c r="M98" s="164">
        <v>0</v>
      </c>
      <c r="N98" s="164">
        <v>0</v>
      </c>
    </row>
    <row r="99" spans="1:14" ht="13.5" thickBot="1" x14ac:dyDescent="0.25">
      <c r="A99" s="2" t="s">
        <v>387</v>
      </c>
      <c r="B99" s="1" t="s">
        <v>386</v>
      </c>
      <c r="C99" s="2" t="s">
        <v>24</v>
      </c>
      <c r="D99" s="164">
        <v>0</v>
      </c>
      <c r="E99" s="164">
        <v>0</v>
      </c>
      <c r="F99" s="164">
        <v>0</v>
      </c>
      <c r="G99" s="164">
        <v>0</v>
      </c>
      <c r="H99" s="164">
        <v>0</v>
      </c>
      <c r="I99" s="106">
        <v>5531</v>
      </c>
      <c r="J99" s="164">
        <v>0</v>
      </c>
      <c r="K99" s="164">
        <v>0</v>
      </c>
      <c r="L99" s="164">
        <v>0</v>
      </c>
      <c r="M99" s="164">
        <v>0</v>
      </c>
      <c r="N99" s="164">
        <v>0</v>
      </c>
    </row>
    <row r="100" spans="1:14" ht="13.5" thickBot="1" x14ac:dyDescent="0.25">
      <c r="A100" s="2" t="s">
        <v>391</v>
      </c>
      <c r="B100" s="1" t="s">
        <v>390</v>
      </c>
      <c r="C100" s="2" t="s">
        <v>24</v>
      </c>
      <c r="D100" s="164">
        <v>0</v>
      </c>
      <c r="E100" s="164">
        <v>0</v>
      </c>
      <c r="F100" s="164">
        <v>0</v>
      </c>
      <c r="G100" s="164">
        <v>0</v>
      </c>
      <c r="H100" s="164">
        <v>0</v>
      </c>
      <c r="I100" s="106">
        <v>5107</v>
      </c>
      <c r="J100" s="165">
        <v>0</v>
      </c>
      <c r="K100" s="164">
        <v>3856</v>
      </c>
      <c r="L100" s="165">
        <v>0</v>
      </c>
      <c r="M100" s="165">
        <v>0</v>
      </c>
      <c r="N100" s="164">
        <v>3856</v>
      </c>
    </row>
    <row r="101" spans="1:14" ht="13.5" thickBot="1" x14ac:dyDescent="0.25">
      <c r="A101" s="2" t="s">
        <v>397</v>
      </c>
      <c r="B101" s="1" t="s">
        <v>396</v>
      </c>
      <c r="C101" s="2" t="s">
        <v>24</v>
      </c>
      <c r="D101" s="164">
        <v>0</v>
      </c>
      <c r="E101" s="164">
        <v>0</v>
      </c>
      <c r="F101" s="164">
        <v>0</v>
      </c>
      <c r="G101" s="164">
        <v>375203</v>
      </c>
      <c r="H101" s="164">
        <v>375203</v>
      </c>
      <c r="I101" s="106">
        <v>5784</v>
      </c>
      <c r="J101" s="164">
        <v>0</v>
      </c>
      <c r="K101" s="164">
        <v>0</v>
      </c>
      <c r="L101" s="164">
        <v>375203</v>
      </c>
      <c r="M101" s="164">
        <v>0</v>
      </c>
      <c r="N101" s="164">
        <v>375203</v>
      </c>
    </row>
    <row r="102" spans="1:14" ht="13.5" thickBot="1" x14ac:dyDescent="0.25">
      <c r="A102" s="2" t="s">
        <v>403</v>
      </c>
      <c r="B102" s="1" t="s">
        <v>402</v>
      </c>
      <c r="C102" s="2" t="s">
        <v>24</v>
      </c>
      <c r="D102" s="164">
        <v>0</v>
      </c>
      <c r="E102" s="164">
        <v>0</v>
      </c>
      <c r="F102" s="164">
        <v>0</v>
      </c>
      <c r="G102" s="164">
        <v>0</v>
      </c>
      <c r="H102" s="164">
        <v>0</v>
      </c>
      <c r="I102" s="106">
        <v>5713</v>
      </c>
      <c r="J102" s="164">
        <v>0</v>
      </c>
      <c r="K102" s="164">
        <v>111</v>
      </c>
      <c r="L102" s="164">
        <v>1354</v>
      </c>
      <c r="M102" s="164">
        <v>0</v>
      </c>
      <c r="N102" s="164">
        <v>1465</v>
      </c>
    </row>
    <row r="103" spans="1:14" ht="13.5" thickBot="1" x14ac:dyDescent="0.25">
      <c r="A103" s="2" t="s">
        <v>407</v>
      </c>
      <c r="B103" s="1" t="s">
        <v>406</v>
      </c>
      <c r="C103" s="2" t="s">
        <v>24</v>
      </c>
      <c r="D103" s="164">
        <v>0</v>
      </c>
      <c r="E103" s="164">
        <v>0</v>
      </c>
      <c r="F103" s="164">
        <v>0</v>
      </c>
      <c r="G103" s="164">
        <v>0</v>
      </c>
      <c r="H103" s="164">
        <v>0</v>
      </c>
      <c r="I103" s="106">
        <v>6443</v>
      </c>
      <c r="J103" s="164">
        <v>0</v>
      </c>
      <c r="K103" s="164">
        <v>2035</v>
      </c>
      <c r="L103" s="164">
        <v>0</v>
      </c>
      <c r="M103" s="164">
        <v>0</v>
      </c>
      <c r="N103" s="164">
        <v>2035</v>
      </c>
    </row>
    <row r="104" spans="1:14" ht="13.5" thickBot="1" x14ac:dyDescent="0.25">
      <c r="A104" s="2" t="s">
        <v>411</v>
      </c>
      <c r="B104" s="1" t="s">
        <v>410</v>
      </c>
      <c r="C104" s="2" t="s">
        <v>24</v>
      </c>
      <c r="D104" s="164">
        <v>0</v>
      </c>
      <c r="E104" s="164">
        <v>0</v>
      </c>
      <c r="F104" s="164">
        <v>0</v>
      </c>
      <c r="G104" s="164">
        <v>0</v>
      </c>
      <c r="H104" s="164">
        <v>0</v>
      </c>
      <c r="I104" s="106">
        <v>4080</v>
      </c>
      <c r="J104" s="164">
        <v>0</v>
      </c>
      <c r="K104" s="164">
        <v>0</v>
      </c>
      <c r="L104" s="164">
        <v>0</v>
      </c>
      <c r="M104" s="164">
        <v>0</v>
      </c>
      <c r="N104" s="164">
        <v>0</v>
      </c>
    </row>
    <row r="105" spans="1:14" ht="13.5" thickBot="1" x14ac:dyDescent="0.25">
      <c r="A105" s="2" t="s">
        <v>413</v>
      </c>
      <c r="B105" s="1" t="s">
        <v>412</v>
      </c>
      <c r="C105" s="2" t="s">
        <v>24</v>
      </c>
      <c r="D105" s="164">
        <v>0</v>
      </c>
      <c r="E105" s="164">
        <v>0</v>
      </c>
      <c r="F105" s="164">
        <v>0</v>
      </c>
      <c r="G105" s="164">
        <v>0</v>
      </c>
      <c r="H105" s="164">
        <v>0</v>
      </c>
      <c r="I105" s="106">
        <v>5210</v>
      </c>
      <c r="J105" s="164">
        <v>0</v>
      </c>
      <c r="K105" s="164">
        <v>0</v>
      </c>
      <c r="L105" s="164">
        <v>0</v>
      </c>
      <c r="M105" s="164">
        <v>0</v>
      </c>
      <c r="N105" s="164">
        <v>0</v>
      </c>
    </row>
    <row r="106" spans="1:14" ht="13.5" thickBot="1" x14ac:dyDescent="0.25">
      <c r="A106" s="2" t="s">
        <v>415</v>
      </c>
      <c r="B106" s="1" t="s">
        <v>414</v>
      </c>
      <c r="C106" s="2" t="s">
        <v>24</v>
      </c>
      <c r="D106" s="164">
        <v>0</v>
      </c>
      <c r="E106" s="164">
        <v>0</v>
      </c>
      <c r="F106" s="164">
        <v>0</v>
      </c>
      <c r="G106" s="164">
        <v>0</v>
      </c>
      <c r="H106" s="164">
        <v>0</v>
      </c>
      <c r="I106" s="106">
        <v>6997</v>
      </c>
      <c r="J106" s="164">
        <v>0</v>
      </c>
      <c r="K106" s="164">
        <v>0</v>
      </c>
      <c r="L106" s="164">
        <v>0</v>
      </c>
      <c r="M106" s="164">
        <v>0</v>
      </c>
      <c r="N106" s="164">
        <v>0</v>
      </c>
    </row>
    <row r="107" spans="1:14" ht="13.5" thickBot="1" x14ac:dyDescent="0.25">
      <c r="A107" s="2" t="s">
        <v>429</v>
      </c>
      <c r="B107" s="1" t="s">
        <v>428</v>
      </c>
      <c r="C107" s="2" t="s">
        <v>24</v>
      </c>
      <c r="D107" s="164">
        <v>0</v>
      </c>
      <c r="E107" s="164">
        <v>0</v>
      </c>
      <c r="F107" s="164">
        <v>19261</v>
      </c>
      <c r="G107" s="164">
        <v>0</v>
      </c>
      <c r="H107" s="164">
        <v>19261</v>
      </c>
      <c r="I107" s="106">
        <v>4168</v>
      </c>
      <c r="J107" s="164">
        <v>0</v>
      </c>
      <c r="K107" s="164">
        <v>19606</v>
      </c>
      <c r="L107" s="164">
        <v>29210</v>
      </c>
      <c r="M107" s="164">
        <v>19261</v>
      </c>
      <c r="N107" s="164">
        <v>68077</v>
      </c>
    </row>
    <row r="108" spans="1:14" ht="13.5" thickBot="1" x14ac:dyDescent="0.25">
      <c r="A108" s="2" t="s">
        <v>441</v>
      </c>
      <c r="B108" s="1" t="s">
        <v>440</v>
      </c>
      <c r="C108" s="2" t="s">
        <v>24</v>
      </c>
      <c r="D108" s="164">
        <v>0</v>
      </c>
      <c r="E108" s="164">
        <v>0</v>
      </c>
      <c r="F108" s="164">
        <v>0</v>
      </c>
      <c r="G108" s="164">
        <v>0</v>
      </c>
      <c r="H108" s="164">
        <v>0</v>
      </c>
      <c r="I108" s="106">
        <v>4934</v>
      </c>
      <c r="J108" s="164">
        <v>2275</v>
      </c>
      <c r="K108" s="164">
        <v>78</v>
      </c>
      <c r="L108" s="164">
        <v>0</v>
      </c>
      <c r="M108" s="164">
        <v>3690</v>
      </c>
      <c r="N108" s="164">
        <v>6043</v>
      </c>
    </row>
    <row r="109" spans="1:14" ht="13.5" thickBot="1" x14ac:dyDescent="0.25">
      <c r="A109" s="2" t="s">
        <v>443</v>
      </c>
      <c r="B109" s="1" t="s">
        <v>442</v>
      </c>
      <c r="C109" s="2" t="s">
        <v>24</v>
      </c>
      <c r="D109" s="164">
        <v>0</v>
      </c>
      <c r="E109" s="164">
        <v>0</v>
      </c>
      <c r="F109" s="164">
        <v>0</v>
      </c>
      <c r="G109" s="164">
        <v>0</v>
      </c>
      <c r="H109" s="164">
        <v>0</v>
      </c>
      <c r="I109" s="106">
        <v>5857</v>
      </c>
      <c r="J109" s="164">
        <v>7057</v>
      </c>
      <c r="K109" s="164">
        <v>338</v>
      </c>
      <c r="L109" s="164">
        <v>0</v>
      </c>
      <c r="M109" s="164">
        <v>0</v>
      </c>
      <c r="N109" s="164">
        <v>7395</v>
      </c>
    </row>
    <row r="110" spans="1:14" ht="13.5" thickBot="1" x14ac:dyDescent="0.25">
      <c r="A110" s="2" t="s">
        <v>465</v>
      </c>
      <c r="B110" s="1" t="s">
        <v>464</v>
      </c>
      <c r="C110" s="2" t="s">
        <v>24</v>
      </c>
      <c r="D110" s="164">
        <v>0</v>
      </c>
      <c r="E110" s="164">
        <v>0</v>
      </c>
      <c r="F110" s="164">
        <v>0</v>
      </c>
      <c r="G110" s="164">
        <v>1</v>
      </c>
      <c r="H110" s="164">
        <v>1</v>
      </c>
      <c r="I110" s="106">
        <v>4141</v>
      </c>
      <c r="J110" s="164">
        <v>1700</v>
      </c>
      <c r="K110" s="165">
        <v>0</v>
      </c>
      <c r="L110" s="165">
        <v>0</v>
      </c>
      <c r="M110" s="165">
        <v>0</v>
      </c>
      <c r="N110" s="164">
        <v>1700</v>
      </c>
    </row>
    <row r="111" spans="1:14" ht="13.5" thickBot="1" x14ac:dyDescent="0.25">
      <c r="A111" s="2" t="s">
        <v>472</v>
      </c>
      <c r="B111" s="1" t="s">
        <v>471</v>
      </c>
      <c r="C111" s="2" t="s">
        <v>24</v>
      </c>
      <c r="D111" s="164">
        <v>0</v>
      </c>
      <c r="E111" s="164">
        <v>0</v>
      </c>
      <c r="F111" s="164">
        <v>0</v>
      </c>
      <c r="G111" s="164">
        <v>7000</v>
      </c>
      <c r="H111" s="164">
        <v>7000</v>
      </c>
      <c r="I111" s="106">
        <v>4197</v>
      </c>
      <c r="J111" s="164">
        <v>0</v>
      </c>
      <c r="K111" s="164">
        <v>0</v>
      </c>
      <c r="L111" s="164">
        <v>0</v>
      </c>
      <c r="M111" s="164">
        <v>0</v>
      </c>
      <c r="N111" s="164">
        <v>0</v>
      </c>
    </row>
    <row r="112" spans="1:14" ht="13.5" thickBot="1" x14ac:dyDescent="0.25">
      <c r="A112" s="2" t="s">
        <v>478</v>
      </c>
      <c r="B112" s="1" t="s">
        <v>477</v>
      </c>
      <c r="C112" s="2" t="s">
        <v>24</v>
      </c>
      <c r="D112" s="164">
        <v>0</v>
      </c>
      <c r="E112" s="164">
        <v>0</v>
      </c>
      <c r="F112" s="164">
        <v>0</v>
      </c>
      <c r="G112" s="164">
        <v>0</v>
      </c>
      <c r="H112" s="164">
        <v>0</v>
      </c>
      <c r="I112" s="106">
        <v>5068</v>
      </c>
      <c r="J112" s="164">
        <v>8543</v>
      </c>
      <c r="K112" s="164">
        <v>5715</v>
      </c>
      <c r="L112" s="164">
        <v>15389</v>
      </c>
      <c r="M112" s="164">
        <v>0</v>
      </c>
      <c r="N112" s="164">
        <v>29647</v>
      </c>
    </row>
    <row r="113" spans="1:14" ht="13.5" thickBot="1" x14ac:dyDescent="0.25">
      <c r="A113" s="2" t="s">
        <v>482</v>
      </c>
      <c r="B113" s="1" t="s">
        <v>481</v>
      </c>
      <c r="C113" s="2" t="s">
        <v>24</v>
      </c>
      <c r="D113" s="164">
        <v>0</v>
      </c>
      <c r="E113" s="164">
        <v>0</v>
      </c>
      <c r="F113" s="164">
        <v>0</v>
      </c>
      <c r="G113" s="164">
        <v>0</v>
      </c>
      <c r="H113" s="164">
        <v>0</v>
      </c>
      <c r="I113" s="106">
        <v>4968</v>
      </c>
      <c r="J113" s="164">
        <v>1915</v>
      </c>
      <c r="K113" s="165">
        <v>0</v>
      </c>
      <c r="L113" s="165">
        <v>0</v>
      </c>
      <c r="M113" s="165">
        <v>0</v>
      </c>
      <c r="N113" s="164">
        <v>1915</v>
      </c>
    </row>
    <row r="114" spans="1:14" ht="13.5" thickBot="1" x14ac:dyDescent="0.25">
      <c r="A114" s="2" t="s">
        <v>494</v>
      </c>
      <c r="B114" s="1" t="s">
        <v>493</v>
      </c>
      <c r="C114" s="2" t="s">
        <v>24</v>
      </c>
      <c r="D114" s="164">
        <v>0</v>
      </c>
      <c r="E114" s="164">
        <v>0</v>
      </c>
      <c r="F114" s="164">
        <v>0</v>
      </c>
      <c r="G114" s="164">
        <v>0</v>
      </c>
      <c r="H114" s="164">
        <v>0</v>
      </c>
      <c r="I114" s="106">
        <v>4101</v>
      </c>
      <c r="J114" s="164">
        <v>0</v>
      </c>
      <c r="K114" s="164">
        <v>887</v>
      </c>
      <c r="L114" s="164">
        <v>30547</v>
      </c>
      <c r="M114" s="164">
        <v>0</v>
      </c>
      <c r="N114" s="164">
        <v>31434</v>
      </c>
    </row>
    <row r="115" spans="1:14" ht="13.5" thickBot="1" x14ac:dyDescent="0.25">
      <c r="A115" s="2" t="s">
        <v>496</v>
      </c>
      <c r="B115" s="1" t="s">
        <v>495</v>
      </c>
      <c r="C115" s="2" t="s">
        <v>24</v>
      </c>
      <c r="D115" s="164">
        <v>0</v>
      </c>
      <c r="E115" s="164">
        <v>0</v>
      </c>
      <c r="F115" s="164">
        <v>0</v>
      </c>
      <c r="G115" s="164">
        <v>0</v>
      </c>
      <c r="H115" s="164">
        <v>0</v>
      </c>
      <c r="I115" s="106">
        <v>5241</v>
      </c>
      <c r="J115" s="164">
        <v>0</v>
      </c>
      <c r="K115" s="164">
        <v>0</v>
      </c>
      <c r="L115" s="164">
        <v>0</v>
      </c>
      <c r="M115" s="164">
        <v>0</v>
      </c>
      <c r="N115" s="164">
        <v>0</v>
      </c>
    </row>
    <row r="116" spans="1:14" ht="13.5" thickBot="1" x14ac:dyDescent="0.25">
      <c r="A116" s="2" t="s">
        <v>504</v>
      </c>
      <c r="B116" s="1" t="s">
        <v>503</v>
      </c>
      <c r="C116" s="2" t="s">
        <v>24</v>
      </c>
      <c r="D116" s="164">
        <v>0</v>
      </c>
      <c r="E116" s="164">
        <v>0</v>
      </c>
      <c r="F116" s="164">
        <v>0</v>
      </c>
      <c r="G116" s="164">
        <v>0</v>
      </c>
      <c r="H116" s="164">
        <v>0</v>
      </c>
      <c r="I116" s="106">
        <v>5160</v>
      </c>
      <c r="J116" s="164">
        <v>0</v>
      </c>
      <c r="K116" s="164">
        <v>0</v>
      </c>
      <c r="L116" s="164">
        <v>0</v>
      </c>
      <c r="M116" s="164">
        <v>0</v>
      </c>
      <c r="N116" s="164">
        <v>0</v>
      </c>
    </row>
    <row r="117" spans="1:14" ht="13.5" thickBot="1" x14ac:dyDescent="0.25">
      <c r="A117" s="2" t="s">
        <v>506</v>
      </c>
      <c r="B117" s="1" t="s">
        <v>505</v>
      </c>
      <c r="C117" s="2" t="s">
        <v>24</v>
      </c>
      <c r="D117" s="164">
        <v>0</v>
      </c>
      <c r="E117" s="164">
        <v>0</v>
      </c>
      <c r="F117" s="164">
        <v>0</v>
      </c>
      <c r="G117" s="164">
        <v>0</v>
      </c>
      <c r="H117" s="164">
        <v>0</v>
      </c>
      <c r="I117" s="106">
        <v>5841</v>
      </c>
      <c r="J117" s="164">
        <v>3956</v>
      </c>
      <c r="K117" s="165">
        <v>0</v>
      </c>
      <c r="L117" s="165">
        <v>0</v>
      </c>
      <c r="M117" s="165">
        <v>0</v>
      </c>
      <c r="N117" s="164">
        <v>3956</v>
      </c>
    </row>
    <row r="118" spans="1:14" ht="13.5" thickBot="1" x14ac:dyDescent="0.25">
      <c r="A118" s="2" t="s">
        <v>512</v>
      </c>
      <c r="B118" s="1" t="s">
        <v>511</v>
      </c>
      <c r="C118" s="2" t="s">
        <v>24</v>
      </c>
      <c r="D118" s="164">
        <v>0</v>
      </c>
      <c r="E118" s="164">
        <v>0</v>
      </c>
      <c r="F118" s="164">
        <v>5000</v>
      </c>
      <c r="G118" s="164">
        <v>0</v>
      </c>
      <c r="H118" s="164">
        <v>5000</v>
      </c>
      <c r="I118" s="106">
        <v>4730</v>
      </c>
      <c r="J118" s="164">
        <v>0</v>
      </c>
      <c r="K118" s="164">
        <v>0</v>
      </c>
      <c r="L118" s="164">
        <v>13543</v>
      </c>
      <c r="M118" s="164">
        <v>0</v>
      </c>
      <c r="N118" s="164">
        <v>13543</v>
      </c>
    </row>
    <row r="119" spans="1:14" ht="13.5" thickBot="1" x14ac:dyDescent="0.25">
      <c r="A119" s="2" t="s">
        <v>530</v>
      </c>
      <c r="B119" s="1" t="s">
        <v>529</v>
      </c>
      <c r="C119" s="2" t="s">
        <v>24</v>
      </c>
      <c r="D119" s="164">
        <v>0</v>
      </c>
      <c r="E119" s="164">
        <v>0</v>
      </c>
      <c r="F119" s="164">
        <v>0</v>
      </c>
      <c r="G119" s="164">
        <v>0</v>
      </c>
      <c r="H119" s="164">
        <v>0</v>
      </c>
      <c r="I119" s="106">
        <v>5072</v>
      </c>
      <c r="J119" s="164">
        <v>0</v>
      </c>
      <c r="K119" s="164">
        <v>1194</v>
      </c>
      <c r="L119" s="164">
        <v>206601</v>
      </c>
      <c r="M119" s="164">
        <v>0</v>
      </c>
      <c r="N119" s="164">
        <v>207795</v>
      </c>
    </row>
    <row r="120" spans="1:14" ht="13.5" thickBot="1" x14ac:dyDescent="0.25">
      <c r="A120" s="2" t="s">
        <v>532</v>
      </c>
      <c r="B120" s="1" t="s">
        <v>531</v>
      </c>
      <c r="C120" s="2" t="s">
        <v>24</v>
      </c>
      <c r="D120" s="164">
        <v>0</v>
      </c>
      <c r="E120" s="164">
        <v>0</v>
      </c>
      <c r="F120" s="164">
        <v>0</v>
      </c>
      <c r="G120" s="164">
        <v>0</v>
      </c>
      <c r="H120" s="164">
        <v>0</v>
      </c>
      <c r="I120" s="106">
        <v>6634</v>
      </c>
      <c r="J120" s="164">
        <v>0</v>
      </c>
      <c r="K120" s="164">
        <v>0</v>
      </c>
      <c r="L120" s="164">
        <v>0</v>
      </c>
      <c r="M120" s="164">
        <v>0</v>
      </c>
      <c r="N120" s="164">
        <v>0</v>
      </c>
    </row>
    <row r="121" spans="1:14" ht="13.5" thickBot="1" x14ac:dyDescent="0.25">
      <c r="A121" s="2" t="s">
        <v>544</v>
      </c>
      <c r="B121" s="1" t="s">
        <v>543</v>
      </c>
      <c r="C121" s="2" t="s">
        <v>24</v>
      </c>
      <c r="D121" s="164">
        <v>0</v>
      </c>
      <c r="E121" s="164">
        <v>0</v>
      </c>
      <c r="F121" s="164">
        <v>0</v>
      </c>
      <c r="G121" s="164">
        <v>0</v>
      </c>
      <c r="H121" s="164">
        <v>0</v>
      </c>
      <c r="I121" s="106">
        <v>5302</v>
      </c>
      <c r="J121" s="164">
        <v>0</v>
      </c>
      <c r="K121" s="164">
        <v>0</v>
      </c>
      <c r="L121" s="164">
        <v>0</v>
      </c>
      <c r="M121" s="164">
        <v>0</v>
      </c>
      <c r="N121" s="164">
        <v>0</v>
      </c>
    </row>
    <row r="122" spans="1:14" ht="13.5" thickBot="1" x14ac:dyDescent="0.25">
      <c r="A122" s="2" t="s">
        <v>546</v>
      </c>
      <c r="B122" s="1" t="s">
        <v>545</v>
      </c>
      <c r="C122" s="2" t="s">
        <v>24</v>
      </c>
      <c r="D122" s="164">
        <v>0</v>
      </c>
      <c r="E122" s="164">
        <v>0</v>
      </c>
      <c r="F122" s="164">
        <v>0</v>
      </c>
      <c r="G122" s="164">
        <v>0</v>
      </c>
      <c r="H122" s="164">
        <v>0</v>
      </c>
      <c r="I122" s="106">
        <v>6834</v>
      </c>
      <c r="J122" s="164">
        <v>0</v>
      </c>
      <c r="K122" s="164">
        <v>0</v>
      </c>
      <c r="L122" s="164">
        <v>0</v>
      </c>
      <c r="M122" s="164">
        <v>0</v>
      </c>
      <c r="N122" s="164">
        <v>0</v>
      </c>
    </row>
    <row r="123" spans="1:14" ht="13.5" thickBot="1" x14ac:dyDescent="0.25">
      <c r="A123" s="2" t="s">
        <v>550</v>
      </c>
      <c r="B123" s="1" t="s">
        <v>549</v>
      </c>
      <c r="C123" s="2" t="s">
        <v>24</v>
      </c>
      <c r="D123" s="164">
        <v>0</v>
      </c>
      <c r="E123" s="164">
        <v>0</v>
      </c>
      <c r="F123" s="164">
        <v>0</v>
      </c>
      <c r="G123" s="164">
        <v>0</v>
      </c>
      <c r="H123" s="164">
        <v>0</v>
      </c>
      <c r="I123" s="106">
        <v>4469</v>
      </c>
      <c r="J123" s="164">
        <v>0</v>
      </c>
      <c r="K123" s="164">
        <v>1858</v>
      </c>
      <c r="L123" s="164">
        <v>422</v>
      </c>
      <c r="M123" s="164">
        <v>20361</v>
      </c>
      <c r="N123" s="164">
        <v>22641</v>
      </c>
    </row>
    <row r="124" spans="1:14" ht="13.5" thickBot="1" x14ac:dyDescent="0.25">
      <c r="A124" s="2" t="s">
        <v>558</v>
      </c>
      <c r="B124" s="1" t="s">
        <v>557</v>
      </c>
      <c r="C124" s="2" t="s">
        <v>24</v>
      </c>
      <c r="D124" s="164">
        <v>0</v>
      </c>
      <c r="E124" s="164">
        <v>0</v>
      </c>
      <c r="F124" s="164">
        <v>0</v>
      </c>
      <c r="G124" s="164">
        <v>0</v>
      </c>
      <c r="H124" s="164">
        <v>0</v>
      </c>
      <c r="I124" s="106">
        <v>6174</v>
      </c>
      <c r="J124" s="164">
        <v>2490</v>
      </c>
      <c r="K124" s="164">
        <v>6987</v>
      </c>
      <c r="L124" s="164">
        <v>4108</v>
      </c>
      <c r="M124" s="164">
        <v>100000</v>
      </c>
      <c r="N124" s="164">
        <v>113585</v>
      </c>
    </row>
    <row r="125" spans="1:14" ht="13.5" thickBot="1" x14ac:dyDescent="0.25">
      <c r="A125" s="2" t="s">
        <v>578</v>
      </c>
      <c r="B125" s="1" t="s">
        <v>577</v>
      </c>
      <c r="C125" s="2" t="s">
        <v>24</v>
      </c>
      <c r="D125" s="164">
        <v>0</v>
      </c>
      <c r="E125" s="164">
        <v>0</v>
      </c>
      <c r="F125" s="164">
        <v>0</v>
      </c>
      <c r="G125" s="164">
        <v>0</v>
      </c>
      <c r="H125" s="164">
        <v>0</v>
      </c>
      <c r="I125" s="106">
        <v>5305</v>
      </c>
      <c r="J125" s="164">
        <v>1349</v>
      </c>
      <c r="K125" s="164">
        <v>1896</v>
      </c>
      <c r="L125" s="164">
        <v>1362</v>
      </c>
      <c r="M125" s="164">
        <v>0</v>
      </c>
      <c r="N125" s="164">
        <v>4607</v>
      </c>
    </row>
    <row r="126" spans="1:14" ht="13.5" thickBot="1" x14ac:dyDescent="0.25">
      <c r="A126" s="2" t="s">
        <v>584</v>
      </c>
      <c r="B126" s="1" t="s">
        <v>583</v>
      </c>
      <c r="C126" s="2" t="s">
        <v>24</v>
      </c>
      <c r="D126" s="164">
        <v>0</v>
      </c>
      <c r="E126" s="164">
        <v>4650</v>
      </c>
      <c r="F126" s="164">
        <v>0</v>
      </c>
      <c r="G126" s="164">
        <v>0</v>
      </c>
      <c r="H126" s="164">
        <v>4650</v>
      </c>
      <c r="I126" s="106">
        <v>6341</v>
      </c>
      <c r="J126" s="164">
        <v>4300</v>
      </c>
      <c r="K126" s="164">
        <v>10500</v>
      </c>
      <c r="L126" s="164">
        <v>46212</v>
      </c>
      <c r="M126" s="164">
        <v>0</v>
      </c>
      <c r="N126" s="164">
        <v>61012</v>
      </c>
    </row>
    <row r="127" spans="1:14" ht="13.5" thickBot="1" x14ac:dyDescent="0.25">
      <c r="A127" s="2" t="s">
        <v>590</v>
      </c>
      <c r="B127" s="1" t="s">
        <v>589</v>
      </c>
      <c r="C127" s="2" t="s">
        <v>24</v>
      </c>
      <c r="D127" s="164">
        <v>0</v>
      </c>
      <c r="E127" s="164">
        <v>0</v>
      </c>
      <c r="F127" s="164">
        <v>0</v>
      </c>
      <c r="G127" s="164">
        <v>980981</v>
      </c>
      <c r="H127" s="164">
        <v>980981</v>
      </c>
      <c r="I127" s="106">
        <v>5433</v>
      </c>
      <c r="J127" s="164">
        <v>0</v>
      </c>
      <c r="K127" s="164">
        <v>0</v>
      </c>
      <c r="L127" s="164">
        <v>86539</v>
      </c>
      <c r="M127" s="164">
        <v>0</v>
      </c>
      <c r="N127" s="164">
        <v>86539</v>
      </c>
    </row>
    <row r="128" spans="1:14" ht="13.5" thickBot="1" x14ac:dyDescent="0.25">
      <c r="A128" s="2" t="s">
        <v>602</v>
      </c>
      <c r="B128" s="1" t="s">
        <v>601</v>
      </c>
      <c r="C128" s="2" t="s">
        <v>24</v>
      </c>
      <c r="D128" s="164">
        <v>0</v>
      </c>
      <c r="E128" s="164">
        <v>0</v>
      </c>
      <c r="F128" s="164">
        <v>0</v>
      </c>
      <c r="G128" s="164">
        <v>0</v>
      </c>
      <c r="H128" s="164">
        <v>0</v>
      </c>
      <c r="I128" s="106">
        <v>6654</v>
      </c>
      <c r="J128" s="164">
        <v>0</v>
      </c>
      <c r="K128" s="164">
        <v>9612</v>
      </c>
      <c r="L128" s="164">
        <v>0</v>
      </c>
      <c r="M128" s="164">
        <v>0</v>
      </c>
      <c r="N128" s="164">
        <v>9612</v>
      </c>
    </row>
    <row r="129" spans="1:14" ht="13.5" thickBot="1" x14ac:dyDescent="0.25">
      <c r="A129" s="2" t="s">
        <v>606</v>
      </c>
      <c r="B129" s="1" t="s">
        <v>605</v>
      </c>
      <c r="C129" s="2" t="s">
        <v>24</v>
      </c>
      <c r="D129" s="164">
        <v>0</v>
      </c>
      <c r="E129" s="164">
        <v>0</v>
      </c>
      <c r="F129" s="164">
        <v>0</v>
      </c>
      <c r="G129" s="164">
        <v>0</v>
      </c>
      <c r="H129" s="164">
        <v>0</v>
      </c>
      <c r="I129" s="106">
        <v>4105</v>
      </c>
      <c r="J129" s="164">
        <v>0</v>
      </c>
      <c r="K129" s="164">
        <v>0</v>
      </c>
      <c r="L129" s="164">
        <v>0</v>
      </c>
      <c r="M129" s="164">
        <v>0</v>
      </c>
      <c r="N129" s="164">
        <v>0</v>
      </c>
    </row>
    <row r="130" spans="1:14" ht="13.5" thickBot="1" x14ac:dyDescent="0.25">
      <c r="A130" s="2" t="s">
        <v>620</v>
      </c>
      <c r="B130" s="1" t="s">
        <v>619</v>
      </c>
      <c r="C130" s="2" t="s">
        <v>24</v>
      </c>
      <c r="D130" s="164">
        <v>0</v>
      </c>
      <c r="E130" s="164">
        <v>0</v>
      </c>
      <c r="F130" s="164">
        <v>0</v>
      </c>
      <c r="G130" s="164">
        <v>0</v>
      </c>
      <c r="H130" s="164">
        <v>0</v>
      </c>
      <c r="I130" s="106">
        <v>5413</v>
      </c>
      <c r="J130" s="164">
        <v>0</v>
      </c>
      <c r="K130" s="164">
        <v>108095</v>
      </c>
      <c r="L130" s="164">
        <v>0</v>
      </c>
      <c r="M130" s="164">
        <v>0</v>
      </c>
      <c r="N130" s="164">
        <v>108095</v>
      </c>
    </row>
    <row r="131" spans="1:14" ht="13.5" thickBot="1" x14ac:dyDescent="0.25">
      <c r="A131" s="2" t="s">
        <v>626</v>
      </c>
      <c r="B131" s="1" t="s">
        <v>625</v>
      </c>
      <c r="C131" s="2" t="s">
        <v>24</v>
      </c>
      <c r="D131" s="164">
        <v>0</v>
      </c>
      <c r="E131" s="164">
        <v>0</v>
      </c>
      <c r="F131" s="164">
        <v>0</v>
      </c>
      <c r="G131" s="164">
        <v>0</v>
      </c>
      <c r="H131" s="164">
        <v>0</v>
      </c>
      <c r="I131" s="106">
        <v>6847</v>
      </c>
      <c r="J131" s="164">
        <v>0</v>
      </c>
      <c r="K131" s="164">
        <v>0</v>
      </c>
      <c r="L131" s="164">
        <v>0</v>
      </c>
      <c r="M131" s="164">
        <v>0</v>
      </c>
      <c r="N131" s="164">
        <v>0</v>
      </c>
    </row>
    <row r="132" spans="1:14" ht="13.5" thickBot="1" x14ac:dyDescent="0.25">
      <c r="A132" s="2" t="s">
        <v>628</v>
      </c>
      <c r="B132" s="1" t="s">
        <v>627</v>
      </c>
      <c r="C132" s="2" t="s">
        <v>24</v>
      </c>
      <c r="D132" s="164">
        <v>0</v>
      </c>
      <c r="E132" s="164">
        <v>0</v>
      </c>
      <c r="F132" s="164">
        <v>0</v>
      </c>
      <c r="G132" s="164">
        <v>1151651</v>
      </c>
      <c r="H132" s="164">
        <v>1151651</v>
      </c>
      <c r="I132" s="106">
        <v>6240</v>
      </c>
      <c r="J132" s="164">
        <v>0</v>
      </c>
      <c r="K132" s="164">
        <v>0</v>
      </c>
      <c r="L132" s="164">
        <v>0</v>
      </c>
      <c r="M132" s="164">
        <v>0</v>
      </c>
      <c r="N132" s="164">
        <v>0</v>
      </c>
    </row>
    <row r="133" spans="1:14" ht="13.5" thickBot="1" x14ac:dyDescent="0.25">
      <c r="A133" s="2" t="s">
        <v>634</v>
      </c>
      <c r="B133" s="1" t="s">
        <v>633</v>
      </c>
      <c r="C133" s="2" t="s">
        <v>24</v>
      </c>
      <c r="D133" s="164">
        <v>0</v>
      </c>
      <c r="E133" s="164">
        <v>0</v>
      </c>
      <c r="F133" s="164">
        <v>0</v>
      </c>
      <c r="G133" s="164">
        <v>0</v>
      </c>
      <c r="H133" s="164">
        <v>0</v>
      </c>
      <c r="I133" s="106">
        <v>5376</v>
      </c>
      <c r="J133" s="164">
        <v>0</v>
      </c>
      <c r="K133" s="164">
        <v>0</v>
      </c>
      <c r="L133" s="164">
        <v>0</v>
      </c>
      <c r="M133" s="164">
        <v>0</v>
      </c>
      <c r="N133" s="164">
        <v>0</v>
      </c>
    </row>
    <row r="134" spans="1:14" ht="13.5" thickBot="1" x14ac:dyDescent="0.25">
      <c r="A134" s="2" t="s">
        <v>640</v>
      </c>
      <c r="B134" s="1" t="s">
        <v>639</v>
      </c>
      <c r="C134" s="2" t="s">
        <v>24</v>
      </c>
      <c r="D134" s="164">
        <v>0</v>
      </c>
      <c r="E134" s="164">
        <v>3613</v>
      </c>
      <c r="F134" s="164">
        <v>23543</v>
      </c>
      <c r="G134" s="164">
        <v>4372</v>
      </c>
      <c r="H134" s="164">
        <v>31528</v>
      </c>
      <c r="I134" s="106">
        <v>5523</v>
      </c>
      <c r="J134" s="164">
        <v>960</v>
      </c>
      <c r="K134" s="164">
        <v>3160</v>
      </c>
      <c r="L134" s="164">
        <v>4500</v>
      </c>
      <c r="M134" s="164">
        <v>5379</v>
      </c>
      <c r="N134" s="164">
        <v>13999</v>
      </c>
    </row>
    <row r="135" spans="1:14" ht="13.5" thickBot="1" x14ac:dyDescent="0.25">
      <c r="A135" s="2" t="s">
        <v>654</v>
      </c>
      <c r="B135" s="1" t="s">
        <v>653</v>
      </c>
      <c r="C135" s="2" t="s">
        <v>24</v>
      </c>
      <c r="D135" s="164">
        <v>0</v>
      </c>
      <c r="E135" s="164">
        <v>0</v>
      </c>
      <c r="F135" s="164">
        <v>0</v>
      </c>
      <c r="G135" s="164">
        <v>0</v>
      </c>
      <c r="H135" s="164">
        <v>0</v>
      </c>
      <c r="I135" s="106">
        <v>4659</v>
      </c>
      <c r="J135" s="164">
        <v>0</v>
      </c>
      <c r="K135" s="164">
        <v>0</v>
      </c>
      <c r="L135" s="164">
        <v>0</v>
      </c>
      <c r="M135" s="164">
        <v>0</v>
      </c>
      <c r="N135" s="164">
        <v>0</v>
      </c>
    </row>
    <row r="136" spans="1:14" ht="13.5" thickBot="1" x14ac:dyDescent="0.25">
      <c r="A136" s="2" t="s">
        <v>666</v>
      </c>
      <c r="B136" s="1" t="s">
        <v>665</v>
      </c>
      <c r="C136" s="2" t="s">
        <v>24</v>
      </c>
      <c r="D136" s="164">
        <v>0</v>
      </c>
      <c r="E136" s="164">
        <v>0</v>
      </c>
      <c r="F136" s="164">
        <v>0</v>
      </c>
      <c r="G136" s="164">
        <v>0</v>
      </c>
      <c r="H136" s="164">
        <v>0</v>
      </c>
      <c r="I136" s="106">
        <v>6295</v>
      </c>
      <c r="J136" s="164">
        <v>9500</v>
      </c>
      <c r="K136" s="164">
        <v>5947</v>
      </c>
      <c r="L136" s="164">
        <v>0</v>
      </c>
      <c r="M136" s="164">
        <v>0</v>
      </c>
      <c r="N136" s="164">
        <v>15447</v>
      </c>
    </row>
    <row r="137" spans="1:14" ht="13.5" thickBot="1" x14ac:dyDescent="0.25">
      <c r="A137" s="2" t="s">
        <v>682</v>
      </c>
      <c r="B137" s="1" t="s">
        <v>681</v>
      </c>
      <c r="C137" s="2" t="s">
        <v>24</v>
      </c>
      <c r="D137" s="164">
        <v>0</v>
      </c>
      <c r="E137" s="164">
        <v>0</v>
      </c>
      <c r="F137" s="164">
        <v>0</v>
      </c>
      <c r="G137" s="164">
        <v>0</v>
      </c>
      <c r="H137" s="164">
        <v>0</v>
      </c>
      <c r="I137" s="106">
        <v>4434</v>
      </c>
      <c r="J137" s="164">
        <v>4750</v>
      </c>
      <c r="K137" s="164">
        <v>0</v>
      </c>
      <c r="L137" s="164">
        <v>2300</v>
      </c>
      <c r="M137" s="164">
        <v>4000</v>
      </c>
      <c r="N137" s="164">
        <v>11050</v>
      </c>
    </row>
    <row r="138" spans="1:14" ht="13.5" thickBot="1" x14ac:dyDescent="0.25">
      <c r="A138" s="2" t="s">
        <v>692</v>
      </c>
      <c r="B138" s="1" t="s">
        <v>691</v>
      </c>
      <c r="C138" s="2" t="s">
        <v>24</v>
      </c>
      <c r="D138" s="164">
        <v>0</v>
      </c>
      <c r="E138" s="164">
        <v>0</v>
      </c>
      <c r="F138" s="164">
        <v>0</v>
      </c>
      <c r="G138" s="164">
        <v>0</v>
      </c>
      <c r="H138" s="164">
        <v>0</v>
      </c>
      <c r="I138" s="106">
        <v>4375</v>
      </c>
      <c r="J138" s="164">
        <v>0</v>
      </c>
      <c r="K138" s="164">
        <v>4568</v>
      </c>
      <c r="L138" s="164">
        <v>0</v>
      </c>
      <c r="M138" s="164">
        <v>0</v>
      </c>
      <c r="N138" s="164">
        <v>4568</v>
      </c>
    </row>
    <row r="139" spans="1:14" ht="13.5" thickBot="1" x14ac:dyDescent="0.25">
      <c r="A139" s="2" t="s">
        <v>696</v>
      </c>
      <c r="B139" s="1" t="s">
        <v>695</v>
      </c>
      <c r="C139" s="2" t="s">
        <v>24</v>
      </c>
      <c r="D139" s="164">
        <v>0</v>
      </c>
      <c r="E139" s="164">
        <v>0</v>
      </c>
      <c r="F139" s="164">
        <v>0</v>
      </c>
      <c r="G139" s="164">
        <v>275</v>
      </c>
      <c r="H139" s="164">
        <v>275</v>
      </c>
      <c r="I139" s="106">
        <v>5101</v>
      </c>
      <c r="J139" s="164">
        <v>0</v>
      </c>
      <c r="K139" s="164">
        <v>0</v>
      </c>
      <c r="L139" s="164">
        <v>0</v>
      </c>
      <c r="M139" s="164">
        <v>0</v>
      </c>
      <c r="N139" s="164">
        <v>0</v>
      </c>
    </row>
    <row r="140" spans="1:14" ht="13.5" thickBot="1" x14ac:dyDescent="0.25">
      <c r="A140" s="2" t="s">
        <v>702</v>
      </c>
      <c r="B140" s="1" t="s">
        <v>701</v>
      </c>
      <c r="C140" s="2" t="s">
        <v>24</v>
      </c>
      <c r="D140" s="164">
        <v>0</v>
      </c>
      <c r="E140" s="164">
        <v>0</v>
      </c>
      <c r="F140" s="164">
        <v>0</v>
      </c>
      <c r="G140" s="164">
        <v>0</v>
      </c>
      <c r="H140" s="164">
        <v>0</v>
      </c>
      <c r="I140" s="106">
        <v>4038</v>
      </c>
      <c r="J140" s="164">
        <v>8754</v>
      </c>
      <c r="K140" s="164">
        <v>0</v>
      </c>
      <c r="L140" s="164">
        <v>0</v>
      </c>
      <c r="M140" s="164">
        <v>0</v>
      </c>
      <c r="N140" s="164">
        <v>8754</v>
      </c>
    </row>
    <row r="141" spans="1:14" ht="13.5" thickBot="1" x14ac:dyDescent="0.25">
      <c r="A141" s="2" t="s">
        <v>710</v>
      </c>
      <c r="B141" s="1" t="s">
        <v>709</v>
      </c>
      <c r="C141" s="2" t="s">
        <v>24</v>
      </c>
      <c r="D141" s="164">
        <v>0</v>
      </c>
      <c r="E141" s="164">
        <v>0</v>
      </c>
      <c r="F141" s="164">
        <v>0</v>
      </c>
      <c r="G141" s="164">
        <v>0</v>
      </c>
      <c r="H141" s="164">
        <v>0</v>
      </c>
      <c r="I141" s="106">
        <v>5635</v>
      </c>
      <c r="J141" s="164">
        <v>2875</v>
      </c>
      <c r="K141" s="164">
        <v>760</v>
      </c>
      <c r="L141" s="164">
        <v>0</v>
      </c>
      <c r="M141" s="164">
        <v>0</v>
      </c>
      <c r="N141" s="164">
        <v>3635</v>
      </c>
    </row>
    <row r="142" spans="1:14" ht="13.5" thickBot="1" x14ac:dyDescent="0.25">
      <c r="A142" s="2" t="s">
        <v>732</v>
      </c>
      <c r="B142" s="1" t="s">
        <v>731</v>
      </c>
      <c r="C142" s="2" t="s">
        <v>24</v>
      </c>
      <c r="D142" s="164">
        <v>0</v>
      </c>
      <c r="E142" s="164">
        <v>0</v>
      </c>
      <c r="F142" s="164">
        <v>0</v>
      </c>
      <c r="G142" s="164">
        <v>0</v>
      </c>
      <c r="H142" s="164">
        <v>0</v>
      </c>
      <c r="I142" s="106">
        <v>4046</v>
      </c>
      <c r="J142" s="164">
        <v>0</v>
      </c>
      <c r="K142" s="164">
        <v>2869</v>
      </c>
      <c r="L142" s="164">
        <v>0</v>
      </c>
      <c r="M142" s="164">
        <v>0</v>
      </c>
      <c r="N142" s="164">
        <v>2869</v>
      </c>
    </row>
    <row r="143" spans="1:14" ht="13.5" thickBot="1" x14ac:dyDescent="0.25">
      <c r="A143" s="2" t="s">
        <v>744</v>
      </c>
      <c r="B143" s="1" t="s">
        <v>743</v>
      </c>
      <c r="C143" s="2" t="s">
        <v>24</v>
      </c>
      <c r="D143" s="164">
        <v>0</v>
      </c>
      <c r="E143" s="164">
        <v>0</v>
      </c>
      <c r="F143" s="164">
        <v>0</v>
      </c>
      <c r="G143" s="164">
        <v>15722</v>
      </c>
      <c r="H143" s="164">
        <v>15722</v>
      </c>
      <c r="I143" s="106">
        <v>5479</v>
      </c>
      <c r="J143" s="164">
        <v>30000</v>
      </c>
      <c r="K143" s="164">
        <v>0</v>
      </c>
      <c r="L143" s="164">
        <v>0</v>
      </c>
      <c r="M143" s="164">
        <v>12310</v>
      </c>
      <c r="N143" s="164">
        <v>42310</v>
      </c>
    </row>
    <row r="144" spans="1:14" ht="13.5" thickBot="1" x14ac:dyDescent="0.25">
      <c r="A144" s="2" t="s">
        <v>753</v>
      </c>
      <c r="B144" s="1" t="s">
        <v>752</v>
      </c>
      <c r="C144" s="2" t="s">
        <v>24</v>
      </c>
      <c r="D144" s="164">
        <v>0</v>
      </c>
      <c r="E144" s="164">
        <v>0</v>
      </c>
      <c r="F144" s="164">
        <v>0</v>
      </c>
      <c r="G144" s="164">
        <v>2391</v>
      </c>
      <c r="H144" s="164">
        <v>2391</v>
      </c>
      <c r="I144" s="106">
        <v>6680</v>
      </c>
      <c r="J144" s="164">
        <v>0</v>
      </c>
      <c r="K144" s="164">
        <v>808</v>
      </c>
      <c r="L144" s="164">
        <v>1801</v>
      </c>
      <c r="M144" s="164">
        <v>0</v>
      </c>
      <c r="N144" s="164">
        <v>2609</v>
      </c>
    </row>
    <row r="145" spans="1:14" ht="13.5" thickBot="1" x14ac:dyDescent="0.25">
      <c r="A145" s="2" t="s">
        <v>761</v>
      </c>
      <c r="B145" s="1" t="s">
        <v>760</v>
      </c>
      <c r="C145" s="2" t="s">
        <v>24</v>
      </c>
      <c r="D145" s="164">
        <v>0</v>
      </c>
      <c r="E145" s="164">
        <v>3946</v>
      </c>
      <c r="F145" s="164">
        <v>0</v>
      </c>
      <c r="G145" s="164">
        <v>0</v>
      </c>
      <c r="H145" s="164">
        <v>3946</v>
      </c>
      <c r="I145" s="106">
        <v>6033</v>
      </c>
      <c r="J145" s="164">
        <v>0</v>
      </c>
      <c r="K145" s="164">
        <v>0</v>
      </c>
      <c r="L145" s="164">
        <v>0</v>
      </c>
      <c r="M145" s="164">
        <v>0</v>
      </c>
      <c r="N145" s="164">
        <v>0</v>
      </c>
    </row>
    <row r="146" spans="1:14" ht="13.5" thickBot="1" x14ac:dyDescent="0.25">
      <c r="A146" s="2" t="s">
        <v>769</v>
      </c>
      <c r="B146" s="1" t="s">
        <v>768</v>
      </c>
      <c r="C146" s="2" t="s">
        <v>24</v>
      </c>
      <c r="D146" s="164">
        <v>0</v>
      </c>
      <c r="E146" s="164">
        <v>0</v>
      </c>
      <c r="F146" s="164">
        <v>0</v>
      </c>
      <c r="G146" s="164">
        <v>0</v>
      </c>
      <c r="H146" s="164">
        <v>0</v>
      </c>
      <c r="I146" s="106">
        <v>4576</v>
      </c>
      <c r="J146" s="164">
        <v>0</v>
      </c>
      <c r="K146" s="164">
        <v>3190</v>
      </c>
      <c r="L146" s="164">
        <v>0</v>
      </c>
      <c r="M146" s="164">
        <v>0</v>
      </c>
      <c r="N146" s="164">
        <v>3190</v>
      </c>
    </row>
    <row r="147" spans="1:14" ht="13.5" thickBot="1" x14ac:dyDescent="0.25">
      <c r="A147" s="2" t="s">
        <v>783</v>
      </c>
      <c r="B147" s="1" t="s">
        <v>782</v>
      </c>
      <c r="C147" s="2" t="s">
        <v>24</v>
      </c>
      <c r="D147" s="164">
        <v>0</v>
      </c>
      <c r="E147" s="164">
        <v>0</v>
      </c>
      <c r="F147" s="164">
        <v>0</v>
      </c>
      <c r="G147" s="164">
        <v>0</v>
      </c>
      <c r="H147" s="164">
        <v>0</v>
      </c>
      <c r="I147" s="106">
        <v>4757</v>
      </c>
      <c r="J147" s="165">
        <v>0</v>
      </c>
      <c r="K147" s="164">
        <v>4243</v>
      </c>
      <c r="L147" s="164">
        <v>8369</v>
      </c>
      <c r="M147" s="165">
        <v>0</v>
      </c>
      <c r="N147" s="164">
        <v>12612</v>
      </c>
    </row>
    <row r="148" spans="1:14" ht="13.5" thickBot="1" x14ac:dyDescent="0.25">
      <c r="A148" s="2" t="s">
        <v>789</v>
      </c>
      <c r="B148" s="1" t="s">
        <v>788</v>
      </c>
      <c r="C148" s="2" t="s">
        <v>24</v>
      </c>
      <c r="D148" s="164">
        <v>0</v>
      </c>
      <c r="E148" s="164">
        <v>0</v>
      </c>
      <c r="F148" s="164">
        <v>0</v>
      </c>
      <c r="G148" s="164">
        <v>0</v>
      </c>
      <c r="H148" s="164">
        <v>0</v>
      </c>
      <c r="I148" s="106">
        <v>4614</v>
      </c>
      <c r="J148" s="165">
        <v>0</v>
      </c>
      <c r="K148" s="165">
        <v>0</v>
      </c>
      <c r="L148" s="165">
        <v>0</v>
      </c>
      <c r="M148" s="164">
        <v>0</v>
      </c>
      <c r="N148" s="164">
        <v>0</v>
      </c>
    </row>
    <row r="149" spans="1:14" ht="13.5" thickBot="1" x14ac:dyDescent="0.25">
      <c r="A149" s="2" t="s">
        <v>801</v>
      </c>
      <c r="B149" s="1" t="s">
        <v>800</v>
      </c>
      <c r="C149" s="2" t="s">
        <v>24</v>
      </c>
      <c r="D149" s="164">
        <v>0</v>
      </c>
      <c r="E149" s="164">
        <v>0</v>
      </c>
      <c r="F149" s="164">
        <v>0</v>
      </c>
      <c r="G149" s="164">
        <v>0</v>
      </c>
      <c r="H149" s="164">
        <v>0</v>
      </c>
      <c r="I149" s="106">
        <v>6999</v>
      </c>
      <c r="J149" s="164">
        <v>0</v>
      </c>
      <c r="K149" s="164">
        <v>2154</v>
      </c>
      <c r="L149" s="164">
        <v>0</v>
      </c>
      <c r="M149" s="164">
        <v>0</v>
      </c>
      <c r="N149" s="164">
        <v>2154</v>
      </c>
    </row>
    <row r="150" spans="1:14" ht="13.5" thickBot="1" x14ac:dyDescent="0.25">
      <c r="A150" s="2" t="s">
        <v>811</v>
      </c>
      <c r="B150" s="1" t="s">
        <v>810</v>
      </c>
      <c r="C150" s="2" t="s">
        <v>24</v>
      </c>
      <c r="D150" s="164">
        <v>0</v>
      </c>
      <c r="E150" s="164">
        <v>0</v>
      </c>
      <c r="F150" s="164">
        <v>0</v>
      </c>
      <c r="G150" s="164">
        <v>8215</v>
      </c>
      <c r="H150" s="164">
        <v>8215</v>
      </c>
      <c r="I150" s="106">
        <v>4837</v>
      </c>
      <c r="J150" s="164">
        <v>346</v>
      </c>
      <c r="K150" s="164">
        <v>3574</v>
      </c>
      <c r="L150" s="165">
        <v>0</v>
      </c>
      <c r="M150" s="164">
        <v>7810</v>
      </c>
      <c r="N150" s="164">
        <v>11730</v>
      </c>
    </row>
    <row r="151" spans="1:14" ht="13.5" thickBot="1" x14ac:dyDescent="0.25">
      <c r="A151" s="2" t="s">
        <v>829</v>
      </c>
      <c r="B151" s="1" t="s">
        <v>828</v>
      </c>
      <c r="C151" s="2" t="s">
        <v>24</v>
      </c>
      <c r="D151" s="164">
        <v>0</v>
      </c>
      <c r="E151" s="164">
        <v>0</v>
      </c>
      <c r="F151" s="164">
        <v>0</v>
      </c>
      <c r="G151" s="164">
        <v>0</v>
      </c>
      <c r="H151" s="164">
        <v>0</v>
      </c>
      <c r="I151" s="106">
        <v>5240</v>
      </c>
      <c r="J151" s="164">
        <v>0</v>
      </c>
      <c r="K151" s="164">
        <v>3030</v>
      </c>
      <c r="L151" s="164">
        <v>75103</v>
      </c>
      <c r="M151" s="164">
        <v>0</v>
      </c>
      <c r="N151" s="164">
        <v>78133</v>
      </c>
    </row>
    <row r="152" spans="1:14" ht="13.5" thickBot="1" x14ac:dyDescent="0.25">
      <c r="A152" s="2" t="s">
        <v>31</v>
      </c>
      <c r="B152" s="1" t="s">
        <v>30</v>
      </c>
      <c r="C152" s="2" t="s">
        <v>32</v>
      </c>
      <c r="D152" s="164">
        <v>0</v>
      </c>
      <c r="E152" s="164">
        <v>0</v>
      </c>
      <c r="F152" s="164">
        <v>0</v>
      </c>
      <c r="G152" s="164">
        <v>0</v>
      </c>
      <c r="H152" s="164">
        <v>0</v>
      </c>
      <c r="I152" s="106">
        <v>7410</v>
      </c>
      <c r="J152" s="164">
        <v>12277</v>
      </c>
      <c r="K152" s="164">
        <v>0</v>
      </c>
      <c r="L152" s="164">
        <v>13209</v>
      </c>
      <c r="M152" s="164">
        <v>0</v>
      </c>
      <c r="N152" s="164">
        <v>25486</v>
      </c>
    </row>
    <row r="153" spans="1:14" ht="13.5" thickBot="1" x14ac:dyDescent="0.25">
      <c r="A153" s="2" t="s">
        <v>34</v>
      </c>
      <c r="B153" s="1" t="s">
        <v>33</v>
      </c>
      <c r="C153" s="2" t="s">
        <v>32</v>
      </c>
      <c r="D153" s="164">
        <v>0</v>
      </c>
      <c r="E153" s="164">
        <v>0</v>
      </c>
      <c r="F153" s="164">
        <v>0</v>
      </c>
      <c r="G153" s="164">
        <v>0</v>
      </c>
      <c r="H153" s="164">
        <v>0</v>
      </c>
      <c r="I153" s="106">
        <v>11600</v>
      </c>
      <c r="J153" s="164">
        <v>0</v>
      </c>
      <c r="K153" s="164">
        <v>900</v>
      </c>
      <c r="L153" s="164">
        <v>0</v>
      </c>
      <c r="M153" s="164">
        <v>1529</v>
      </c>
      <c r="N153" s="164">
        <v>2429</v>
      </c>
    </row>
    <row r="154" spans="1:14" ht="13.5" thickBot="1" x14ac:dyDescent="0.25">
      <c r="A154" s="2" t="s">
        <v>36</v>
      </c>
      <c r="B154" s="1" t="s">
        <v>35</v>
      </c>
      <c r="C154" s="2" t="s">
        <v>32</v>
      </c>
      <c r="D154" s="164">
        <v>0</v>
      </c>
      <c r="E154" s="164">
        <v>0</v>
      </c>
      <c r="F154" s="164">
        <v>0</v>
      </c>
      <c r="G154" s="164">
        <v>0</v>
      </c>
      <c r="H154" s="164">
        <v>0</v>
      </c>
      <c r="I154" s="106">
        <v>11569</v>
      </c>
      <c r="J154" s="164">
        <v>0</v>
      </c>
      <c r="K154" s="164">
        <v>0</v>
      </c>
      <c r="L154" s="164">
        <v>0</v>
      </c>
      <c r="M154" s="164">
        <v>0</v>
      </c>
      <c r="N154" s="164">
        <v>0</v>
      </c>
    </row>
    <row r="155" spans="1:14" ht="13.5" thickBot="1" x14ac:dyDescent="0.25">
      <c r="A155" s="2" t="s">
        <v>38</v>
      </c>
      <c r="B155" s="1" t="s">
        <v>37</v>
      </c>
      <c r="C155" s="2" t="s">
        <v>32</v>
      </c>
      <c r="D155" s="164">
        <v>0</v>
      </c>
      <c r="E155" s="164">
        <v>0</v>
      </c>
      <c r="F155" s="164">
        <v>0</v>
      </c>
      <c r="G155" s="164">
        <v>0</v>
      </c>
      <c r="H155" s="164">
        <v>0</v>
      </c>
      <c r="I155" s="106">
        <v>9706</v>
      </c>
      <c r="J155" s="164">
        <v>14678</v>
      </c>
      <c r="K155" s="164">
        <v>289</v>
      </c>
      <c r="L155" s="164">
        <v>53737</v>
      </c>
      <c r="M155" s="164">
        <v>0</v>
      </c>
      <c r="N155" s="164">
        <v>68704</v>
      </c>
    </row>
    <row r="156" spans="1:14" ht="13.5" thickBot="1" x14ac:dyDescent="0.25">
      <c r="A156" s="2" t="s">
        <v>49</v>
      </c>
      <c r="B156" s="1" t="s">
        <v>48</v>
      </c>
      <c r="C156" s="2" t="s">
        <v>32</v>
      </c>
      <c r="D156" s="164">
        <v>0</v>
      </c>
      <c r="E156" s="164">
        <v>0</v>
      </c>
      <c r="F156" s="164">
        <v>0</v>
      </c>
      <c r="G156" s="164">
        <v>0</v>
      </c>
      <c r="H156" s="164">
        <v>0</v>
      </c>
      <c r="I156" s="106">
        <v>11902</v>
      </c>
      <c r="J156" s="164">
        <v>0</v>
      </c>
      <c r="K156" s="164">
        <v>0</v>
      </c>
      <c r="L156" s="164">
        <v>0</v>
      </c>
      <c r="M156" s="164">
        <v>0</v>
      </c>
      <c r="N156" s="164">
        <v>0</v>
      </c>
    </row>
    <row r="157" spans="1:14" ht="13.5" thickBot="1" x14ac:dyDescent="0.25">
      <c r="A157" s="2" t="s">
        <v>57</v>
      </c>
      <c r="B157" s="1" t="s">
        <v>56</v>
      </c>
      <c r="C157" s="2" t="s">
        <v>32</v>
      </c>
      <c r="D157" s="164">
        <v>0</v>
      </c>
      <c r="E157" s="164">
        <v>0</v>
      </c>
      <c r="F157" s="164">
        <v>0</v>
      </c>
      <c r="G157" s="164">
        <v>0</v>
      </c>
      <c r="H157" s="164">
        <v>0</v>
      </c>
      <c r="I157" s="106">
        <v>11000</v>
      </c>
      <c r="J157" s="164">
        <v>17661</v>
      </c>
      <c r="K157" s="164">
        <v>2447</v>
      </c>
      <c r="L157" s="164">
        <v>96281</v>
      </c>
      <c r="M157" s="164">
        <v>0</v>
      </c>
      <c r="N157" s="164">
        <v>116389</v>
      </c>
    </row>
    <row r="158" spans="1:14" ht="13.5" thickBot="1" x14ac:dyDescent="0.25">
      <c r="A158" s="2" t="s">
        <v>74</v>
      </c>
      <c r="B158" s="1" t="s">
        <v>73</v>
      </c>
      <c r="C158" s="2" t="s">
        <v>32</v>
      </c>
      <c r="D158" s="164">
        <v>0</v>
      </c>
      <c r="E158" s="164">
        <v>0</v>
      </c>
      <c r="F158" s="164">
        <v>0</v>
      </c>
      <c r="G158" s="164">
        <v>0</v>
      </c>
      <c r="H158" s="164">
        <v>0</v>
      </c>
      <c r="I158" s="106">
        <v>7172</v>
      </c>
      <c r="J158" s="164">
        <v>0</v>
      </c>
      <c r="K158" s="164">
        <v>0</v>
      </c>
      <c r="L158" s="164">
        <v>7140</v>
      </c>
      <c r="M158" s="164">
        <v>0</v>
      </c>
      <c r="N158" s="164">
        <v>7140</v>
      </c>
    </row>
    <row r="159" spans="1:14" ht="13.5" thickBot="1" x14ac:dyDescent="0.25">
      <c r="A159" s="2" t="s">
        <v>84</v>
      </c>
      <c r="B159" s="1" t="s">
        <v>83</v>
      </c>
      <c r="C159" s="2" t="s">
        <v>32</v>
      </c>
      <c r="D159" s="164">
        <v>0</v>
      </c>
      <c r="E159" s="164">
        <v>0</v>
      </c>
      <c r="F159" s="164">
        <v>0</v>
      </c>
      <c r="G159" s="164">
        <v>0</v>
      </c>
      <c r="H159" s="164">
        <v>0</v>
      </c>
      <c r="I159" s="106">
        <v>11598</v>
      </c>
      <c r="J159" s="164">
        <v>2236</v>
      </c>
      <c r="K159" s="164">
        <v>0</v>
      </c>
      <c r="L159" s="164">
        <v>9791</v>
      </c>
      <c r="M159" s="164">
        <v>0</v>
      </c>
      <c r="N159" s="164">
        <v>12027</v>
      </c>
    </row>
    <row r="160" spans="1:14" ht="13.5" thickBot="1" x14ac:dyDescent="0.25">
      <c r="A160" s="2" t="s">
        <v>104</v>
      </c>
      <c r="B160" s="1" t="s">
        <v>103</v>
      </c>
      <c r="C160" s="2" t="s">
        <v>32</v>
      </c>
      <c r="D160" s="164">
        <v>0</v>
      </c>
      <c r="E160" s="164">
        <v>0</v>
      </c>
      <c r="F160" s="164">
        <v>0</v>
      </c>
      <c r="G160" s="164">
        <v>0</v>
      </c>
      <c r="H160" s="164">
        <v>0</v>
      </c>
      <c r="I160" s="106">
        <v>9197</v>
      </c>
      <c r="J160" s="164">
        <v>0</v>
      </c>
      <c r="K160" s="164">
        <v>0</v>
      </c>
      <c r="L160" s="164">
        <v>0</v>
      </c>
      <c r="M160" s="164">
        <v>0</v>
      </c>
      <c r="N160" s="164">
        <v>0</v>
      </c>
    </row>
    <row r="161" spans="1:14" ht="13.5" thickBot="1" x14ac:dyDescent="0.25">
      <c r="A161" s="2" t="s">
        <v>112</v>
      </c>
      <c r="B161" s="1" t="s">
        <v>111</v>
      </c>
      <c r="C161" s="2" t="s">
        <v>32</v>
      </c>
      <c r="D161" s="164">
        <v>0</v>
      </c>
      <c r="E161" s="164">
        <v>0</v>
      </c>
      <c r="F161" s="164">
        <v>0</v>
      </c>
      <c r="G161" s="164">
        <v>0</v>
      </c>
      <c r="H161" s="164">
        <v>0</v>
      </c>
      <c r="I161" s="106">
        <v>11825</v>
      </c>
      <c r="J161" s="164">
        <v>0</v>
      </c>
      <c r="K161" s="164">
        <v>0</v>
      </c>
      <c r="L161" s="164">
        <v>0</v>
      </c>
      <c r="M161" s="164">
        <v>0</v>
      </c>
      <c r="N161" s="164">
        <v>0</v>
      </c>
    </row>
    <row r="162" spans="1:14" ht="13.5" thickBot="1" x14ac:dyDescent="0.25">
      <c r="A162" s="2" t="s">
        <v>116</v>
      </c>
      <c r="B162" s="1" t="s">
        <v>115</v>
      </c>
      <c r="C162" s="2" t="s">
        <v>32</v>
      </c>
      <c r="D162" s="164">
        <v>0</v>
      </c>
      <c r="E162" s="164">
        <v>0</v>
      </c>
      <c r="F162" s="164">
        <v>0</v>
      </c>
      <c r="G162" s="164">
        <v>0</v>
      </c>
      <c r="H162" s="164">
        <v>0</v>
      </c>
      <c r="I162" s="106">
        <v>7226</v>
      </c>
      <c r="J162" s="164">
        <v>3785</v>
      </c>
      <c r="K162" s="164">
        <v>8000</v>
      </c>
      <c r="L162" s="164">
        <v>36230</v>
      </c>
      <c r="M162" s="164">
        <v>8000</v>
      </c>
      <c r="N162" s="164">
        <v>56015</v>
      </c>
    </row>
    <row r="163" spans="1:14" ht="13.5" thickBot="1" x14ac:dyDescent="0.25">
      <c r="A163" s="2" t="s">
        <v>134</v>
      </c>
      <c r="B163" s="1" t="s">
        <v>133</v>
      </c>
      <c r="C163" s="2" t="s">
        <v>32</v>
      </c>
      <c r="D163" s="164">
        <v>0</v>
      </c>
      <c r="E163" s="164">
        <v>0</v>
      </c>
      <c r="F163" s="164">
        <v>0</v>
      </c>
      <c r="G163" s="164">
        <v>30039</v>
      </c>
      <c r="H163" s="164">
        <v>30039</v>
      </c>
      <c r="I163" s="106">
        <v>10090</v>
      </c>
      <c r="J163" s="165">
        <v>0</v>
      </c>
      <c r="K163" s="164">
        <v>11311</v>
      </c>
      <c r="L163" s="164">
        <v>220551</v>
      </c>
      <c r="M163" s="165">
        <v>0</v>
      </c>
      <c r="N163" s="164">
        <v>231862</v>
      </c>
    </row>
    <row r="164" spans="1:14" ht="13.5" thickBot="1" x14ac:dyDescent="0.25">
      <c r="A164" s="2" t="s">
        <v>136</v>
      </c>
      <c r="B164" s="1" t="s">
        <v>135</v>
      </c>
      <c r="C164" s="2" t="s">
        <v>32</v>
      </c>
      <c r="D164" s="164">
        <v>0</v>
      </c>
      <c r="E164" s="164">
        <v>0</v>
      </c>
      <c r="F164" s="164">
        <v>0</v>
      </c>
      <c r="G164" s="164">
        <v>0</v>
      </c>
      <c r="H164" s="164">
        <v>0</v>
      </c>
      <c r="I164" s="106">
        <v>9705</v>
      </c>
      <c r="J164" s="164">
        <v>25784</v>
      </c>
      <c r="K164" s="164">
        <v>5730</v>
      </c>
      <c r="L164" s="164">
        <v>66409</v>
      </c>
      <c r="M164" s="164">
        <v>0</v>
      </c>
      <c r="N164" s="164">
        <v>97923</v>
      </c>
    </row>
    <row r="165" spans="1:14" ht="13.5" thickBot="1" x14ac:dyDescent="0.25">
      <c r="A165" s="2" t="s">
        <v>144</v>
      </c>
      <c r="B165" s="1" t="s">
        <v>143</v>
      </c>
      <c r="C165" s="2" t="s">
        <v>32</v>
      </c>
      <c r="D165" s="164">
        <v>0</v>
      </c>
      <c r="E165" s="164">
        <v>0</v>
      </c>
      <c r="F165" s="164">
        <v>0</v>
      </c>
      <c r="G165" s="164">
        <v>0</v>
      </c>
      <c r="H165" s="164">
        <v>0</v>
      </c>
      <c r="I165" s="106">
        <v>8692</v>
      </c>
      <c r="J165" s="165">
        <v>0</v>
      </c>
      <c r="K165" s="165">
        <v>0</v>
      </c>
      <c r="L165" s="165">
        <v>0</v>
      </c>
      <c r="M165" s="165">
        <v>0</v>
      </c>
      <c r="N165" s="165">
        <v>0</v>
      </c>
    </row>
    <row r="166" spans="1:14" ht="13.5" thickBot="1" x14ac:dyDescent="0.25">
      <c r="A166" s="2" t="s">
        <v>152</v>
      </c>
      <c r="B166" s="1" t="s">
        <v>151</v>
      </c>
      <c r="C166" s="2" t="s">
        <v>32</v>
      </c>
      <c r="D166" s="164">
        <v>0</v>
      </c>
      <c r="E166" s="164">
        <v>0</v>
      </c>
      <c r="F166" s="164">
        <v>0</v>
      </c>
      <c r="G166" s="164">
        <v>0</v>
      </c>
      <c r="H166" s="164">
        <v>0</v>
      </c>
      <c r="I166" s="106">
        <v>11833</v>
      </c>
      <c r="J166" s="164">
        <v>0</v>
      </c>
      <c r="K166" s="164">
        <v>0</v>
      </c>
      <c r="L166" s="164">
        <v>0</v>
      </c>
      <c r="M166" s="164">
        <v>0</v>
      </c>
      <c r="N166" s="164">
        <v>0</v>
      </c>
    </row>
    <row r="167" spans="1:14" ht="13.5" thickBot="1" x14ac:dyDescent="0.25">
      <c r="A167" s="2" t="s">
        <v>156</v>
      </c>
      <c r="B167" s="1" t="s">
        <v>155</v>
      </c>
      <c r="C167" s="2" t="s">
        <v>32</v>
      </c>
      <c r="D167" s="164">
        <v>0</v>
      </c>
      <c r="E167" s="164">
        <v>0</v>
      </c>
      <c r="F167" s="164">
        <v>0</v>
      </c>
      <c r="G167" s="164">
        <v>0</v>
      </c>
      <c r="H167" s="164">
        <v>0</v>
      </c>
      <c r="I167" s="106">
        <v>10857</v>
      </c>
      <c r="J167" s="164">
        <v>0</v>
      </c>
      <c r="K167" s="164">
        <v>0</v>
      </c>
      <c r="L167" s="164">
        <v>192090</v>
      </c>
      <c r="M167" s="164">
        <v>0</v>
      </c>
      <c r="N167" s="164">
        <v>192090</v>
      </c>
    </row>
    <row r="168" spans="1:14" ht="13.5" thickBot="1" x14ac:dyDescent="0.25">
      <c r="A168" s="2" t="s">
        <v>160</v>
      </c>
      <c r="B168" s="1" t="s">
        <v>159</v>
      </c>
      <c r="C168" s="2" t="s">
        <v>32</v>
      </c>
      <c r="D168" s="164">
        <v>0</v>
      </c>
      <c r="E168" s="164">
        <v>0</v>
      </c>
      <c r="F168" s="164">
        <v>0</v>
      </c>
      <c r="G168" s="164">
        <v>10578</v>
      </c>
      <c r="H168" s="164">
        <v>10578</v>
      </c>
      <c r="I168" s="106">
        <v>9483</v>
      </c>
      <c r="J168" s="164">
        <v>0</v>
      </c>
      <c r="K168" s="164">
        <v>7169</v>
      </c>
      <c r="L168" s="164">
        <v>0</v>
      </c>
      <c r="M168" s="164">
        <v>3869</v>
      </c>
      <c r="N168" s="164">
        <v>11038</v>
      </c>
    </row>
    <row r="169" spans="1:14" ht="13.5" thickBot="1" x14ac:dyDescent="0.25">
      <c r="A169" s="2" t="s">
        <v>162</v>
      </c>
      <c r="B169" s="1" t="s">
        <v>161</v>
      </c>
      <c r="C169" s="2" t="s">
        <v>32</v>
      </c>
      <c r="D169" s="164">
        <v>0</v>
      </c>
      <c r="E169" s="164">
        <v>0</v>
      </c>
      <c r="F169" s="164">
        <v>0</v>
      </c>
      <c r="G169" s="164">
        <v>0</v>
      </c>
      <c r="H169" s="164">
        <v>0</v>
      </c>
      <c r="I169" s="106">
        <v>8257</v>
      </c>
      <c r="J169" s="164">
        <v>0</v>
      </c>
      <c r="K169" s="164">
        <v>0</v>
      </c>
      <c r="L169" s="164">
        <v>0</v>
      </c>
      <c r="M169" s="164">
        <v>0</v>
      </c>
      <c r="N169" s="164">
        <v>0</v>
      </c>
    </row>
    <row r="170" spans="1:14" ht="13.5" thickBot="1" x14ac:dyDescent="0.25">
      <c r="A170" s="2" t="s">
        <v>168</v>
      </c>
      <c r="B170" s="1" t="s">
        <v>167</v>
      </c>
      <c r="C170" s="2" t="s">
        <v>32</v>
      </c>
      <c r="D170" s="164">
        <v>0</v>
      </c>
      <c r="E170" s="164">
        <v>0</v>
      </c>
      <c r="F170" s="164">
        <v>0</v>
      </c>
      <c r="G170" s="164">
        <v>0</v>
      </c>
      <c r="H170" s="164">
        <v>0</v>
      </c>
      <c r="I170" s="106">
        <v>9810</v>
      </c>
      <c r="J170" s="164">
        <v>25563</v>
      </c>
      <c r="K170" s="164">
        <v>16297</v>
      </c>
      <c r="L170" s="164">
        <v>0</v>
      </c>
      <c r="M170" s="164">
        <v>0</v>
      </c>
      <c r="N170" s="164">
        <v>41860</v>
      </c>
    </row>
    <row r="171" spans="1:14" ht="13.5" thickBot="1" x14ac:dyDescent="0.25">
      <c r="A171" s="2" t="s">
        <v>204</v>
      </c>
      <c r="B171" s="1" t="s">
        <v>203</v>
      </c>
      <c r="C171" s="2" t="s">
        <v>32</v>
      </c>
      <c r="D171" s="164">
        <v>0</v>
      </c>
      <c r="E171" s="164">
        <v>0</v>
      </c>
      <c r="F171" s="164">
        <v>0</v>
      </c>
      <c r="G171" s="164">
        <v>50000</v>
      </c>
      <c r="H171" s="164">
        <v>50000</v>
      </c>
      <c r="I171" s="106">
        <v>11862</v>
      </c>
      <c r="J171" s="164">
        <v>0</v>
      </c>
      <c r="K171" s="164">
        <v>17108</v>
      </c>
      <c r="L171" s="164">
        <v>1130</v>
      </c>
      <c r="M171" s="164">
        <v>5629.95</v>
      </c>
      <c r="N171" s="164">
        <v>23867.95</v>
      </c>
    </row>
    <row r="172" spans="1:14" ht="13.5" thickBot="1" x14ac:dyDescent="0.25">
      <c r="A172" s="2" t="s">
        <v>229</v>
      </c>
      <c r="B172" s="1" t="s">
        <v>228</v>
      </c>
      <c r="C172" s="2" t="s">
        <v>32</v>
      </c>
      <c r="D172" s="164">
        <v>0</v>
      </c>
      <c r="E172" s="164">
        <v>0</v>
      </c>
      <c r="F172" s="164">
        <v>0</v>
      </c>
      <c r="G172" s="164">
        <v>0</v>
      </c>
      <c r="H172" s="164">
        <v>0</v>
      </c>
      <c r="I172" s="106">
        <v>10021</v>
      </c>
      <c r="J172" s="164">
        <v>0</v>
      </c>
      <c r="K172" s="164">
        <v>0</v>
      </c>
      <c r="L172" s="164">
        <v>0</v>
      </c>
      <c r="M172" s="164">
        <v>0</v>
      </c>
      <c r="N172" s="164">
        <v>0</v>
      </c>
    </row>
    <row r="173" spans="1:14" ht="13.5" thickBot="1" x14ac:dyDescent="0.25">
      <c r="A173" s="2" t="s">
        <v>243</v>
      </c>
      <c r="B173" s="1" t="s">
        <v>242</v>
      </c>
      <c r="C173" s="2" t="s">
        <v>32</v>
      </c>
      <c r="D173" s="164">
        <v>0</v>
      </c>
      <c r="E173" s="164">
        <v>0</v>
      </c>
      <c r="F173" s="164">
        <v>6364</v>
      </c>
      <c r="G173" s="164">
        <v>0</v>
      </c>
      <c r="H173" s="164">
        <v>6364</v>
      </c>
      <c r="I173" s="106">
        <v>7439</v>
      </c>
      <c r="J173" s="164">
        <v>0</v>
      </c>
      <c r="K173" s="164">
        <v>0</v>
      </c>
      <c r="L173" s="164">
        <v>0</v>
      </c>
      <c r="M173" s="164">
        <v>0</v>
      </c>
      <c r="N173" s="164">
        <v>0</v>
      </c>
    </row>
    <row r="174" spans="1:14" ht="13.5" thickBot="1" x14ac:dyDescent="0.25">
      <c r="A174" s="2" t="s">
        <v>257</v>
      </c>
      <c r="B174" s="1" t="s">
        <v>256</v>
      </c>
      <c r="C174" s="2" t="s">
        <v>32</v>
      </c>
      <c r="D174" s="164">
        <v>0</v>
      </c>
      <c r="E174" s="164">
        <v>0</v>
      </c>
      <c r="F174" s="164">
        <v>0</v>
      </c>
      <c r="G174" s="164">
        <v>0</v>
      </c>
      <c r="H174" s="164">
        <v>0</v>
      </c>
      <c r="I174" s="106">
        <v>7392</v>
      </c>
      <c r="J174" s="164">
        <v>7369</v>
      </c>
      <c r="K174" s="164">
        <v>838</v>
      </c>
      <c r="L174" s="164">
        <v>4321</v>
      </c>
      <c r="M174" s="164">
        <v>0</v>
      </c>
      <c r="N174" s="164">
        <v>12528</v>
      </c>
    </row>
    <row r="175" spans="1:14" ht="13.5" thickBot="1" x14ac:dyDescent="0.25">
      <c r="A175" s="2" t="s">
        <v>261</v>
      </c>
      <c r="B175" s="1" t="s">
        <v>260</v>
      </c>
      <c r="C175" s="2" t="s">
        <v>32</v>
      </c>
      <c r="D175" s="164">
        <v>0</v>
      </c>
      <c r="E175" s="164">
        <v>0</v>
      </c>
      <c r="F175" s="164">
        <v>0</v>
      </c>
      <c r="G175" s="164">
        <v>0</v>
      </c>
      <c r="H175" s="164">
        <v>0</v>
      </c>
      <c r="I175" s="106">
        <v>9512</v>
      </c>
      <c r="J175" s="164">
        <v>0</v>
      </c>
      <c r="K175" s="164">
        <v>0</v>
      </c>
      <c r="L175" s="164">
        <v>0</v>
      </c>
      <c r="M175" s="164">
        <v>0</v>
      </c>
      <c r="N175" s="164">
        <v>0</v>
      </c>
    </row>
    <row r="176" spans="1:14" ht="13.5" thickBot="1" x14ac:dyDescent="0.25">
      <c r="A176" s="2" t="s">
        <v>273</v>
      </c>
      <c r="B176" s="1" t="s">
        <v>272</v>
      </c>
      <c r="C176" s="2" t="s">
        <v>32</v>
      </c>
      <c r="D176" s="164">
        <v>0</v>
      </c>
      <c r="E176" s="164">
        <v>0</v>
      </c>
      <c r="F176" s="164">
        <v>0</v>
      </c>
      <c r="G176" s="164">
        <v>0</v>
      </c>
      <c r="H176" s="164">
        <v>0</v>
      </c>
      <c r="I176" s="106">
        <v>7717</v>
      </c>
      <c r="J176" s="165">
        <v>0</v>
      </c>
      <c r="K176" s="165">
        <v>0</v>
      </c>
      <c r="L176" s="165">
        <v>0</v>
      </c>
      <c r="M176" s="165">
        <v>0</v>
      </c>
      <c r="N176" s="165">
        <v>0</v>
      </c>
    </row>
    <row r="177" spans="1:14" ht="13.5" thickBot="1" x14ac:dyDescent="0.25">
      <c r="A177" s="2" t="s">
        <v>297</v>
      </c>
      <c r="B177" s="1" t="s">
        <v>296</v>
      </c>
      <c r="C177" s="2" t="s">
        <v>32</v>
      </c>
      <c r="D177" s="164">
        <v>0</v>
      </c>
      <c r="E177" s="164">
        <v>0</v>
      </c>
      <c r="F177" s="164">
        <v>0</v>
      </c>
      <c r="G177" s="164">
        <v>0</v>
      </c>
      <c r="H177" s="164">
        <v>0</v>
      </c>
      <c r="I177" s="106">
        <v>7824</v>
      </c>
      <c r="J177" s="164">
        <v>0</v>
      </c>
      <c r="K177" s="165">
        <v>0</v>
      </c>
      <c r="L177" s="165">
        <v>0</v>
      </c>
      <c r="M177" s="164">
        <v>0</v>
      </c>
      <c r="N177" s="164">
        <v>0</v>
      </c>
    </row>
    <row r="178" spans="1:14" ht="13.5" thickBot="1" x14ac:dyDescent="0.25">
      <c r="A178" s="2" t="s">
        <v>309</v>
      </c>
      <c r="B178" s="1" t="s">
        <v>308</v>
      </c>
      <c r="C178" s="2" t="s">
        <v>32</v>
      </c>
      <c r="D178" s="164">
        <v>0</v>
      </c>
      <c r="E178" s="164">
        <v>0</v>
      </c>
      <c r="F178" s="164">
        <v>0</v>
      </c>
      <c r="G178" s="164">
        <v>0</v>
      </c>
      <c r="H178" s="164">
        <v>0</v>
      </c>
      <c r="I178" s="106">
        <v>9476</v>
      </c>
      <c r="J178" s="164">
        <v>0</v>
      </c>
      <c r="K178" s="164">
        <v>0</v>
      </c>
      <c r="L178" s="164">
        <v>0</v>
      </c>
      <c r="M178" s="164">
        <v>0</v>
      </c>
      <c r="N178" s="164">
        <v>0</v>
      </c>
    </row>
    <row r="179" spans="1:14" ht="13.5" thickBot="1" x14ac:dyDescent="0.25">
      <c r="A179" s="2" t="s">
        <v>315</v>
      </c>
      <c r="B179" s="1" t="s">
        <v>314</v>
      </c>
      <c r="C179" s="2" t="s">
        <v>32</v>
      </c>
      <c r="D179" s="164">
        <v>0</v>
      </c>
      <c r="E179" s="164">
        <v>2600</v>
      </c>
      <c r="F179" s="164">
        <v>0</v>
      </c>
      <c r="G179" s="164">
        <v>0</v>
      </c>
      <c r="H179" s="164">
        <v>2600</v>
      </c>
      <c r="I179" s="106">
        <v>10983</v>
      </c>
      <c r="J179" s="164">
        <v>9944</v>
      </c>
      <c r="K179" s="165">
        <v>0</v>
      </c>
      <c r="L179" s="165">
        <v>0</v>
      </c>
      <c r="M179" s="165">
        <v>0</v>
      </c>
      <c r="N179" s="164">
        <v>9944</v>
      </c>
    </row>
    <row r="180" spans="1:14" ht="13.5" thickBot="1" x14ac:dyDescent="0.25">
      <c r="A180" s="2" t="s">
        <v>323</v>
      </c>
      <c r="B180" s="1" t="s">
        <v>322</v>
      </c>
      <c r="C180" s="2" t="s">
        <v>32</v>
      </c>
      <c r="D180" s="164">
        <v>0</v>
      </c>
      <c r="E180" s="164">
        <v>0</v>
      </c>
      <c r="F180" s="164">
        <v>0</v>
      </c>
      <c r="G180" s="164">
        <v>0</v>
      </c>
      <c r="H180" s="164">
        <v>0</v>
      </c>
      <c r="I180" s="106">
        <v>11239</v>
      </c>
      <c r="J180" s="165">
        <v>0</v>
      </c>
      <c r="K180" s="165">
        <v>0</v>
      </c>
      <c r="L180" s="165">
        <v>0</v>
      </c>
      <c r="M180" s="165">
        <v>0</v>
      </c>
      <c r="N180" s="165">
        <v>0</v>
      </c>
    </row>
    <row r="181" spans="1:14" ht="13.5" thickBot="1" x14ac:dyDescent="0.25">
      <c r="A181" s="2" t="s">
        <v>337</v>
      </c>
      <c r="B181" s="1" t="s">
        <v>336</v>
      </c>
      <c r="C181" s="2" t="s">
        <v>32</v>
      </c>
      <c r="D181" s="164">
        <v>0</v>
      </c>
      <c r="E181" s="164">
        <v>0</v>
      </c>
      <c r="F181" s="164">
        <v>126039</v>
      </c>
      <c r="G181" s="164">
        <v>0</v>
      </c>
      <c r="H181" s="164">
        <v>126039</v>
      </c>
      <c r="I181" s="106">
        <v>8875</v>
      </c>
      <c r="J181" s="164">
        <v>0</v>
      </c>
      <c r="K181" s="164">
        <v>0</v>
      </c>
      <c r="L181" s="164">
        <v>0</v>
      </c>
      <c r="M181" s="164">
        <v>0</v>
      </c>
      <c r="N181" s="164">
        <v>0</v>
      </c>
    </row>
    <row r="182" spans="1:14" ht="13.5" thickBot="1" x14ac:dyDescent="0.25">
      <c r="A182" s="2" t="s">
        <v>357</v>
      </c>
      <c r="B182" s="1" t="s">
        <v>356</v>
      </c>
      <c r="C182" s="2" t="s">
        <v>32</v>
      </c>
      <c r="D182" s="164">
        <v>0</v>
      </c>
      <c r="E182" s="164">
        <v>0</v>
      </c>
      <c r="F182" s="164">
        <v>1450</v>
      </c>
      <c r="G182" s="164">
        <v>1963</v>
      </c>
      <c r="H182" s="164">
        <v>3413</v>
      </c>
      <c r="I182" s="106">
        <v>8133</v>
      </c>
      <c r="J182" s="164">
        <v>2185</v>
      </c>
      <c r="K182" s="164">
        <v>6312</v>
      </c>
      <c r="L182" s="164">
        <v>72203</v>
      </c>
      <c r="M182" s="164">
        <v>42124</v>
      </c>
      <c r="N182" s="164">
        <v>122824</v>
      </c>
    </row>
    <row r="183" spans="1:14" ht="13.5" thickBot="1" x14ac:dyDescent="0.25">
      <c r="A183" s="2" t="s">
        <v>365</v>
      </c>
      <c r="B183" s="1" t="s">
        <v>364</v>
      </c>
      <c r="C183" s="2" t="s">
        <v>32</v>
      </c>
      <c r="D183" s="164">
        <v>0</v>
      </c>
      <c r="E183" s="164">
        <v>0</v>
      </c>
      <c r="F183" s="164">
        <v>0</v>
      </c>
      <c r="G183" s="164">
        <v>0</v>
      </c>
      <c r="H183" s="164">
        <v>0</v>
      </c>
      <c r="I183" s="106">
        <v>7135</v>
      </c>
      <c r="J183" s="164">
        <v>5000</v>
      </c>
      <c r="K183" s="164">
        <v>4000</v>
      </c>
      <c r="L183" s="164">
        <v>3000</v>
      </c>
      <c r="M183" s="165">
        <v>0</v>
      </c>
      <c r="N183" s="164">
        <v>12000</v>
      </c>
    </row>
    <row r="184" spans="1:14" ht="13.5" thickBot="1" x14ac:dyDescent="0.25">
      <c r="A184" s="2" t="s">
        <v>373</v>
      </c>
      <c r="B184" s="1" t="s">
        <v>372</v>
      </c>
      <c r="C184" s="2" t="s">
        <v>32</v>
      </c>
      <c r="D184" s="164">
        <v>0</v>
      </c>
      <c r="E184" s="164">
        <v>0</v>
      </c>
      <c r="F184" s="164">
        <v>0</v>
      </c>
      <c r="G184" s="164">
        <v>0</v>
      </c>
      <c r="H184" s="164">
        <v>0</v>
      </c>
      <c r="I184" s="106">
        <v>11870</v>
      </c>
      <c r="J184" s="164">
        <v>26131</v>
      </c>
      <c r="K184" s="164">
        <v>2718</v>
      </c>
      <c r="L184" s="164">
        <v>2498</v>
      </c>
      <c r="M184" s="165">
        <v>0</v>
      </c>
      <c r="N184" s="164">
        <v>31347</v>
      </c>
    </row>
    <row r="185" spans="1:14" ht="13.5" thickBot="1" x14ac:dyDescent="0.25">
      <c r="A185" s="2" t="s">
        <v>393</v>
      </c>
      <c r="B185" s="1" t="s">
        <v>392</v>
      </c>
      <c r="C185" s="2" t="s">
        <v>32</v>
      </c>
      <c r="D185" s="164">
        <v>0</v>
      </c>
      <c r="E185" s="164">
        <v>0</v>
      </c>
      <c r="F185" s="164">
        <v>0</v>
      </c>
      <c r="G185" s="164">
        <v>0</v>
      </c>
      <c r="H185" s="164">
        <v>0</v>
      </c>
      <c r="I185" s="106">
        <v>8764</v>
      </c>
      <c r="J185" s="165">
        <v>0</v>
      </c>
      <c r="K185" s="165">
        <v>0</v>
      </c>
      <c r="L185" s="164">
        <v>107506</v>
      </c>
      <c r="M185" s="165">
        <v>0</v>
      </c>
      <c r="N185" s="164">
        <v>107506</v>
      </c>
    </row>
    <row r="186" spans="1:14" ht="13.5" thickBot="1" x14ac:dyDescent="0.25">
      <c r="A186" s="2" t="s">
        <v>425</v>
      </c>
      <c r="B186" s="1" t="s">
        <v>424</v>
      </c>
      <c r="C186" s="2" t="s">
        <v>32</v>
      </c>
      <c r="D186" s="164">
        <v>0</v>
      </c>
      <c r="E186" s="164">
        <v>0</v>
      </c>
      <c r="F186" s="164">
        <v>28000</v>
      </c>
      <c r="G186" s="164">
        <v>3000</v>
      </c>
      <c r="H186" s="164">
        <v>31000</v>
      </c>
      <c r="I186" s="106">
        <v>9555</v>
      </c>
      <c r="J186" s="164">
        <v>2000</v>
      </c>
      <c r="K186" s="164">
        <v>500</v>
      </c>
      <c r="L186" s="165">
        <v>0</v>
      </c>
      <c r="M186" s="165">
        <v>0</v>
      </c>
      <c r="N186" s="164">
        <v>2500</v>
      </c>
    </row>
    <row r="187" spans="1:14" ht="13.5" thickBot="1" x14ac:dyDescent="0.25">
      <c r="A187" s="2" t="s">
        <v>423</v>
      </c>
      <c r="B187" s="1" t="s">
        <v>422</v>
      </c>
      <c r="C187" s="2" t="s">
        <v>32</v>
      </c>
      <c r="D187" s="164">
        <v>0</v>
      </c>
      <c r="E187" s="164">
        <v>0</v>
      </c>
      <c r="F187" s="164">
        <v>0</v>
      </c>
      <c r="G187" s="164">
        <v>0</v>
      </c>
      <c r="H187" s="164">
        <v>0</v>
      </c>
      <c r="I187" s="106">
        <v>9533</v>
      </c>
      <c r="J187" s="165">
        <v>0</v>
      </c>
      <c r="K187" s="165">
        <v>0</v>
      </c>
      <c r="L187" s="165">
        <v>0</v>
      </c>
      <c r="M187" s="165">
        <v>0</v>
      </c>
      <c r="N187" s="165">
        <v>0</v>
      </c>
    </row>
    <row r="188" spans="1:14" ht="13.5" thickBot="1" x14ac:dyDescent="0.25">
      <c r="A188" s="2" t="s">
        <v>447</v>
      </c>
      <c r="B188" s="1" t="s">
        <v>446</v>
      </c>
      <c r="C188" s="2" t="s">
        <v>32</v>
      </c>
      <c r="D188" s="164">
        <v>0</v>
      </c>
      <c r="E188" s="164">
        <v>0</v>
      </c>
      <c r="F188" s="164">
        <v>0</v>
      </c>
      <c r="G188" s="164">
        <v>0</v>
      </c>
      <c r="H188" s="164">
        <v>0</v>
      </c>
      <c r="I188" s="106">
        <v>10470</v>
      </c>
      <c r="J188" s="164">
        <v>0</v>
      </c>
      <c r="K188" s="164">
        <v>3327</v>
      </c>
      <c r="L188" s="164">
        <v>249939</v>
      </c>
      <c r="M188" s="164">
        <v>60436</v>
      </c>
      <c r="N188" s="164">
        <v>313702</v>
      </c>
    </row>
    <row r="189" spans="1:14" ht="13.5" thickBot="1" x14ac:dyDescent="0.25">
      <c r="A189" s="2" t="s">
        <v>461</v>
      </c>
      <c r="B189" s="1" t="s">
        <v>460</v>
      </c>
      <c r="C189" s="2" t="s">
        <v>32</v>
      </c>
      <c r="D189" s="164">
        <v>0</v>
      </c>
      <c r="E189" s="164">
        <v>0</v>
      </c>
      <c r="F189" s="164">
        <v>0</v>
      </c>
      <c r="G189" s="164">
        <v>0</v>
      </c>
      <c r="H189" s="164">
        <v>0</v>
      </c>
      <c r="I189" s="106">
        <v>11581</v>
      </c>
      <c r="J189" s="164">
        <v>0</v>
      </c>
      <c r="K189" s="164">
        <v>0</v>
      </c>
      <c r="L189" s="164">
        <v>0</v>
      </c>
      <c r="M189" s="164">
        <v>0</v>
      </c>
      <c r="N189" s="164">
        <v>0</v>
      </c>
    </row>
    <row r="190" spans="1:14" ht="13.5" thickBot="1" x14ac:dyDescent="0.25">
      <c r="A190" s="2" t="s">
        <v>484</v>
      </c>
      <c r="B190" s="1" t="s">
        <v>483</v>
      </c>
      <c r="C190" s="2" t="s">
        <v>32</v>
      </c>
      <c r="D190" s="164">
        <v>0</v>
      </c>
      <c r="E190" s="164">
        <v>0</v>
      </c>
      <c r="F190" s="164">
        <v>0</v>
      </c>
      <c r="G190" s="164">
        <v>0</v>
      </c>
      <c r="H190" s="164">
        <v>0</v>
      </c>
      <c r="I190" s="106">
        <v>7312</v>
      </c>
      <c r="J190" s="164">
        <v>0</v>
      </c>
      <c r="K190" s="164">
        <v>0</v>
      </c>
      <c r="L190" s="164">
        <v>0</v>
      </c>
      <c r="M190" s="164">
        <v>0</v>
      </c>
      <c r="N190" s="164">
        <v>0</v>
      </c>
    </row>
    <row r="191" spans="1:14" ht="13.5" thickBot="1" x14ac:dyDescent="0.25">
      <c r="A191" s="2" t="s">
        <v>490</v>
      </c>
      <c r="B191" s="1" t="s">
        <v>489</v>
      </c>
      <c r="C191" s="2" t="s">
        <v>32</v>
      </c>
      <c r="D191" s="164">
        <v>0</v>
      </c>
      <c r="E191" s="164">
        <v>0</v>
      </c>
      <c r="F191" s="164">
        <v>0</v>
      </c>
      <c r="G191" s="164">
        <v>0</v>
      </c>
      <c r="H191" s="164">
        <v>0</v>
      </c>
      <c r="I191" s="106">
        <v>8344</v>
      </c>
      <c r="J191" s="164">
        <v>0</v>
      </c>
      <c r="K191" s="164">
        <v>0</v>
      </c>
      <c r="L191" s="164">
        <v>0</v>
      </c>
      <c r="M191" s="164">
        <v>0</v>
      </c>
      <c r="N191" s="164">
        <v>0</v>
      </c>
    </row>
    <row r="192" spans="1:14" ht="13.5" thickBot="1" x14ac:dyDescent="0.25">
      <c r="A192" s="2" t="s">
        <v>510</v>
      </c>
      <c r="B192" s="1" t="s">
        <v>509</v>
      </c>
      <c r="C192" s="2" t="s">
        <v>32</v>
      </c>
      <c r="D192" s="164">
        <v>0</v>
      </c>
      <c r="E192" s="164">
        <v>0</v>
      </c>
      <c r="F192" s="164">
        <v>0</v>
      </c>
      <c r="G192" s="164">
        <v>0</v>
      </c>
      <c r="H192" s="164">
        <v>0</v>
      </c>
      <c r="I192" s="106">
        <v>10715</v>
      </c>
      <c r="J192" s="164">
        <v>0</v>
      </c>
      <c r="K192" s="164">
        <v>0</v>
      </c>
      <c r="L192" s="164">
        <v>0</v>
      </c>
      <c r="M192" s="164">
        <v>0</v>
      </c>
      <c r="N192" s="164">
        <v>0</v>
      </c>
    </row>
    <row r="193" spans="1:14" ht="13.5" thickBot="1" x14ac:dyDescent="0.25">
      <c r="A193" s="2" t="s">
        <v>522</v>
      </c>
      <c r="B193" s="1" t="s">
        <v>521</v>
      </c>
      <c r="C193" s="2" t="s">
        <v>32</v>
      </c>
      <c r="D193" s="164">
        <v>0</v>
      </c>
      <c r="E193" s="164">
        <v>0</v>
      </c>
      <c r="F193" s="164">
        <v>0</v>
      </c>
      <c r="G193" s="164">
        <v>0</v>
      </c>
      <c r="H193" s="164">
        <v>0</v>
      </c>
      <c r="I193" s="106">
        <v>7424</v>
      </c>
      <c r="J193" s="164">
        <v>0</v>
      </c>
      <c r="K193" s="164">
        <v>0</v>
      </c>
      <c r="L193" s="164">
        <v>3700</v>
      </c>
      <c r="M193" s="164">
        <v>0</v>
      </c>
      <c r="N193" s="164">
        <v>3700</v>
      </c>
    </row>
    <row r="194" spans="1:14" ht="13.5" thickBot="1" x14ac:dyDescent="0.25">
      <c r="A194" s="2" t="s">
        <v>528</v>
      </c>
      <c r="B194" s="1" t="s">
        <v>527</v>
      </c>
      <c r="C194" s="2" t="s">
        <v>32</v>
      </c>
      <c r="D194" s="164">
        <v>0</v>
      </c>
      <c r="E194" s="164">
        <v>0</v>
      </c>
      <c r="F194" s="164">
        <v>0</v>
      </c>
      <c r="G194" s="164">
        <v>0</v>
      </c>
      <c r="H194" s="164">
        <v>0</v>
      </c>
      <c r="I194" s="106">
        <v>9765</v>
      </c>
      <c r="J194" s="164">
        <v>0</v>
      </c>
      <c r="K194" s="164">
        <v>11413</v>
      </c>
      <c r="L194" s="164">
        <v>52903</v>
      </c>
      <c r="M194" s="164">
        <v>0</v>
      </c>
      <c r="N194" s="164">
        <v>64316</v>
      </c>
    </row>
    <row r="195" spans="1:14" ht="13.5" thickBot="1" x14ac:dyDescent="0.25">
      <c r="A195" s="2" t="s">
        <v>538</v>
      </c>
      <c r="B195" s="1" t="s">
        <v>537</v>
      </c>
      <c r="C195" s="2" t="s">
        <v>32</v>
      </c>
      <c r="D195" s="164">
        <v>0</v>
      </c>
      <c r="E195" s="164">
        <v>0</v>
      </c>
      <c r="F195" s="164">
        <v>0</v>
      </c>
      <c r="G195" s="164">
        <v>0</v>
      </c>
      <c r="H195" s="164">
        <v>0</v>
      </c>
      <c r="I195" s="106">
        <v>9623</v>
      </c>
      <c r="J195" s="164">
        <v>0</v>
      </c>
      <c r="K195" s="164">
        <v>7348</v>
      </c>
      <c r="L195" s="164">
        <v>0</v>
      </c>
      <c r="M195" s="164">
        <v>0</v>
      </c>
      <c r="N195" s="164">
        <v>7348</v>
      </c>
    </row>
    <row r="196" spans="1:14" ht="13.5" thickBot="1" x14ac:dyDescent="0.25">
      <c r="A196" s="2" t="s">
        <v>542</v>
      </c>
      <c r="B196" s="1" t="s">
        <v>541</v>
      </c>
      <c r="C196" s="2" t="s">
        <v>32</v>
      </c>
      <c r="D196" s="164">
        <v>0</v>
      </c>
      <c r="E196" s="164">
        <v>2000</v>
      </c>
      <c r="F196" s="164">
        <v>0</v>
      </c>
      <c r="G196" s="164">
        <v>3000</v>
      </c>
      <c r="H196" s="164">
        <v>5000</v>
      </c>
      <c r="I196" s="106">
        <v>7656</v>
      </c>
      <c r="J196" s="164">
        <v>125</v>
      </c>
      <c r="K196" s="164">
        <v>4675</v>
      </c>
      <c r="L196" s="165">
        <v>0</v>
      </c>
      <c r="M196" s="165">
        <v>0</v>
      </c>
      <c r="N196" s="164">
        <v>4800</v>
      </c>
    </row>
    <row r="197" spans="1:14" ht="13.5" thickBot="1" x14ac:dyDescent="0.25">
      <c r="A197" s="2" t="s">
        <v>554</v>
      </c>
      <c r="B197" s="1" t="s">
        <v>553</v>
      </c>
      <c r="C197" s="2" t="s">
        <v>32</v>
      </c>
      <c r="D197" s="164">
        <v>0</v>
      </c>
      <c r="E197" s="164">
        <v>0</v>
      </c>
      <c r="F197" s="164">
        <v>0</v>
      </c>
      <c r="G197" s="164">
        <v>0</v>
      </c>
      <c r="H197" s="164">
        <v>0</v>
      </c>
      <c r="I197" s="106">
        <v>8354</v>
      </c>
      <c r="J197" s="164">
        <v>12789</v>
      </c>
      <c r="K197" s="164">
        <v>0</v>
      </c>
      <c r="L197" s="164">
        <v>27643</v>
      </c>
      <c r="M197" s="164">
        <v>0</v>
      </c>
      <c r="N197" s="164">
        <v>40432</v>
      </c>
    </row>
    <row r="198" spans="1:14" ht="13.5" thickBot="1" x14ac:dyDescent="0.25">
      <c r="A198" s="2" t="s">
        <v>572</v>
      </c>
      <c r="B198" s="1" t="s">
        <v>571</v>
      </c>
      <c r="C198" s="2" t="s">
        <v>32</v>
      </c>
      <c r="D198" s="164">
        <v>0</v>
      </c>
      <c r="E198" s="164">
        <v>0</v>
      </c>
      <c r="F198" s="164">
        <v>0</v>
      </c>
      <c r="G198" s="164">
        <v>0</v>
      </c>
      <c r="H198" s="164">
        <v>0</v>
      </c>
      <c r="I198" s="106">
        <v>8640</v>
      </c>
      <c r="J198" s="164">
        <v>0</v>
      </c>
      <c r="K198" s="164">
        <v>0</v>
      </c>
      <c r="L198" s="164">
        <v>0</v>
      </c>
      <c r="M198" s="164">
        <v>0</v>
      </c>
      <c r="N198" s="164">
        <v>0</v>
      </c>
    </row>
    <row r="199" spans="1:14" ht="13.5" thickBot="1" x14ac:dyDescent="0.25">
      <c r="A199" s="2" t="s">
        <v>582</v>
      </c>
      <c r="B199" s="1" t="s">
        <v>581</v>
      </c>
      <c r="C199" s="2" t="s">
        <v>32</v>
      </c>
      <c r="D199" s="164">
        <v>0</v>
      </c>
      <c r="E199" s="164">
        <v>0</v>
      </c>
      <c r="F199" s="164">
        <v>0</v>
      </c>
      <c r="G199" s="164">
        <v>0</v>
      </c>
      <c r="H199" s="164">
        <v>0</v>
      </c>
      <c r="I199" s="106">
        <v>9969</v>
      </c>
      <c r="J199" s="164">
        <v>0</v>
      </c>
      <c r="K199" s="164">
        <v>10514</v>
      </c>
      <c r="L199" s="165">
        <v>0</v>
      </c>
      <c r="M199" s="165">
        <v>0</v>
      </c>
      <c r="N199" s="164">
        <v>10514</v>
      </c>
    </row>
    <row r="200" spans="1:14" ht="13.5" thickBot="1" x14ac:dyDescent="0.25">
      <c r="A200" s="2" t="s">
        <v>586</v>
      </c>
      <c r="B200" s="1" t="s">
        <v>585</v>
      </c>
      <c r="C200" s="2" t="s">
        <v>32</v>
      </c>
      <c r="D200" s="164">
        <v>0</v>
      </c>
      <c r="E200" s="164">
        <v>0</v>
      </c>
      <c r="F200" s="164">
        <v>40000</v>
      </c>
      <c r="G200" s="164">
        <v>0</v>
      </c>
      <c r="H200" s="164">
        <v>40000</v>
      </c>
      <c r="I200" s="106">
        <v>7034</v>
      </c>
      <c r="J200" s="164">
        <v>2555</v>
      </c>
      <c r="K200" s="164">
        <v>0</v>
      </c>
      <c r="L200" s="164">
        <v>0</v>
      </c>
      <c r="M200" s="164">
        <v>0</v>
      </c>
      <c r="N200" s="164">
        <v>2555</v>
      </c>
    </row>
    <row r="201" spans="1:14" ht="13.5" thickBot="1" x14ac:dyDescent="0.25">
      <c r="A201" s="2" t="s">
        <v>596</v>
      </c>
      <c r="B201" s="1" t="s">
        <v>595</v>
      </c>
      <c r="C201" s="2" t="s">
        <v>32</v>
      </c>
      <c r="D201" s="164">
        <v>0</v>
      </c>
      <c r="E201" s="164">
        <v>0</v>
      </c>
      <c r="F201" s="164">
        <v>0</v>
      </c>
      <c r="G201" s="164">
        <v>0</v>
      </c>
      <c r="H201" s="164">
        <v>0</v>
      </c>
      <c r="I201" s="106">
        <v>8833</v>
      </c>
      <c r="J201" s="164">
        <v>0</v>
      </c>
      <c r="K201" s="164">
        <v>0</v>
      </c>
      <c r="L201" s="164">
        <v>0</v>
      </c>
      <c r="M201" s="164">
        <v>0</v>
      </c>
      <c r="N201" s="164">
        <v>0</v>
      </c>
    </row>
    <row r="202" spans="1:14" ht="13.5" thickBot="1" x14ac:dyDescent="0.25">
      <c r="A202" s="2" t="s">
        <v>604</v>
      </c>
      <c r="B202" s="1" t="s">
        <v>603</v>
      </c>
      <c r="C202" s="2" t="s">
        <v>32</v>
      </c>
      <c r="D202" s="164">
        <v>0</v>
      </c>
      <c r="E202" s="164">
        <v>0</v>
      </c>
      <c r="F202" s="164">
        <v>0</v>
      </c>
      <c r="G202" s="164">
        <v>0</v>
      </c>
      <c r="H202" s="164">
        <v>0</v>
      </c>
      <c r="I202" s="106">
        <v>11503</v>
      </c>
      <c r="J202" s="164">
        <v>13895</v>
      </c>
      <c r="K202" s="164">
        <v>5396</v>
      </c>
      <c r="L202" s="164">
        <v>0</v>
      </c>
      <c r="M202" s="164">
        <v>0</v>
      </c>
      <c r="N202" s="164">
        <v>19291</v>
      </c>
    </row>
    <row r="203" spans="1:14" ht="13.5" thickBot="1" x14ac:dyDescent="0.25">
      <c r="A203" s="2" t="s">
        <v>630</v>
      </c>
      <c r="B203" s="1" t="s">
        <v>629</v>
      </c>
      <c r="C203" s="2" t="s">
        <v>32</v>
      </c>
      <c r="D203" s="164">
        <v>0</v>
      </c>
      <c r="E203" s="164">
        <v>0</v>
      </c>
      <c r="F203" s="164">
        <v>0</v>
      </c>
      <c r="G203" s="164">
        <v>0</v>
      </c>
      <c r="H203" s="164">
        <v>0</v>
      </c>
      <c r="I203" s="106">
        <v>8891</v>
      </c>
      <c r="J203" s="164">
        <v>0</v>
      </c>
      <c r="K203" s="164">
        <v>3686</v>
      </c>
      <c r="L203" s="164">
        <v>0</v>
      </c>
      <c r="M203" s="164">
        <v>0</v>
      </c>
      <c r="N203" s="164">
        <v>3686</v>
      </c>
    </row>
    <row r="204" spans="1:14" ht="13.5" thickBot="1" x14ac:dyDescent="0.25">
      <c r="A204" s="2" t="s">
        <v>638</v>
      </c>
      <c r="B204" s="1" t="s">
        <v>637</v>
      </c>
      <c r="C204" s="2" t="s">
        <v>32</v>
      </c>
      <c r="D204" s="164">
        <v>0</v>
      </c>
      <c r="E204" s="164">
        <v>0</v>
      </c>
      <c r="F204" s="164">
        <v>0</v>
      </c>
      <c r="G204" s="164">
        <v>38109</v>
      </c>
      <c r="H204" s="164">
        <v>38109</v>
      </c>
      <c r="I204" s="106">
        <v>8543</v>
      </c>
      <c r="J204" s="165">
        <v>0</v>
      </c>
      <c r="K204" s="164">
        <v>27454</v>
      </c>
      <c r="L204" s="165">
        <v>0</v>
      </c>
      <c r="M204" s="165">
        <v>0</v>
      </c>
      <c r="N204" s="164">
        <v>27454</v>
      </c>
    </row>
    <row r="205" spans="1:14" ht="13.5" thickBot="1" x14ac:dyDescent="0.25">
      <c r="A205" s="2" t="s">
        <v>646</v>
      </c>
      <c r="B205" s="1" t="s">
        <v>645</v>
      </c>
      <c r="C205" s="2" t="s">
        <v>32</v>
      </c>
      <c r="D205" s="164">
        <v>0</v>
      </c>
      <c r="E205" s="164">
        <v>0</v>
      </c>
      <c r="F205" s="164">
        <v>0</v>
      </c>
      <c r="G205" s="164">
        <v>0</v>
      </c>
      <c r="H205" s="164">
        <v>0</v>
      </c>
      <c r="I205" s="106">
        <v>7580</v>
      </c>
      <c r="J205" s="164">
        <v>0</v>
      </c>
      <c r="K205" s="164">
        <v>4817</v>
      </c>
      <c r="L205" s="164">
        <v>0</v>
      </c>
      <c r="M205" s="164">
        <v>12713</v>
      </c>
      <c r="N205" s="164">
        <v>17530</v>
      </c>
    </row>
    <row r="206" spans="1:14" ht="13.5" thickBot="1" x14ac:dyDescent="0.25">
      <c r="A206" s="2" t="s">
        <v>656</v>
      </c>
      <c r="B206" s="1" t="s">
        <v>655</v>
      </c>
      <c r="C206" s="2" t="s">
        <v>32</v>
      </c>
      <c r="D206" s="164">
        <v>0</v>
      </c>
      <c r="E206" s="164">
        <v>0</v>
      </c>
      <c r="F206" s="164">
        <v>0</v>
      </c>
      <c r="G206" s="164">
        <v>0</v>
      </c>
      <c r="H206" s="164">
        <v>0</v>
      </c>
      <c r="I206" s="106">
        <v>7903</v>
      </c>
      <c r="J206" s="165">
        <v>0</v>
      </c>
      <c r="K206" s="165">
        <v>0</v>
      </c>
      <c r="L206" s="165">
        <v>0</v>
      </c>
      <c r="M206" s="165">
        <v>0</v>
      </c>
      <c r="N206" s="165">
        <v>0</v>
      </c>
    </row>
    <row r="207" spans="1:14" ht="13.5" thickBot="1" x14ac:dyDescent="0.25">
      <c r="A207" s="2" t="s">
        <v>674</v>
      </c>
      <c r="B207" s="1" t="s">
        <v>673</v>
      </c>
      <c r="C207" s="2" t="s">
        <v>32</v>
      </c>
      <c r="D207" s="164">
        <v>0</v>
      </c>
      <c r="E207" s="164">
        <v>0</v>
      </c>
      <c r="F207" s="164">
        <v>0</v>
      </c>
      <c r="G207" s="164">
        <v>0</v>
      </c>
      <c r="H207" s="164">
        <v>0</v>
      </c>
      <c r="I207" s="106">
        <v>11480</v>
      </c>
      <c r="J207" s="164">
        <v>0</v>
      </c>
      <c r="K207" s="164">
        <v>0</v>
      </c>
      <c r="L207" s="164">
        <v>0</v>
      </c>
      <c r="M207" s="164">
        <v>0</v>
      </c>
      <c r="N207" s="164">
        <v>0</v>
      </c>
    </row>
    <row r="208" spans="1:14" ht="13.5" thickBot="1" x14ac:dyDescent="0.25">
      <c r="A208" s="2" t="s">
        <v>676</v>
      </c>
      <c r="B208" s="1" t="s">
        <v>675</v>
      </c>
      <c r="C208" s="2" t="s">
        <v>32</v>
      </c>
      <c r="D208" s="164">
        <v>0</v>
      </c>
      <c r="E208" s="164">
        <v>0</v>
      </c>
      <c r="F208" s="164">
        <v>70000</v>
      </c>
      <c r="G208" s="164">
        <v>15013</v>
      </c>
      <c r="H208" s="164">
        <v>85013</v>
      </c>
      <c r="I208" s="106">
        <v>7798</v>
      </c>
      <c r="J208" s="164">
        <v>1080</v>
      </c>
      <c r="K208" s="164">
        <v>7368</v>
      </c>
      <c r="L208" s="164">
        <v>278002</v>
      </c>
      <c r="M208" s="164">
        <v>3320</v>
      </c>
      <c r="N208" s="164">
        <v>289770</v>
      </c>
    </row>
    <row r="209" spans="1:14" ht="13.5" thickBot="1" x14ac:dyDescent="0.25">
      <c r="A209" s="2" t="s">
        <v>684</v>
      </c>
      <c r="B209" s="1" t="s">
        <v>683</v>
      </c>
      <c r="C209" s="2" t="s">
        <v>32</v>
      </c>
      <c r="D209" s="164">
        <v>0</v>
      </c>
      <c r="E209" s="164">
        <v>0</v>
      </c>
      <c r="F209" s="164">
        <v>0</v>
      </c>
      <c r="G209" s="164">
        <v>0</v>
      </c>
      <c r="H209" s="164">
        <v>0</v>
      </c>
      <c r="I209" s="106">
        <v>7357</v>
      </c>
      <c r="J209" s="164">
        <v>13926</v>
      </c>
      <c r="K209" s="164">
        <v>1899</v>
      </c>
      <c r="L209" s="164">
        <v>1849</v>
      </c>
      <c r="M209" s="164">
        <v>1800</v>
      </c>
      <c r="N209" s="164">
        <v>19474</v>
      </c>
    </row>
    <row r="210" spans="1:14" ht="13.5" thickBot="1" x14ac:dyDescent="0.25">
      <c r="A210" s="2" t="s">
        <v>690</v>
      </c>
      <c r="B210" s="1" t="s">
        <v>689</v>
      </c>
      <c r="C210" s="2" t="s">
        <v>32</v>
      </c>
      <c r="D210" s="164">
        <v>0</v>
      </c>
      <c r="E210" s="164">
        <v>0</v>
      </c>
      <c r="F210" s="164">
        <v>0</v>
      </c>
      <c r="G210" s="164">
        <v>0</v>
      </c>
      <c r="H210" s="164">
        <v>0</v>
      </c>
      <c r="I210" s="106">
        <v>7103</v>
      </c>
      <c r="J210" s="164">
        <v>0</v>
      </c>
      <c r="K210" s="164">
        <v>0</v>
      </c>
      <c r="L210" s="164">
        <v>0</v>
      </c>
      <c r="M210" s="164">
        <v>0</v>
      </c>
      <c r="N210" s="164">
        <v>0</v>
      </c>
    </row>
    <row r="211" spans="1:14" ht="13.5" thickBot="1" x14ac:dyDescent="0.25">
      <c r="A211" s="2" t="s">
        <v>694</v>
      </c>
      <c r="B211" s="1" t="s">
        <v>693</v>
      </c>
      <c r="C211" s="2" t="s">
        <v>32</v>
      </c>
      <c r="D211" s="164">
        <v>0</v>
      </c>
      <c r="E211" s="164">
        <v>0</v>
      </c>
      <c r="F211" s="164">
        <v>0</v>
      </c>
      <c r="G211" s="164">
        <v>0</v>
      </c>
      <c r="H211" s="164">
        <v>0</v>
      </c>
      <c r="I211" s="106">
        <v>10017</v>
      </c>
      <c r="J211" s="164">
        <v>5000</v>
      </c>
      <c r="K211" s="164">
        <v>5000</v>
      </c>
      <c r="L211" s="164">
        <v>5000</v>
      </c>
      <c r="M211" s="164">
        <v>0</v>
      </c>
      <c r="N211" s="164">
        <v>15000</v>
      </c>
    </row>
    <row r="212" spans="1:14" ht="13.5" thickBot="1" x14ac:dyDescent="0.25">
      <c r="A212" s="2" t="s">
        <v>700</v>
      </c>
      <c r="B212" s="1" t="s">
        <v>699</v>
      </c>
      <c r="C212" s="2" t="s">
        <v>32</v>
      </c>
      <c r="D212" s="164">
        <v>0</v>
      </c>
      <c r="E212" s="164">
        <v>0</v>
      </c>
      <c r="F212" s="164">
        <v>0</v>
      </c>
      <c r="G212" s="164">
        <v>0</v>
      </c>
      <c r="H212" s="164">
        <v>0</v>
      </c>
      <c r="I212" s="106">
        <v>7272</v>
      </c>
      <c r="J212" s="164">
        <v>0</v>
      </c>
      <c r="K212" s="164">
        <v>0</v>
      </c>
      <c r="L212" s="164">
        <v>0</v>
      </c>
      <c r="M212" s="164">
        <v>0</v>
      </c>
      <c r="N212" s="164">
        <v>0</v>
      </c>
    </row>
    <row r="213" spans="1:14" ht="13.5" thickBot="1" x14ac:dyDescent="0.25">
      <c r="A213" s="2" t="s">
        <v>706</v>
      </c>
      <c r="B213" s="1" t="s">
        <v>705</v>
      </c>
      <c r="C213" s="2" t="s">
        <v>32</v>
      </c>
      <c r="D213" s="164">
        <v>0</v>
      </c>
      <c r="E213" s="164">
        <v>0</v>
      </c>
      <c r="F213" s="164">
        <v>0</v>
      </c>
      <c r="G213" s="164">
        <v>0</v>
      </c>
      <c r="H213" s="164">
        <v>0</v>
      </c>
      <c r="I213" s="106">
        <v>11377</v>
      </c>
      <c r="J213" s="164">
        <v>1695</v>
      </c>
      <c r="K213" s="164">
        <v>1156</v>
      </c>
      <c r="L213" s="164">
        <v>0</v>
      </c>
      <c r="M213" s="164">
        <v>0</v>
      </c>
      <c r="N213" s="164">
        <v>2851</v>
      </c>
    </row>
    <row r="214" spans="1:14" ht="13.5" thickBot="1" x14ac:dyDescent="0.25">
      <c r="A214" s="2" t="s">
        <v>718</v>
      </c>
      <c r="B214" s="1" t="s">
        <v>717</v>
      </c>
      <c r="C214" s="2" t="s">
        <v>32</v>
      </c>
      <c r="D214" s="164">
        <v>0</v>
      </c>
      <c r="E214" s="164">
        <v>0</v>
      </c>
      <c r="F214" s="164">
        <v>93458</v>
      </c>
      <c r="G214" s="164">
        <v>0</v>
      </c>
      <c r="H214" s="164">
        <v>93458</v>
      </c>
      <c r="I214" s="106">
        <v>8386</v>
      </c>
      <c r="J214" s="164">
        <v>0</v>
      </c>
      <c r="K214" s="164">
        <v>0</v>
      </c>
      <c r="L214" s="164">
        <v>0</v>
      </c>
      <c r="M214" s="164">
        <v>2955</v>
      </c>
      <c r="N214" s="164">
        <v>2955</v>
      </c>
    </row>
    <row r="215" spans="1:14" ht="13.5" thickBot="1" x14ac:dyDescent="0.25">
      <c r="A215" s="2" t="s">
        <v>724</v>
      </c>
      <c r="B215" s="1" t="s">
        <v>723</v>
      </c>
      <c r="C215" s="2" t="s">
        <v>32</v>
      </c>
      <c r="D215" s="164">
        <v>0</v>
      </c>
      <c r="E215" s="164">
        <v>0</v>
      </c>
      <c r="F215" s="164">
        <v>0</v>
      </c>
      <c r="G215" s="164">
        <v>0</v>
      </c>
      <c r="H215" s="164">
        <v>0</v>
      </c>
      <c r="I215" s="106">
        <v>9110</v>
      </c>
      <c r="J215" s="164">
        <v>5725</v>
      </c>
      <c r="K215" s="164">
        <v>500</v>
      </c>
      <c r="L215" s="164">
        <v>0</v>
      </c>
      <c r="M215" s="164">
        <v>0</v>
      </c>
      <c r="N215" s="164">
        <v>6225</v>
      </c>
    </row>
    <row r="216" spans="1:14" ht="13.5" thickBot="1" x14ac:dyDescent="0.25">
      <c r="A216" s="2" t="s">
        <v>726</v>
      </c>
      <c r="B216" s="1" t="s">
        <v>725</v>
      </c>
      <c r="C216" s="2" t="s">
        <v>32</v>
      </c>
      <c r="D216" s="164">
        <v>0</v>
      </c>
      <c r="E216" s="164">
        <v>0</v>
      </c>
      <c r="F216" s="164">
        <v>0</v>
      </c>
      <c r="G216" s="164">
        <v>0</v>
      </c>
      <c r="H216" s="164">
        <v>0</v>
      </c>
      <c r="I216" s="106">
        <v>9645</v>
      </c>
      <c r="J216" s="164">
        <v>0</v>
      </c>
      <c r="K216" s="164">
        <v>0</v>
      </c>
      <c r="L216" s="164">
        <v>16400</v>
      </c>
      <c r="M216" s="164">
        <v>0</v>
      </c>
      <c r="N216" s="164">
        <v>16400</v>
      </c>
    </row>
    <row r="217" spans="1:14" ht="13.5" thickBot="1" x14ac:dyDescent="0.25">
      <c r="A217" s="2" t="s">
        <v>742</v>
      </c>
      <c r="B217" s="1" t="s">
        <v>741</v>
      </c>
      <c r="C217" s="2" t="s">
        <v>32</v>
      </c>
      <c r="D217" s="164">
        <v>0</v>
      </c>
      <c r="E217" s="164">
        <v>0</v>
      </c>
      <c r="F217" s="164">
        <v>0</v>
      </c>
      <c r="G217" s="164">
        <v>0</v>
      </c>
      <c r="H217" s="164">
        <v>0</v>
      </c>
      <c r="I217" s="106">
        <v>9301</v>
      </c>
      <c r="J217" s="164">
        <v>2000</v>
      </c>
      <c r="K217" s="165">
        <v>0</v>
      </c>
      <c r="L217" s="164">
        <v>14416</v>
      </c>
      <c r="M217" s="164">
        <v>6673</v>
      </c>
      <c r="N217" s="164">
        <v>23089</v>
      </c>
    </row>
    <row r="218" spans="1:14" ht="13.5" thickBot="1" x14ac:dyDescent="0.25">
      <c r="A218" s="2" t="s">
        <v>747</v>
      </c>
      <c r="B218" s="1" t="s">
        <v>746</v>
      </c>
      <c r="C218" s="2" t="s">
        <v>32</v>
      </c>
      <c r="D218" s="164">
        <v>0</v>
      </c>
      <c r="E218" s="164">
        <v>0</v>
      </c>
      <c r="F218" s="164">
        <v>0</v>
      </c>
      <c r="G218" s="164">
        <v>0</v>
      </c>
      <c r="H218" s="164">
        <v>0</v>
      </c>
      <c r="I218" s="106">
        <v>7851</v>
      </c>
      <c r="J218" s="164">
        <v>7687</v>
      </c>
      <c r="K218" s="164">
        <v>0</v>
      </c>
      <c r="L218" s="164">
        <v>0</v>
      </c>
      <c r="M218" s="164">
        <v>0</v>
      </c>
      <c r="N218" s="164">
        <v>7687</v>
      </c>
    </row>
    <row r="219" spans="1:14" ht="13.5" thickBot="1" x14ac:dyDescent="0.25">
      <c r="A219" s="2" t="s">
        <v>749</v>
      </c>
      <c r="B219" s="1" t="s">
        <v>748</v>
      </c>
      <c r="C219" s="2" t="s">
        <v>32</v>
      </c>
      <c r="D219" s="164">
        <v>0</v>
      </c>
      <c r="E219" s="164">
        <v>0</v>
      </c>
      <c r="F219" s="164">
        <v>124226</v>
      </c>
      <c r="G219" s="164">
        <v>6050</v>
      </c>
      <c r="H219" s="164">
        <v>130276</v>
      </c>
      <c r="I219" s="106">
        <v>10250</v>
      </c>
      <c r="J219" s="164">
        <v>7317</v>
      </c>
      <c r="K219" s="164">
        <v>1341</v>
      </c>
      <c r="L219" s="164">
        <v>1225</v>
      </c>
      <c r="M219" s="164">
        <v>10410</v>
      </c>
      <c r="N219" s="164">
        <v>20293</v>
      </c>
    </row>
    <row r="220" spans="1:14" ht="13.5" thickBot="1" x14ac:dyDescent="0.25">
      <c r="A220" s="2" t="s">
        <v>759</v>
      </c>
      <c r="B220" s="1" t="s">
        <v>758</v>
      </c>
      <c r="C220" s="2" t="s">
        <v>32</v>
      </c>
      <c r="D220" s="164">
        <v>0</v>
      </c>
      <c r="E220" s="164">
        <v>0</v>
      </c>
      <c r="F220" s="164">
        <v>0</v>
      </c>
      <c r="G220" s="164">
        <v>0</v>
      </c>
      <c r="H220" s="164">
        <v>0</v>
      </c>
      <c r="I220" s="106">
        <v>10662</v>
      </c>
      <c r="J220" s="164">
        <v>0</v>
      </c>
      <c r="K220" s="164">
        <v>0</v>
      </c>
      <c r="L220" s="164">
        <v>0</v>
      </c>
      <c r="M220" s="164">
        <v>0</v>
      </c>
      <c r="N220" s="164">
        <v>0</v>
      </c>
    </row>
    <row r="221" spans="1:14" ht="13.5" thickBot="1" x14ac:dyDescent="0.25">
      <c r="A221" s="2" t="s">
        <v>763</v>
      </c>
      <c r="B221" s="1" t="s">
        <v>762</v>
      </c>
      <c r="C221" s="2" t="s">
        <v>32</v>
      </c>
      <c r="D221" s="164">
        <v>0</v>
      </c>
      <c r="E221" s="164">
        <v>0</v>
      </c>
      <c r="F221" s="164">
        <v>0</v>
      </c>
      <c r="G221" s="164">
        <v>0</v>
      </c>
      <c r="H221" s="164">
        <v>0</v>
      </c>
      <c r="I221" s="106">
        <v>11985</v>
      </c>
      <c r="J221" s="164">
        <v>0</v>
      </c>
      <c r="K221" s="164">
        <v>0</v>
      </c>
      <c r="L221" s="164">
        <v>0</v>
      </c>
      <c r="M221" s="164">
        <v>0</v>
      </c>
      <c r="N221" s="164">
        <v>0</v>
      </c>
    </row>
    <row r="222" spans="1:14" ht="13.5" thickBot="1" x14ac:dyDescent="0.25">
      <c r="A222" s="2" t="s">
        <v>765</v>
      </c>
      <c r="B222" s="1" t="s">
        <v>764</v>
      </c>
      <c r="C222" s="2" t="s">
        <v>32</v>
      </c>
      <c r="D222" s="164">
        <v>0</v>
      </c>
      <c r="E222" s="164">
        <v>0</v>
      </c>
      <c r="F222" s="164">
        <v>0</v>
      </c>
      <c r="G222" s="164">
        <v>0</v>
      </c>
      <c r="H222" s="164">
        <v>0</v>
      </c>
      <c r="I222" s="106">
        <v>8147</v>
      </c>
      <c r="J222" s="164">
        <v>0</v>
      </c>
      <c r="K222" s="164">
        <v>0</v>
      </c>
      <c r="L222" s="164">
        <v>0</v>
      </c>
      <c r="M222" s="164">
        <v>0</v>
      </c>
      <c r="N222" s="164">
        <v>0</v>
      </c>
    </row>
    <row r="223" spans="1:14" ht="13.5" thickBot="1" x14ac:dyDescent="0.25">
      <c r="A223" s="2" t="s">
        <v>773</v>
      </c>
      <c r="B223" s="1" t="s">
        <v>772</v>
      </c>
      <c r="C223" s="2" t="s">
        <v>32</v>
      </c>
      <c r="D223" s="164">
        <v>0</v>
      </c>
      <c r="E223" s="164">
        <v>0</v>
      </c>
      <c r="F223" s="164">
        <v>0</v>
      </c>
      <c r="G223" s="164">
        <v>0</v>
      </c>
      <c r="H223" s="164">
        <v>0</v>
      </c>
      <c r="I223" s="106">
        <v>9714</v>
      </c>
      <c r="J223" s="164">
        <v>0</v>
      </c>
      <c r="K223" s="164">
        <v>0</v>
      </c>
      <c r="L223" s="164">
        <v>0</v>
      </c>
      <c r="M223" s="164">
        <v>0</v>
      </c>
      <c r="N223" s="164">
        <v>0</v>
      </c>
    </row>
    <row r="224" spans="1:14" ht="13.5" thickBot="1" x14ac:dyDescent="0.25">
      <c r="A224" s="2" t="s">
        <v>803</v>
      </c>
      <c r="B224" s="1" t="s">
        <v>802</v>
      </c>
      <c r="C224" s="2" t="s">
        <v>32</v>
      </c>
      <c r="D224" s="164">
        <v>0</v>
      </c>
      <c r="E224" s="164">
        <v>0</v>
      </c>
      <c r="F224" s="164">
        <v>0</v>
      </c>
      <c r="G224" s="164">
        <v>2000</v>
      </c>
      <c r="H224" s="164">
        <v>2000</v>
      </c>
      <c r="I224" s="106">
        <v>9514</v>
      </c>
      <c r="J224" s="164">
        <v>0</v>
      </c>
      <c r="K224" s="164">
        <v>681</v>
      </c>
      <c r="L224" s="164">
        <v>0</v>
      </c>
      <c r="M224" s="164">
        <v>0</v>
      </c>
      <c r="N224" s="164">
        <v>681</v>
      </c>
    </row>
    <row r="225" spans="1:14" ht="13.5" thickBot="1" x14ac:dyDescent="0.25">
      <c r="A225" s="2" t="s">
        <v>817</v>
      </c>
      <c r="B225" s="1" t="s">
        <v>816</v>
      </c>
      <c r="C225" s="2" t="s">
        <v>32</v>
      </c>
      <c r="D225" s="164">
        <v>0</v>
      </c>
      <c r="E225" s="164">
        <v>0</v>
      </c>
      <c r="F225" s="164">
        <v>0</v>
      </c>
      <c r="G225" s="164">
        <v>0</v>
      </c>
      <c r="H225" s="164">
        <v>0</v>
      </c>
      <c r="I225" s="106">
        <v>9138</v>
      </c>
      <c r="J225" s="164">
        <v>0</v>
      </c>
      <c r="K225" s="164">
        <v>0</v>
      </c>
      <c r="L225" s="164">
        <v>0</v>
      </c>
      <c r="M225" s="164">
        <v>0</v>
      </c>
      <c r="N225" s="164">
        <v>0</v>
      </c>
    </row>
    <row r="226" spans="1:14" ht="13.5" thickBot="1" x14ac:dyDescent="0.25">
      <c r="A226" s="2" t="s">
        <v>819</v>
      </c>
      <c r="B226" s="1" t="s">
        <v>818</v>
      </c>
      <c r="C226" s="2" t="s">
        <v>32</v>
      </c>
      <c r="D226" s="164">
        <v>0</v>
      </c>
      <c r="E226" s="164">
        <v>0</v>
      </c>
      <c r="F226" s="164">
        <v>0</v>
      </c>
      <c r="G226" s="164">
        <v>3048</v>
      </c>
      <c r="H226" s="164">
        <v>3048</v>
      </c>
      <c r="I226" s="106">
        <v>7370</v>
      </c>
      <c r="J226" s="164">
        <v>0</v>
      </c>
      <c r="K226" s="164">
        <v>4000</v>
      </c>
      <c r="L226" s="164">
        <v>48428</v>
      </c>
      <c r="M226" s="164">
        <v>0</v>
      </c>
      <c r="N226" s="164">
        <v>52428</v>
      </c>
    </row>
    <row r="227" spans="1:14" ht="13.5" thickBot="1" x14ac:dyDescent="0.25">
      <c r="A227" s="2" t="s">
        <v>823</v>
      </c>
      <c r="B227" s="1" t="s">
        <v>822</v>
      </c>
      <c r="C227" s="2" t="s">
        <v>32</v>
      </c>
      <c r="D227" s="164">
        <v>0</v>
      </c>
      <c r="E227" s="164">
        <v>0</v>
      </c>
      <c r="F227" s="164">
        <v>11096</v>
      </c>
      <c r="G227" s="164">
        <v>0</v>
      </c>
      <c r="H227" s="164">
        <v>11096</v>
      </c>
      <c r="I227" s="106">
        <v>8533</v>
      </c>
      <c r="J227" s="165">
        <v>0</v>
      </c>
      <c r="K227" s="165">
        <v>0</v>
      </c>
      <c r="L227" s="165">
        <v>0</v>
      </c>
      <c r="M227" s="164">
        <v>600</v>
      </c>
      <c r="N227" s="164">
        <v>600</v>
      </c>
    </row>
    <row r="228" spans="1:14" ht="13.5" thickBot="1" x14ac:dyDescent="0.25">
      <c r="A228" s="2" t="s">
        <v>825</v>
      </c>
      <c r="B228" s="1" t="s">
        <v>824</v>
      </c>
      <c r="C228" s="2" t="s">
        <v>32</v>
      </c>
      <c r="D228" s="164">
        <v>0</v>
      </c>
      <c r="E228" s="164">
        <v>0</v>
      </c>
      <c r="F228" s="164">
        <v>127145</v>
      </c>
      <c r="G228" s="164">
        <v>0</v>
      </c>
      <c r="H228" s="164">
        <v>127145</v>
      </c>
      <c r="I228" s="106">
        <v>11811</v>
      </c>
      <c r="J228" s="164">
        <v>5368</v>
      </c>
      <c r="K228" s="164">
        <v>647</v>
      </c>
      <c r="L228" s="164">
        <v>147201</v>
      </c>
      <c r="M228" s="164">
        <v>1500</v>
      </c>
      <c r="N228" s="164">
        <v>154716</v>
      </c>
    </row>
    <row r="229" spans="1:14" ht="13.5" thickBot="1" x14ac:dyDescent="0.25">
      <c r="A229" s="2" t="s">
        <v>831</v>
      </c>
      <c r="B229" s="1" t="s">
        <v>830</v>
      </c>
      <c r="C229" s="2" t="s">
        <v>32</v>
      </c>
      <c r="D229" s="164">
        <v>0</v>
      </c>
      <c r="E229" s="164">
        <v>0</v>
      </c>
      <c r="F229" s="164">
        <v>0</v>
      </c>
      <c r="G229" s="164">
        <v>0</v>
      </c>
      <c r="H229" s="164">
        <v>0</v>
      </c>
      <c r="I229" s="106">
        <v>10014</v>
      </c>
      <c r="J229" s="164">
        <v>2215</v>
      </c>
      <c r="K229" s="164">
        <v>4212</v>
      </c>
      <c r="L229" s="164">
        <v>921</v>
      </c>
      <c r="M229" s="164">
        <v>29</v>
      </c>
      <c r="N229" s="164">
        <v>7377</v>
      </c>
    </row>
    <row r="230" spans="1:14" ht="13.5" thickBot="1" x14ac:dyDescent="0.25">
      <c r="A230" s="2" t="s">
        <v>26</v>
      </c>
      <c r="B230" s="1" t="s">
        <v>25</v>
      </c>
      <c r="C230" s="2" t="s">
        <v>29</v>
      </c>
      <c r="D230" s="164">
        <v>0</v>
      </c>
      <c r="E230" s="164">
        <v>0</v>
      </c>
      <c r="F230" s="164">
        <v>0</v>
      </c>
      <c r="G230" s="164">
        <v>0</v>
      </c>
      <c r="H230" s="164">
        <v>0</v>
      </c>
      <c r="I230" s="106">
        <v>21133</v>
      </c>
      <c r="J230" s="164">
        <v>51113</v>
      </c>
      <c r="K230" s="164">
        <v>3499</v>
      </c>
      <c r="L230" s="164">
        <v>0</v>
      </c>
      <c r="M230" s="164">
        <v>0</v>
      </c>
      <c r="N230" s="164">
        <v>54612</v>
      </c>
    </row>
    <row r="231" spans="1:14" ht="13.5" thickBot="1" x14ac:dyDescent="0.25">
      <c r="A231" s="2" t="s">
        <v>42</v>
      </c>
      <c r="B231" s="1" t="s">
        <v>41</v>
      </c>
      <c r="C231" s="2" t="s">
        <v>29</v>
      </c>
      <c r="D231" s="164">
        <v>1955000</v>
      </c>
      <c r="E231" s="164">
        <v>0</v>
      </c>
      <c r="F231" s="164">
        <v>0</v>
      </c>
      <c r="G231" s="164">
        <v>148112</v>
      </c>
      <c r="H231" s="164">
        <v>2103112</v>
      </c>
      <c r="I231" s="106">
        <v>17401</v>
      </c>
      <c r="J231" s="164">
        <v>69572</v>
      </c>
      <c r="K231" s="165">
        <v>0</v>
      </c>
      <c r="L231" s="164">
        <v>1938132</v>
      </c>
      <c r="M231" s="164">
        <v>40846</v>
      </c>
      <c r="N231" s="164">
        <v>2048550</v>
      </c>
    </row>
    <row r="232" spans="1:14" ht="13.5" thickBot="1" x14ac:dyDescent="0.25">
      <c r="A232" s="2" t="s">
        <v>70</v>
      </c>
      <c r="B232" s="1" t="s">
        <v>69</v>
      </c>
      <c r="C232" s="2" t="s">
        <v>29</v>
      </c>
      <c r="D232" s="164">
        <v>0</v>
      </c>
      <c r="E232" s="164">
        <v>0</v>
      </c>
      <c r="F232" s="164">
        <v>0</v>
      </c>
      <c r="G232" s="164">
        <v>0</v>
      </c>
      <c r="H232" s="164">
        <v>0</v>
      </c>
      <c r="I232" s="106">
        <v>21412</v>
      </c>
      <c r="J232" s="164">
        <v>14503</v>
      </c>
      <c r="K232" s="164">
        <v>10893</v>
      </c>
      <c r="L232" s="164">
        <v>228643</v>
      </c>
      <c r="M232" s="164">
        <v>0</v>
      </c>
      <c r="N232" s="164">
        <v>254039</v>
      </c>
    </row>
    <row r="233" spans="1:14" ht="13.5" thickBot="1" x14ac:dyDescent="0.25">
      <c r="A233" s="2" t="s">
        <v>76</v>
      </c>
      <c r="B233" s="1" t="s">
        <v>75</v>
      </c>
      <c r="C233" s="2" t="s">
        <v>29</v>
      </c>
      <c r="D233" s="164">
        <v>0</v>
      </c>
      <c r="E233" s="164">
        <v>0</v>
      </c>
      <c r="F233" s="164">
        <v>0</v>
      </c>
      <c r="G233" s="164">
        <v>0</v>
      </c>
      <c r="H233" s="164">
        <v>0</v>
      </c>
      <c r="I233" s="106">
        <v>25883</v>
      </c>
      <c r="J233" s="164">
        <v>10000</v>
      </c>
      <c r="K233" s="164">
        <v>7500</v>
      </c>
      <c r="L233" s="164">
        <v>0</v>
      </c>
      <c r="M233" s="164">
        <v>29009</v>
      </c>
      <c r="N233" s="164">
        <v>46509</v>
      </c>
    </row>
    <row r="234" spans="1:14" ht="13.5" thickBot="1" x14ac:dyDescent="0.25">
      <c r="A234" s="2" t="s">
        <v>96</v>
      </c>
      <c r="B234" s="1" t="s">
        <v>95</v>
      </c>
      <c r="C234" s="2" t="s">
        <v>29</v>
      </c>
      <c r="D234" s="164">
        <v>0</v>
      </c>
      <c r="E234" s="164">
        <v>0</v>
      </c>
      <c r="F234" s="164">
        <v>0</v>
      </c>
      <c r="G234" s="164">
        <v>0</v>
      </c>
      <c r="H234" s="164">
        <v>0</v>
      </c>
      <c r="I234" s="106">
        <v>24787</v>
      </c>
      <c r="J234" s="165">
        <v>0</v>
      </c>
      <c r="K234" s="165">
        <v>0</v>
      </c>
      <c r="L234" s="165">
        <v>0</v>
      </c>
      <c r="M234" s="165">
        <v>0</v>
      </c>
      <c r="N234" s="165">
        <v>0</v>
      </c>
    </row>
    <row r="235" spans="1:14" ht="13.5" thickBot="1" x14ac:dyDescent="0.25">
      <c r="A235" s="2" t="s">
        <v>102</v>
      </c>
      <c r="B235" s="1" t="s">
        <v>101</v>
      </c>
      <c r="C235" s="2" t="s">
        <v>29</v>
      </c>
      <c r="D235" s="164">
        <v>0</v>
      </c>
      <c r="E235" s="164">
        <v>0</v>
      </c>
      <c r="F235" s="164">
        <v>0</v>
      </c>
      <c r="G235" s="164">
        <v>0</v>
      </c>
      <c r="H235" s="164">
        <v>0</v>
      </c>
      <c r="I235" s="106">
        <v>14970</v>
      </c>
      <c r="J235" s="164">
        <v>8667</v>
      </c>
      <c r="K235" s="164">
        <v>7129</v>
      </c>
      <c r="L235" s="164">
        <v>36900</v>
      </c>
      <c r="M235" s="164">
        <v>0</v>
      </c>
      <c r="N235" s="164">
        <v>52696</v>
      </c>
    </row>
    <row r="236" spans="1:14" ht="13.5" thickBot="1" x14ac:dyDescent="0.25">
      <c r="A236" s="2" t="s">
        <v>110</v>
      </c>
      <c r="B236" s="1" t="s">
        <v>109</v>
      </c>
      <c r="C236" s="2" t="s">
        <v>29</v>
      </c>
      <c r="D236" s="164">
        <v>0</v>
      </c>
      <c r="E236" s="164">
        <v>0</v>
      </c>
      <c r="F236" s="164">
        <v>0</v>
      </c>
      <c r="G236" s="164">
        <v>0</v>
      </c>
      <c r="H236" s="164">
        <v>0</v>
      </c>
      <c r="I236" s="106">
        <v>20025</v>
      </c>
      <c r="J236" s="165">
        <v>0</v>
      </c>
      <c r="K236" s="165">
        <v>0</v>
      </c>
      <c r="L236" s="165">
        <v>0</v>
      </c>
      <c r="M236" s="165">
        <v>0</v>
      </c>
      <c r="N236" s="165">
        <v>0</v>
      </c>
    </row>
    <row r="237" spans="1:14" ht="13.5" thickBot="1" x14ac:dyDescent="0.25">
      <c r="A237" s="2" t="s">
        <v>122</v>
      </c>
      <c r="B237" s="1" t="s">
        <v>121</v>
      </c>
      <c r="C237" s="2" t="s">
        <v>29</v>
      </c>
      <c r="D237" s="164">
        <v>0</v>
      </c>
      <c r="E237" s="164">
        <v>0</v>
      </c>
      <c r="F237" s="164">
        <v>0</v>
      </c>
      <c r="G237" s="164">
        <v>0</v>
      </c>
      <c r="H237" s="164">
        <v>0</v>
      </c>
      <c r="I237" s="106">
        <v>15175</v>
      </c>
      <c r="J237" s="164">
        <v>12355</v>
      </c>
      <c r="K237" s="164">
        <v>4808</v>
      </c>
      <c r="L237" s="164">
        <v>0</v>
      </c>
      <c r="M237" s="164">
        <v>0</v>
      </c>
      <c r="N237" s="164">
        <v>17163</v>
      </c>
    </row>
    <row r="238" spans="1:14" ht="13.5" thickBot="1" x14ac:dyDescent="0.25">
      <c r="A238" s="2" t="s">
        <v>124</v>
      </c>
      <c r="B238" s="1" t="s">
        <v>123</v>
      </c>
      <c r="C238" s="2" t="s">
        <v>29</v>
      </c>
      <c r="D238" s="164">
        <v>0</v>
      </c>
      <c r="E238" s="164">
        <v>0</v>
      </c>
      <c r="F238" s="164">
        <v>0</v>
      </c>
      <c r="G238" s="164">
        <v>0</v>
      </c>
      <c r="H238" s="164">
        <v>0</v>
      </c>
      <c r="I238" s="106">
        <v>12667</v>
      </c>
      <c r="J238" s="164">
        <v>0</v>
      </c>
      <c r="K238" s="164">
        <v>8800</v>
      </c>
      <c r="L238" s="165">
        <v>0</v>
      </c>
      <c r="M238" s="164">
        <v>0</v>
      </c>
      <c r="N238" s="164">
        <v>8800</v>
      </c>
    </row>
    <row r="239" spans="1:14" ht="13.5" thickBot="1" x14ac:dyDescent="0.25">
      <c r="A239" s="2" t="s">
        <v>128</v>
      </c>
      <c r="B239" s="1" t="s">
        <v>127</v>
      </c>
      <c r="C239" s="2" t="s">
        <v>29</v>
      </c>
      <c r="D239" s="164">
        <v>0</v>
      </c>
      <c r="E239" s="164">
        <v>0</v>
      </c>
      <c r="F239" s="164">
        <v>0</v>
      </c>
      <c r="G239" s="164">
        <v>0</v>
      </c>
      <c r="H239" s="164">
        <v>0</v>
      </c>
      <c r="I239" s="106">
        <v>21705</v>
      </c>
      <c r="J239" s="164">
        <v>0</v>
      </c>
      <c r="K239" s="164">
        <v>0</v>
      </c>
      <c r="L239" s="164">
        <v>0</v>
      </c>
      <c r="M239" s="164">
        <v>0</v>
      </c>
      <c r="N239" s="164">
        <v>0</v>
      </c>
    </row>
    <row r="240" spans="1:14" ht="13.5" thickBot="1" x14ac:dyDescent="0.25">
      <c r="A240" s="2" t="s">
        <v>166</v>
      </c>
      <c r="B240" s="1" t="s">
        <v>165</v>
      </c>
      <c r="C240" s="2" t="s">
        <v>29</v>
      </c>
      <c r="D240" s="164">
        <v>0</v>
      </c>
      <c r="E240" s="164">
        <v>0</v>
      </c>
      <c r="F240" s="164">
        <v>0</v>
      </c>
      <c r="G240" s="164">
        <v>0</v>
      </c>
      <c r="H240" s="164">
        <v>0</v>
      </c>
      <c r="I240" s="106">
        <v>15068</v>
      </c>
      <c r="J240" s="164">
        <v>0</v>
      </c>
      <c r="K240" s="164">
        <v>8528</v>
      </c>
      <c r="L240" s="164">
        <v>0</v>
      </c>
      <c r="M240" s="164">
        <v>0</v>
      </c>
      <c r="N240" s="164">
        <v>8528</v>
      </c>
    </row>
    <row r="241" spans="1:14" ht="13.5" thickBot="1" x14ac:dyDescent="0.25">
      <c r="A241" s="2" t="s">
        <v>170</v>
      </c>
      <c r="B241" s="1" t="s">
        <v>169</v>
      </c>
      <c r="C241" s="2" t="s">
        <v>29</v>
      </c>
      <c r="D241" s="164">
        <v>0</v>
      </c>
      <c r="E241" s="164">
        <v>0</v>
      </c>
      <c r="F241" s="164">
        <v>0</v>
      </c>
      <c r="G241" s="164">
        <v>0</v>
      </c>
      <c r="H241" s="164">
        <v>0</v>
      </c>
      <c r="I241" s="106">
        <v>23157</v>
      </c>
      <c r="J241" s="164">
        <v>7092</v>
      </c>
      <c r="K241" s="164">
        <v>83003</v>
      </c>
      <c r="L241" s="164">
        <v>75000</v>
      </c>
      <c r="M241" s="164">
        <v>0</v>
      </c>
      <c r="N241" s="164">
        <v>165095</v>
      </c>
    </row>
    <row r="242" spans="1:14" ht="13.5" thickBot="1" x14ac:dyDescent="0.25">
      <c r="A242" s="2" t="s">
        <v>174</v>
      </c>
      <c r="B242" s="1" t="s">
        <v>173</v>
      </c>
      <c r="C242" s="2" t="s">
        <v>29</v>
      </c>
      <c r="D242" s="164">
        <v>0</v>
      </c>
      <c r="E242" s="164">
        <v>0</v>
      </c>
      <c r="F242" s="164">
        <v>222374</v>
      </c>
      <c r="G242" s="164">
        <v>0</v>
      </c>
      <c r="H242" s="164">
        <v>222374</v>
      </c>
      <c r="I242" s="106">
        <v>13894</v>
      </c>
      <c r="J242" s="164">
        <v>0</v>
      </c>
      <c r="K242" s="164">
        <v>0</v>
      </c>
      <c r="L242" s="164">
        <v>0</v>
      </c>
      <c r="M242" s="164">
        <v>0</v>
      </c>
      <c r="N242" s="164">
        <v>0</v>
      </c>
    </row>
    <row r="243" spans="1:14" ht="13.5" thickBot="1" x14ac:dyDescent="0.25">
      <c r="A243" s="2" t="s">
        <v>176</v>
      </c>
      <c r="B243" s="1" t="s">
        <v>175</v>
      </c>
      <c r="C243" s="2" t="s">
        <v>29</v>
      </c>
      <c r="D243" s="164">
        <v>0</v>
      </c>
      <c r="E243" s="164">
        <v>0</v>
      </c>
      <c r="F243" s="164">
        <v>0</v>
      </c>
      <c r="G243" s="164">
        <v>0</v>
      </c>
      <c r="H243" s="164">
        <v>0</v>
      </c>
      <c r="I243" s="106">
        <v>15010</v>
      </c>
      <c r="J243" s="164">
        <v>12792</v>
      </c>
      <c r="K243" s="164">
        <v>0</v>
      </c>
      <c r="L243" s="164">
        <v>27938</v>
      </c>
      <c r="M243" s="164">
        <v>13023</v>
      </c>
      <c r="N243" s="164">
        <v>53753</v>
      </c>
    </row>
    <row r="244" spans="1:14" ht="13.5" thickBot="1" x14ac:dyDescent="0.25">
      <c r="A244" s="2" t="s">
        <v>190</v>
      </c>
      <c r="B244" s="1" t="s">
        <v>189</v>
      </c>
      <c r="C244" s="2" t="s">
        <v>29</v>
      </c>
      <c r="D244" s="164">
        <v>0</v>
      </c>
      <c r="E244" s="164">
        <v>0</v>
      </c>
      <c r="F244" s="164">
        <v>227798</v>
      </c>
      <c r="G244" s="164">
        <v>1370</v>
      </c>
      <c r="H244" s="164">
        <v>229168</v>
      </c>
      <c r="I244" s="106">
        <v>12982</v>
      </c>
      <c r="J244" s="164">
        <v>3873</v>
      </c>
      <c r="K244" s="164">
        <v>4892</v>
      </c>
      <c r="L244" s="164">
        <v>229607</v>
      </c>
      <c r="M244" s="165">
        <v>0</v>
      </c>
      <c r="N244" s="164">
        <v>238372</v>
      </c>
    </row>
    <row r="245" spans="1:14" ht="13.5" thickBot="1" x14ac:dyDescent="0.25">
      <c r="A245" s="2" t="s">
        <v>200</v>
      </c>
      <c r="B245" s="1" t="s">
        <v>199</v>
      </c>
      <c r="C245" s="2" t="s">
        <v>29</v>
      </c>
      <c r="D245" s="164">
        <v>0</v>
      </c>
      <c r="E245" s="164">
        <v>0</v>
      </c>
      <c r="F245" s="164">
        <v>0</v>
      </c>
      <c r="G245" s="164">
        <v>0</v>
      </c>
      <c r="H245" s="164">
        <v>0</v>
      </c>
      <c r="I245" s="106">
        <v>14854</v>
      </c>
      <c r="J245" s="165">
        <v>0</v>
      </c>
      <c r="K245" s="165">
        <v>0</v>
      </c>
      <c r="L245" s="165">
        <v>0</v>
      </c>
      <c r="M245" s="165">
        <v>0</v>
      </c>
      <c r="N245" s="165">
        <v>0</v>
      </c>
    </row>
    <row r="246" spans="1:14" ht="13.5" thickBot="1" x14ac:dyDescent="0.25">
      <c r="A246" s="2" t="s">
        <v>206</v>
      </c>
      <c r="B246" s="1" t="s">
        <v>205</v>
      </c>
      <c r="C246" s="2" t="s">
        <v>29</v>
      </c>
      <c r="D246" s="164">
        <v>0</v>
      </c>
      <c r="E246" s="164">
        <v>0</v>
      </c>
      <c r="F246" s="164">
        <v>0</v>
      </c>
      <c r="G246" s="164">
        <v>0</v>
      </c>
      <c r="H246" s="164">
        <v>0</v>
      </c>
      <c r="I246" s="106">
        <v>14074</v>
      </c>
      <c r="J246" s="164">
        <v>9670</v>
      </c>
      <c r="K246" s="164">
        <v>793</v>
      </c>
      <c r="L246" s="164">
        <v>21268</v>
      </c>
      <c r="M246" s="164">
        <v>3814</v>
      </c>
      <c r="N246" s="164">
        <v>35545</v>
      </c>
    </row>
    <row r="247" spans="1:14" ht="13.5" thickBot="1" x14ac:dyDescent="0.25">
      <c r="A247" s="2" t="s">
        <v>235</v>
      </c>
      <c r="B247" s="1" t="s">
        <v>234</v>
      </c>
      <c r="C247" s="2" t="s">
        <v>29</v>
      </c>
      <c r="D247" s="164">
        <v>0</v>
      </c>
      <c r="E247" s="164">
        <v>0</v>
      </c>
      <c r="F247" s="164">
        <v>0</v>
      </c>
      <c r="G247" s="164">
        <v>0</v>
      </c>
      <c r="H247" s="164">
        <v>0</v>
      </c>
      <c r="I247" s="106">
        <v>20542</v>
      </c>
      <c r="J247" s="164">
        <v>4145</v>
      </c>
      <c r="K247" s="164">
        <v>11322</v>
      </c>
      <c r="L247" s="164">
        <v>16765</v>
      </c>
      <c r="M247" s="164">
        <v>0</v>
      </c>
      <c r="N247" s="164">
        <v>32232</v>
      </c>
    </row>
    <row r="248" spans="1:14" ht="13.5" thickBot="1" x14ac:dyDescent="0.25">
      <c r="A248" s="2" t="s">
        <v>237</v>
      </c>
      <c r="B248" s="1" t="s">
        <v>236</v>
      </c>
      <c r="C248" s="2" t="s">
        <v>29</v>
      </c>
      <c r="D248" s="164">
        <v>0</v>
      </c>
      <c r="E248" s="164">
        <v>0</v>
      </c>
      <c r="F248" s="164">
        <v>0</v>
      </c>
      <c r="G248" s="164">
        <v>0</v>
      </c>
      <c r="H248" s="164">
        <v>0</v>
      </c>
      <c r="I248" s="106">
        <v>19591</v>
      </c>
      <c r="J248" s="164">
        <v>16462</v>
      </c>
      <c r="K248" s="164">
        <v>3648</v>
      </c>
      <c r="L248" s="164">
        <v>0</v>
      </c>
      <c r="M248" s="164">
        <v>0</v>
      </c>
      <c r="N248" s="164">
        <v>20110</v>
      </c>
    </row>
    <row r="249" spans="1:14" ht="13.5" thickBot="1" x14ac:dyDescent="0.25">
      <c r="A249" s="2" t="s">
        <v>245</v>
      </c>
      <c r="B249" s="1" t="s">
        <v>244</v>
      </c>
      <c r="C249" s="2" t="s">
        <v>29</v>
      </c>
      <c r="D249" s="164">
        <v>0</v>
      </c>
      <c r="E249" s="164">
        <v>0</v>
      </c>
      <c r="F249" s="164">
        <v>0</v>
      </c>
      <c r="G249" s="164">
        <v>0</v>
      </c>
      <c r="H249" s="164">
        <v>0</v>
      </c>
      <c r="I249" s="106">
        <v>13306</v>
      </c>
      <c r="J249" s="164">
        <v>5217</v>
      </c>
      <c r="K249" s="164">
        <v>4000</v>
      </c>
      <c r="L249" s="164">
        <v>3842</v>
      </c>
      <c r="M249" s="165">
        <v>0</v>
      </c>
      <c r="N249" s="164">
        <v>13059</v>
      </c>
    </row>
    <row r="250" spans="1:14" ht="13.5" thickBot="1" x14ac:dyDescent="0.25">
      <c r="A250" s="2" t="s">
        <v>255</v>
      </c>
      <c r="B250" s="1" t="s">
        <v>254</v>
      </c>
      <c r="C250" s="2" t="s">
        <v>29</v>
      </c>
      <c r="D250" s="164">
        <v>0</v>
      </c>
      <c r="E250" s="164">
        <v>0</v>
      </c>
      <c r="F250" s="164">
        <v>0</v>
      </c>
      <c r="G250" s="164">
        <v>0</v>
      </c>
      <c r="H250" s="164">
        <v>0</v>
      </c>
      <c r="I250" s="106">
        <v>12670</v>
      </c>
      <c r="J250" s="164">
        <v>0</v>
      </c>
      <c r="K250" s="164">
        <v>0</v>
      </c>
      <c r="L250" s="164">
        <v>0</v>
      </c>
      <c r="M250" s="164">
        <v>0</v>
      </c>
      <c r="N250" s="164">
        <v>0</v>
      </c>
    </row>
    <row r="251" spans="1:14" ht="13.5" thickBot="1" x14ac:dyDescent="0.25">
      <c r="A251" s="2" t="s">
        <v>271</v>
      </c>
      <c r="B251" s="1" t="s">
        <v>270</v>
      </c>
      <c r="C251" s="2" t="s">
        <v>29</v>
      </c>
      <c r="D251" s="164">
        <v>0</v>
      </c>
      <c r="E251" s="164">
        <v>0</v>
      </c>
      <c r="F251" s="164">
        <v>0</v>
      </c>
      <c r="G251" s="164">
        <v>0</v>
      </c>
      <c r="H251" s="164">
        <v>0</v>
      </c>
      <c r="I251" s="106">
        <v>25830</v>
      </c>
      <c r="J251" s="165">
        <v>0</v>
      </c>
      <c r="K251" s="165">
        <v>0</v>
      </c>
      <c r="L251" s="165">
        <v>0</v>
      </c>
      <c r="M251" s="165">
        <v>0</v>
      </c>
      <c r="N251" s="165">
        <v>0</v>
      </c>
    </row>
    <row r="252" spans="1:14" ht="13.5" thickBot="1" x14ac:dyDescent="0.25">
      <c r="A252" s="2" t="s">
        <v>279</v>
      </c>
      <c r="B252" s="1" t="s">
        <v>278</v>
      </c>
      <c r="C252" s="2" t="s">
        <v>29</v>
      </c>
      <c r="D252" s="164">
        <v>0</v>
      </c>
      <c r="E252" s="164">
        <v>0</v>
      </c>
      <c r="F252" s="164">
        <v>0</v>
      </c>
      <c r="G252" s="164">
        <v>0</v>
      </c>
      <c r="H252" s="164">
        <v>0</v>
      </c>
      <c r="I252" s="106">
        <v>14230</v>
      </c>
      <c r="J252" s="164">
        <v>15714</v>
      </c>
      <c r="K252" s="164">
        <v>849</v>
      </c>
      <c r="L252" s="164">
        <v>27176</v>
      </c>
      <c r="M252" s="164">
        <v>36438</v>
      </c>
      <c r="N252" s="164">
        <v>80177</v>
      </c>
    </row>
    <row r="253" spans="1:14" ht="13.5" thickBot="1" x14ac:dyDescent="0.25">
      <c r="A253" s="2" t="s">
        <v>281</v>
      </c>
      <c r="B253" s="1" t="s">
        <v>280</v>
      </c>
      <c r="C253" s="2" t="s">
        <v>29</v>
      </c>
      <c r="D253" s="164">
        <v>0</v>
      </c>
      <c r="E253" s="164">
        <v>0</v>
      </c>
      <c r="F253" s="164">
        <v>0</v>
      </c>
      <c r="G253" s="164">
        <v>0</v>
      </c>
      <c r="H253" s="164">
        <v>0</v>
      </c>
      <c r="I253" s="106">
        <v>19900</v>
      </c>
      <c r="J253" s="164">
        <v>50474</v>
      </c>
      <c r="K253" s="164">
        <v>9481</v>
      </c>
      <c r="L253" s="164">
        <v>373620</v>
      </c>
      <c r="M253" s="164">
        <v>0</v>
      </c>
      <c r="N253" s="164">
        <v>433575</v>
      </c>
    </row>
    <row r="254" spans="1:14" ht="13.5" thickBot="1" x14ac:dyDescent="0.25">
      <c r="A254" s="2" t="s">
        <v>285</v>
      </c>
      <c r="B254" s="1" t="s">
        <v>284</v>
      </c>
      <c r="C254" s="2" t="s">
        <v>29</v>
      </c>
      <c r="D254" s="164">
        <v>0</v>
      </c>
      <c r="E254" s="164">
        <v>0</v>
      </c>
      <c r="F254" s="164">
        <v>0</v>
      </c>
      <c r="G254" s="164">
        <v>0</v>
      </c>
      <c r="H254" s="164">
        <v>0</v>
      </c>
      <c r="I254" s="106">
        <v>17626</v>
      </c>
      <c r="J254" s="164">
        <v>0</v>
      </c>
      <c r="K254" s="164">
        <v>0</v>
      </c>
      <c r="L254" s="164">
        <v>0</v>
      </c>
      <c r="M254" s="164">
        <v>0</v>
      </c>
      <c r="N254" s="164">
        <v>0</v>
      </c>
    </row>
    <row r="255" spans="1:14" ht="13.5" thickBot="1" x14ac:dyDescent="0.25">
      <c r="A255" s="2" t="s">
        <v>287</v>
      </c>
      <c r="B255" s="1" t="s">
        <v>286</v>
      </c>
      <c r="C255" s="2" t="s">
        <v>29</v>
      </c>
      <c r="D255" s="164">
        <v>0</v>
      </c>
      <c r="E255" s="164">
        <v>0</v>
      </c>
      <c r="F255" s="164">
        <v>0</v>
      </c>
      <c r="G255" s="164">
        <v>0</v>
      </c>
      <c r="H255" s="164">
        <v>0</v>
      </c>
      <c r="I255" s="106">
        <v>17823</v>
      </c>
      <c r="J255" s="164">
        <v>0</v>
      </c>
      <c r="K255" s="164">
        <v>977</v>
      </c>
      <c r="L255" s="164">
        <v>3608</v>
      </c>
      <c r="M255" s="164">
        <v>0</v>
      </c>
      <c r="N255" s="164">
        <v>4585</v>
      </c>
    </row>
    <row r="256" spans="1:14" ht="13.5" thickBot="1" x14ac:dyDescent="0.25">
      <c r="A256" s="2" t="s">
        <v>295</v>
      </c>
      <c r="B256" s="1" t="s">
        <v>294</v>
      </c>
      <c r="C256" s="2" t="s">
        <v>29</v>
      </c>
      <c r="D256" s="164">
        <v>0</v>
      </c>
      <c r="E256" s="164">
        <v>0</v>
      </c>
      <c r="F256" s="164">
        <v>0</v>
      </c>
      <c r="G256" s="164">
        <v>0</v>
      </c>
      <c r="H256" s="164">
        <v>0</v>
      </c>
      <c r="I256" s="106">
        <v>17068</v>
      </c>
      <c r="J256" s="164">
        <v>2500</v>
      </c>
      <c r="K256" s="164">
        <v>22579</v>
      </c>
      <c r="L256" s="164">
        <v>730238</v>
      </c>
      <c r="M256" s="165">
        <v>0</v>
      </c>
      <c r="N256" s="164">
        <v>755317</v>
      </c>
    </row>
    <row r="257" spans="1:14" ht="13.5" thickBot="1" x14ac:dyDescent="0.25">
      <c r="A257" s="2" t="s">
        <v>301</v>
      </c>
      <c r="B257" s="1" t="s">
        <v>300</v>
      </c>
      <c r="C257" s="2" t="s">
        <v>29</v>
      </c>
      <c r="D257" s="164">
        <v>0</v>
      </c>
      <c r="E257" s="164">
        <v>0</v>
      </c>
      <c r="F257" s="164">
        <v>0</v>
      </c>
      <c r="G257" s="164">
        <v>0</v>
      </c>
      <c r="H257" s="164">
        <v>0</v>
      </c>
      <c r="I257" s="106">
        <v>14480</v>
      </c>
      <c r="J257" s="164">
        <v>6729</v>
      </c>
      <c r="K257" s="164">
        <v>5652</v>
      </c>
      <c r="L257" s="164">
        <v>0</v>
      </c>
      <c r="M257" s="164">
        <v>0</v>
      </c>
      <c r="N257" s="164">
        <v>12381</v>
      </c>
    </row>
    <row r="258" spans="1:14" ht="13.5" thickBot="1" x14ac:dyDescent="0.25">
      <c r="A258" s="2" t="s">
        <v>305</v>
      </c>
      <c r="B258" s="1" t="s">
        <v>304</v>
      </c>
      <c r="C258" s="2" t="s">
        <v>29</v>
      </c>
      <c r="D258" s="164">
        <v>0</v>
      </c>
      <c r="E258" s="164">
        <v>0</v>
      </c>
      <c r="F258" s="164">
        <v>0</v>
      </c>
      <c r="G258" s="164">
        <v>17101</v>
      </c>
      <c r="H258" s="164">
        <v>17101</v>
      </c>
      <c r="I258" s="106">
        <v>13326</v>
      </c>
      <c r="J258" s="164">
        <v>18543</v>
      </c>
      <c r="K258" s="164">
        <v>575</v>
      </c>
      <c r="L258" s="164">
        <v>17513</v>
      </c>
      <c r="M258" s="164">
        <v>0</v>
      </c>
      <c r="N258" s="164">
        <v>36631</v>
      </c>
    </row>
    <row r="259" spans="1:14" ht="13.5" thickBot="1" x14ac:dyDescent="0.25">
      <c r="A259" s="2" t="s">
        <v>307</v>
      </c>
      <c r="B259" s="1" t="s">
        <v>306</v>
      </c>
      <c r="C259" s="2" t="s">
        <v>29</v>
      </c>
      <c r="D259" s="164">
        <v>0</v>
      </c>
      <c r="E259" s="164">
        <v>0</v>
      </c>
      <c r="F259" s="164">
        <v>0</v>
      </c>
      <c r="G259" s="164">
        <v>0</v>
      </c>
      <c r="H259" s="164">
        <v>0</v>
      </c>
      <c r="I259" s="106">
        <v>13598</v>
      </c>
      <c r="J259" s="164">
        <v>1858</v>
      </c>
      <c r="K259" s="164">
        <v>0</v>
      </c>
      <c r="L259" s="164">
        <v>0</v>
      </c>
      <c r="M259" s="164">
        <v>0</v>
      </c>
      <c r="N259" s="164">
        <v>1858</v>
      </c>
    </row>
    <row r="260" spans="1:14" ht="13.5" thickBot="1" x14ac:dyDescent="0.25">
      <c r="A260" s="2" t="s">
        <v>325</v>
      </c>
      <c r="B260" s="1" t="s">
        <v>324</v>
      </c>
      <c r="C260" s="2" t="s">
        <v>29</v>
      </c>
      <c r="D260" s="164">
        <v>0</v>
      </c>
      <c r="E260" s="164">
        <v>0</v>
      </c>
      <c r="F260" s="164">
        <v>0</v>
      </c>
      <c r="G260" s="164">
        <v>0</v>
      </c>
      <c r="H260" s="164">
        <v>0</v>
      </c>
      <c r="I260" s="106">
        <v>25692</v>
      </c>
      <c r="J260" s="164">
        <v>0</v>
      </c>
      <c r="K260" s="164">
        <v>0</v>
      </c>
      <c r="L260" s="164">
        <v>0</v>
      </c>
      <c r="M260" s="164">
        <v>33000</v>
      </c>
      <c r="N260" s="164">
        <v>33000</v>
      </c>
    </row>
    <row r="261" spans="1:14" ht="13.5" thickBot="1" x14ac:dyDescent="0.25">
      <c r="A261" s="2" t="s">
        <v>333</v>
      </c>
      <c r="B261" s="1" t="s">
        <v>332</v>
      </c>
      <c r="C261" s="2" t="s">
        <v>29</v>
      </c>
      <c r="D261" s="164">
        <v>0</v>
      </c>
      <c r="E261" s="164">
        <v>0</v>
      </c>
      <c r="F261" s="164">
        <v>34784</v>
      </c>
      <c r="G261" s="164">
        <v>0</v>
      </c>
      <c r="H261" s="164">
        <v>34784</v>
      </c>
      <c r="I261" s="106">
        <v>15959</v>
      </c>
      <c r="J261" s="164">
        <v>0</v>
      </c>
      <c r="K261" s="164">
        <v>31476</v>
      </c>
      <c r="L261" s="164">
        <v>3308</v>
      </c>
      <c r="M261" s="164">
        <v>0</v>
      </c>
      <c r="N261" s="164">
        <v>34784</v>
      </c>
    </row>
    <row r="262" spans="1:14" ht="13.5" thickBot="1" x14ac:dyDescent="0.25">
      <c r="A262" s="2" t="s">
        <v>343</v>
      </c>
      <c r="B262" s="1" t="s">
        <v>342</v>
      </c>
      <c r="C262" s="2" t="s">
        <v>29</v>
      </c>
      <c r="D262" s="164">
        <v>0</v>
      </c>
      <c r="E262" s="164">
        <v>0</v>
      </c>
      <c r="F262" s="164">
        <v>0</v>
      </c>
      <c r="G262" s="164">
        <v>0</v>
      </c>
      <c r="H262" s="164">
        <v>0</v>
      </c>
      <c r="I262" s="106">
        <v>21165</v>
      </c>
      <c r="J262" s="164">
        <v>5966</v>
      </c>
      <c r="K262" s="164">
        <v>1793</v>
      </c>
      <c r="L262" s="164">
        <v>86590</v>
      </c>
      <c r="M262" s="164">
        <v>0</v>
      </c>
      <c r="N262" s="164">
        <v>94349</v>
      </c>
    </row>
    <row r="263" spans="1:14" ht="13.5" thickBot="1" x14ac:dyDescent="0.25">
      <c r="A263" s="2" t="s">
        <v>345</v>
      </c>
      <c r="B263" s="1" t="s">
        <v>344</v>
      </c>
      <c r="C263" s="2" t="s">
        <v>29</v>
      </c>
      <c r="D263" s="164">
        <v>0</v>
      </c>
      <c r="E263" s="164">
        <v>0</v>
      </c>
      <c r="F263" s="164">
        <v>0</v>
      </c>
      <c r="G263" s="164">
        <v>0</v>
      </c>
      <c r="H263" s="164">
        <v>0</v>
      </c>
      <c r="I263" s="106">
        <v>22423</v>
      </c>
      <c r="J263" s="164">
        <v>0</v>
      </c>
      <c r="K263" s="164">
        <v>0</v>
      </c>
      <c r="L263" s="164">
        <v>0</v>
      </c>
      <c r="M263" s="164">
        <v>0</v>
      </c>
      <c r="N263" s="164">
        <v>0</v>
      </c>
    </row>
    <row r="264" spans="1:14" ht="13.5" thickBot="1" x14ac:dyDescent="0.25">
      <c r="A264" s="2" t="s">
        <v>351</v>
      </c>
      <c r="B264" s="1" t="s">
        <v>350</v>
      </c>
      <c r="C264" s="2" t="s">
        <v>29</v>
      </c>
      <c r="D264" s="164">
        <v>0</v>
      </c>
      <c r="E264" s="164">
        <v>0</v>
      </c>
      <c r="F264" s="164">
        <v>0</v>
      </c>
      <c r="G264" s="164">
        <v>0</v>
      </c>
      <c r="H264" s="164">
        <v>0</v>
      </c>
      <c r="I264" s="106">
        <v>14236</v>
      </c>
      <c r="J264" s="164">
        <v>0</v>
      </c>
      <c r="K264" s="164">
        <v>0</v>
      </c>
      <c r="L264" s="164">
        <v>0</v>
      </c>
      <c r="M264" s="164">
        <v>0</v>
      </c>
      <c r="N264" s="164">
        <v>0</v>
      </c>
    </row>
    <row r="265" spans="1:14" ht="13.5" thickBot="1" x14ac:dyDescent="0.25">
      <c r="A265" s="2" t="s">
        <v>353</v>
      </c>
      <c r="B265" s="1" t="s">
        <v>352</v>
      </c>
      <c r="C265" s="2" t="s">
        <v>29</v>
      </c>
      <c r="D265" s="164">
        <v>0</v>
      </c>
      <c r="E265" s="164">
        <v>0</v>
      </c>
      <c r="F265" s="164">
        <v>0</v>
      </c>
      <c r="G265" s="164">
        <v>0</v>
      </c>
      <c r="H265" s="164">
        <v>0</v>
      </c>
      <c r="I265" s="106">
        <v>12920</v>
      </c>
      <c r="J265" s="164">
        <v>0</v>
      </c>
      <c r="K265" s="164">
        <v>0</v>
      </c>
      <c r="L265" s="164">
        <v>15515</v>
      </c>
      <c r="M265" s="164">
        <v>0</v>
      </c>
      <c r="N265" s="164">
        <v>15515</v>
      </c>
    </row>
    <row r="266" spans="1:14" ht="13.5" thickBot="1" x14ac:dyDescent="0.25">
      <c r="A266" s="2" t="s">
        <v>355</v>
      </c>
      <c r="B266" s="1" t="s">
        <v>354</v>
      </c>
      <c r="C266" s="2" t="s">
        <v>29</v>
      </c>
      <c r="D266" s="164">
        <v>0</v>
      </c>
      <c r="E266" s="164">
        <v>0</v>
      </c>
      <c r="F266" s="164">
        <v>0</v>
      </c>
      <c r="G266" s="164">
        <v>0</v>
      </c>
      <c r="H266" s="164">
        <v>0</v>
      </c>
      <c r="I266" s="106">
        <v>24587</v>
      </c>
      <c r="J266" s="164">
        <v>0</v>
      </c>
      <c r="K266" s="164">
        <v>0</v>
      </c>
      <c r="L266" s="164">
        <v>0</v>
      </c>
      <c r="M266" s="164">
        <v>0</v>
      </c>
      <c r="N266" s="164">
        <v>0</v>
      </c>
    </row>
    <row r="267" spans="1:14" ht="13.5" thickBot="1" x14ac:dyDescent="0.25">
      <c r="A267" s="2" t="s">
        <v>361</v>
      </c>
      <c r="B267" s="1" t="s">
        <v>360</v>
      </c>
      <c r="C267" s="2" t="s">
        <v>29</v>
      </c>
      <c r="D267" s="164">
        <v>0</v>
      </c>
      <c r="E267" s="164">
        <v>0</v>
      </c>
      <c r="F267" s="164">
        <v>0</v>
      </c>
      <c r="G267" s="164">
        <v>0</v>
      </c>
      <c r="H267" s="164">
        <v>0</v>
      </c>
      <c r="I267" s="106">
        <v>13233</v>
      </c>
      <c r="J267" s="164">
        <v>0</v>
      </c>
      <c r="K267" s="164">
        <v>5921</v>
      </c>
      <c r="L267" s="164">
        <v>0</v>
      </c>
      <c r="M267" s="164">
        <v>0</v>
      </c>
      <c r="N267" s="164">
        <v>5921</v>
      </c>
    </row>
    <row r="268" spans="1:14" ht="13.5" thickBot="1" x14ac:dyDescent="0.25">
      <c r="A268" s="2" t="s">
        <v>363</v>
      </c>
      <c r="B268" s="1" t="s">
        <v>362</v>
      </c>
      <c r="C268" s="2" t="s">
        <v>29</v>
      </c>
      <c r="D268" s="164">
        <v>0</v>
      </c>
      <c r="E268" s="164">
        <v>0</v>
      </c>
      <c r="F268" s="164">
        <v>0</v>
      </c>
      <c r="G268" s="164">
        <v>0</v>
      </c>
      <c r="H268" s="164">
        <v>0</v>
      </c>
      <c r="I268" s="106">
        <v>16422</v>
      </c>
      <c r="J268" s="164">
        <v>0</v>
      </c>
      <c r="K268" s="164">
        <v>0</v>
      </c>
      <c r="L268" s="164">
        <v>0</v>
      </c>
      <c r="M268" s="164">
        <v>0</v>
      </c>
      <c r="N268" s="164">
        <v>0</v>
      </c>
    </row>
    <row r="269" spans="1:14" ht="13.5" thickBot="1" x14ac:dyDescent="0.25">
      <c r="A269" s="2" t="s">
        <v>371</v>
      </c>
      <c r="B269" s="1" t="s">
        <v>370</v>
      </c>
      <c r="C269" s="2" t="s">
        <v>29</v>
      </c>
      <c r="D269" s="164">
        <v>0</v>
      </c>
      <c r="E269" s="164">
        <v>0</v>
      </c>
      <c r="F269" s="164">
        <v>0</v>
      </c>
      <c r="G269" s="164">
        <v>0</v>
      </c>
      <c r="H269" s="164">
        <v>0</v>
      </c>
      <c r="I269" s="106">
        <v>19202</v>
      </c>
      <c r="J269" s="164">
        <v>0</v>
      </c>
      <c r="K269" s="164">
        <v>1384</v>
      </c>
      <c r="L269" s="164">
        <v>37849</v>
      </c>
      <c r="M269" s="164">
        <v>0</v>
      </c>
      <c r="N269" s="164">
        <v>39233</v>
      </c>
    </row>
    <row r="270" spans="1:14" ht="13.5" thickBot="1" x14ac:dyDescent="0.25">
      <c r="A270" s="2" t="s">
        <v>375</v>
      </c>
      <c r="B270" s="1" t="s">
        <v>374</v>
      </c>
      <c r="C270" s="2" t="s">
        <v>29</v>
      </c>
      <c r="D270" s="164">
        <v>0</v>
      </c>
      <c r="E270" s="164">
        <v>0</v>
      </c>
      <c r="F270" s="164">
        <v>0</v>
      </c>
      <c r="G270" s="164">
        <v>0</v>
      </c>
      <c r="H270" s="164">
        <v>0</v>
      </c>
      <c r="I270" s="106">
        <v>23088</v>
      </c>
      <c r="J270" s="165">
        <v>0</v>
      </c>
      <c r="K270" s="164">
        <v>1306</v>
      </c>
      <c r="L270" s="165">
        <v>0</v>
      </c>
      <c r="M270" s="165">
        <v>0</v>
      </c>
      <c r="N270" s="164">
        <v>1306</v>
      </c>
    </row>
    <row r="271" spans="1:14" ht="13.5" thickBot="1" x14ac:dyDescent="0.25">
      <c r="A271" s="2" t="s">
        <v>383</v>
      </c>
      <c r="B271" s="1" t="s">
        <v>382</v>
      </c>
      <c r="C271" s="2" t="s">
        <v>29</v>
      </c>
      <c r="D271" s="164">
        <v>0</v>
      </c>
      <c r="E271" s="164">
        <v>0</v>
      </c>
      <c r="F271" s="164">
        <v>0</v>
      </c>
      <c r="G271" s="164">
        <v>0</v>
      </c>
      <c r="H271" s="164">
        <v>0</v>
      </c>
      <c r="I271" s="106">
        <v>15322</v>
      </c>
      <c r="J271" s="164">
        <v>0</v>
      </c>
      <c r="K271" s="164">
        <v>4205</v>
      </c>
      <c r="L271" s="164">
        <v>55182</v>
      </c>
      <c r="M271" s="164">
        <v>0</v>
      </c>
      <c r="N271" s="164">
        <v>59387</v>
      </c>
    </row>
    <row r="272" spans="1:14" ht="13.5" thickBot="1" x14ac:dyDescent="0.25">
      <c r="A272" s="2" t="s">
        <v>385</v>
      </c>
      <c r="B272" s="1" t="s">
        <v>384</v>
      </c>
      <c r="C272" s="2" t="s">
        <v>29</v>
      </c>
      <c r="D272" s="164">
        <v>0</v>
      </c>
      <c r="E272" s="164">
        <v>0</v>
      </c>
      <c r="F272" s="164">
        <v>0</v>
      </c>
      <c r="G272" s="164">
        <v>37672</v>
      </c>
      <c r="H272" s="164">
        <v>37672</v>
      </c>
      <c r="I272" s="106">
        <v>22115</v>
      </c>
      <c r="J272" s="164">
        <v>28873</v>
      </c>
      <c r="K272" s="164">
        <v>0</v>
      </c>
      <c r="L272" s="164">
        <v>29045</v>
      </c>
      <c r="M272" s="164">
        <v>0</v>
      </c>
      <c r="N272" s="164">
        <v>57918</v>
      </c>
    </row>
    <row r="273" spans="1:14" ht="13.5" thickBot="1" x14ac:dyDescent="0.25">
      <c r="A273" s="2" t="s">
        <v>399</v>
      </c>
      <c r="B273" s="1" t="s">
        <v>398</v>
      </c>
      <c r="C273" s="2" t="s">
        <v>29</v>
      </c>
      <c r="D273" s="164">
        <v>0</v>
      </c>
      <c r="E273" s="164">
        <v>0</v>
      </c>
      <c r="F273" s="164">
        <v>0</v>
      </c>
      <c r="G273" s="164">
        <v>0</v>
      </c>
      <c r="H273" s="164">
        <v>0</v>
      </c>
      <c r="I273" s="106">
        <v>21871</v>
      </c>
      <c r="J273" s="164">
        <v>14559</v>
      </c>
      <c r="K273" s="164">
        <v>5452</v>
      </c>
      <c r="L273" s="164">
        <v>0</v>
      </c>
      <c r="M273" s="164">
        <v>20100</v>
      </c>
      <c r="N273" s="164">
        <v>40111</v>
      </c>
    </row>
    <row r="274" spans="1:14" ht="13.5" thickBot="1" x14ac:dyDescent="0.25">
      <c r="A274" s="2" t="s">
        <v>405</v>
      </c>
      <c r="B274" s="1" t="s">
        <v>404</v>
      </c>
      <c r="C274" s="2" t="s">
        <v>29</v>
      </c>
      <c r="D274" s="164">
        <v>0</v>
      </c>
      <c r="E274" s="164">
        <v>0</v>
      </c>
      <c r="F274" s="164">
        <v>0</v>
      </c>
      <c r="G274" s="164">
        <v>812</v>
      </c>
      <c r="H274" s="164">
        <v>812</v>
      </c>
      <c r="I274" s="106">
        <v>13600</v>
      </c>
      <c r="J274" s="164">
        <v>2976</v>
      </c>
      <c r="K274" s="164">
        <v>4299</v>
      </c>
      <c r="L274" s="164">
        <v>3854</v>
      </c>
      <c r="M274" s="164">
        <v>0</v>
      </c>
      <c r="N274" s="164">
        <v>11129</v>
      </c>
    </row>
    <row r="275" spans="1:14" ht="13.5" thickBot="1" x14ac:dyDescent="0.25">
      <c r="A275" s="2" t="s">
        <v>419</v>
      </c>
      <c r="B275" s="1" t="s">
        <v>418</v>
      </c>
      <c r="C275" s="2" t="s">
        <v>29</v>
      </c>
      <c r="D275" s="164">
        <v>0</v>
      </c>
      <c r="E275" s="164">
        <v>0</v>
      </c>
      <c r="F275" s="164">
        <v>0</v>
      </c>
      <c r="G275" s="164">
        <v>0</v>
      </c>
      <c r="H275" s="164">
        <v>0</v>
      </c>
      <c r="I275" s="106">
        <v>17153</v>
      </c>
      <c r="J275" s="164">
        <v>0</v>
      </c>
      <c r="K275" s="164">
        <v>4491</v>
      </c>
      <c r="L275" s="164">
        <v>0</v>
      </c>
      <c r="M275" s="164">
        <v>0</v>
      </c>
      <c r="N275" s="164">
        <v>4491</v>
      </c>
    </row>
    <row r="276" spans="1:14" ht="13.5" thickBot="1" x14ac:dyDescent="0.25">
      <c r="A276" s="2" t="s">
        <v>437</v>
      </c>
      <c r="B276" s="1" t="s">
        <v>436</v>
      </c>
      <c r="C276" s="2" t="s">
        <v>29</v>
      </c>
      <c r="D276" s="164">
        <v>0</v>
      </c>
      <c r="E276" s="164">
        <v>0</v>
      </c>
      <c r="F276" s="164">
        <v>0</v>
      </c>
      <c r="G276" s="164">
        <v>0</v>
      </c>
      <c r="H276" s="164">
        <v>0</v>
      </c>
      <c r="I276" s="106">
        <v>25369</v>
      </c>
      <c r="J276" s="164">
        <v>0</v>
      </c>
      <c r="K276" s="164">
        <v>0</v>
      </c>
      <c r="L276" s="164">
        <v>299520</v>
      </c>
      <c r="M276" s="164">
        <v>0</v>
      </c>
      <c r="N276" s="164">
        <v>299520</v>
      </c>
    </row>
    <row r="277" spans="1:14" ht="13.5" thickBot="1" x14ac:dyDescent="0.25">
      <c r="A277" s="2" t="s">
        <v>453</v>
      </c>
      <c r="B277" s="1" t="s">
        <v>452</v>
      </c>
      <c r="C277" s="2" t="s">
        <v>29</v>
      </c>
      <c r="D277" s="164">
        <v>0</v>
      </c>
      <c r="E277" s="164">
        <v>0</v>
      </c>
      <c r="F277" s="164">
        <v>0</v>
      </c>
      <c r="G277" s="164">
        <v>0</v>
      </c>
      <c r="H277" s="164">
        <v>0</v>
      </c>
      <c r="I277" s="106">
        <v>22258</v>
      </c>
      <c r="J277" s="164">
        <v>19688</v>
      </c>
      <c r="K277" s="164">
        <v>11402</v>
      </c>
      <c r="L277" s="164">
        <v>41877</v>
      </c>
      <c r="M277" s="164">
        <v>86259</v>
      </c>
      <c r="N277" s="164">
        <v>159226</v>
      </c>
    </row>
    <row r="278" spans="1:14" ht="13.5" thickBot="1" x14ac:dyDescent="0.25">
      <c r="A278" s="2" t="s">
        <v>467</v>
      </c>
      <c r="B278" s="1" t="s">
        <v>466</v>
      </c>
      <c r="C278" s="2" t="s">
        <v>29</v>
      </c>
      <c r="D278" s="164">
        <v>0</v>
      </c>
      <c r="E278" s="164">
        <v>0</v>
      </c>
      <c r="F278" s="164">
        <v>0</v>
      </c>
      <c r="G278" s="164">
        <v>0</v>
      </c>
      <c r="H278" s="164">
        <v>0</v>
      </c>
      <c r="I278" s="106">
        <v>14545</v>
      </c>
      <c r="J278" s="164">
        <v>0</v>
      </c>
      <c r="K278" s="164">
        <v>0</v>
      </c>
      <c r="L278" s="164">
        <v>0</v>
      </c>
      <c r="M278" s="164">
        <v>1913</v>
      </c>
      <c r="N278" s="164">
        <v>1913</v>
      </c>
    </row>
    <row r="279" spans="1:14" ht="13.5" thickBot="1" x14ac:dyDescent="0.25">
      <c r="A279" s="2" t="s">
        <v>474</v>
      </c>
      <c r="B279" s="1" t="s">
        <v>473</v>
      </c>
      <c r="C279" s="2" t="s">
        <v>29</v>
      </c>
      <c r="D279" s="164">
        <v>0</v>
      </c>
      <c r="E279" s="164">
        <v>0</v>
      </c>
      <c r="F279" s="164">
        <v>0</v>
      </c>
      <c r="G279" s="164">
        <v>0</v>
      </c>
      <c r="H279" s="164">
        <v>0</v>
      </c>
      <c r="I279" s="106">
        <v>13452</v>
      </c>
      <c r="J279" s="164">
        <v>27100</v>
      </c>
      <c r="K279" s="164">
        <v>0</v>
      </c>
      <c r="L279" s="164">
        <v>0</v>
      </c>
      <c r="M279" s="164">
        <v>0</v>
      </c>
      <c r="N279" s="164">
        <v>27100</v>
      </c>
    </row>
    <row r="280" spans="1:14" ht="13.5" thickBot="1" x14ac:dyDescent="0.25">
      <c r="A280" s="2" t="s">
        <v>488</v>
      </c>
      <c r="B280" s="1" t="s">
        <v>487</v>
      </c>
      <c r="C280" s="2" t="s">
        <v>29</v>
      </c>
      <c r="D280" s="164">
        <v>0</v>
      </c>
      <c r="E280" s="164">
        <v>0</v>
      </c>
      <c r="F280" s="164">
        <v>270000</v>
      </c>
      <c r="G280" s="164">
        <v>34865</v>
      </c>
      <c r="H280" s="164">
        <v>304865</v>
      </c>
      <c r="I280" s="106">
        <v>22995</v>
      </c>
      <c r="J280" s="164">
        <v>11328</v>
      </c>
      <c r="K280" s="164">
        <v>30075</v>
      </c>
      <c r="L280" s="164">
        <v>300000</v>
      </c>
      <c r="M280" s="164">
        <v>0</v>
      </c>
      <c r="N280" s="164">
        <v>341403</v>
      </c>
    </row>
    <row r="281" spans="1:14" ht="13.5" thickBot="1" x14ac:dyDescent="0.25">
      <c r="A281" s="2" t="s">
        <v>498</v>
      </c>
      <c r="B281" s="1" t="s">
        <v>497</v>
      </c>
      <c r="C281" s="2" t="s">
        <v>29</v>
      </c>
      <c r="D281" s="164">
        <v>0</v>
      </c>
      <c r="E281" s="164">
        <v>0</v>
      </c>
      <c r="F281" s="164">
        <v>0</v>
      </c>
      <c r="G281" s="164">
        <v>0</v>
      </c>
      <c r="H281" s="164">
        <v>0</v>
      </c>
      <c r="I281" s="106">
        <v>14948</v>
      </c>
      <c r="J281" s="164">
        <v>0</v>
      </c>
      <c r="K281" s="164">
        <v>9875</v>
      </c>
      <c r="L281" s="164">
        <v>93181</v>
      </c>
      <c r="M281" s="164">
        <v>0</v>
      </c>
      <c r="N281" s="164">
        <v>103056</v>
      </c>
    </row>
    <row r="282" spans="1:14" ht="13.5" thickBot="1" x14ac:dyDescent="0.25">
      <c r="A282" s="2" t="s">
        <v>502</v>
      </c>
      <c r="B282" s="1" t="s">
        <v>501</v>
      </c>
      <c r="C282" s="2" t="s">
        <v>29</v>
      </c>
      <c r="D282" s="164">
        <v>0</v>
      </c>
      <c r="E282" s="164">
        <v>0</v>
      </c>
      <c r="F282" s="164">
        <v>0</v>
      </c>
      <c r="G282" s="164">
        <v>254636</v>
      </c>
      <c r="H282" s="164">
        <v>254636</v>
      </c>
      <c r="I282" s="106">
        <v>18393</v>
      </c>
      <c r="J282" s="165">
        <v>0</v>
      </c>
      <c r="K282" s="165">
        <v>0</v>
      </c>
      <c r="L282" s="164">
        <v>81716</v>
      </c>
      <c r="M282" s="165">
        <v>0</v>
      </c>
      <c r="N282" s="164">
        <v>81716</v>
      </c>
    </row>
    <row r="283" spans="1:14" ht="13.5" thickBot="1" x14ac:dyDescent="0.25">
      <c r="A283" s="2" t="s">
        <v>514</v>
      </c>
      <c r="B283" s="1" t="s">
        <v>513</v>
      </c>
      <c r="C283" s="2" t="s">
        <v>29</v>
      </c>
      <c r="D283" s="164">
        <v>0</v>
      </c>
      <c r="E283" s="164">
        <v>0</v>
      </c>
      <c r="F283" s="164">
        <v>100000</v>
      </c>
      <c r="G283" s="164">
        <v>7372</v>
      </c>
      <c r="H283" s="164">
        <v>107372</v>
      </c>
      <c r="I283" s="106">
        <v>14384</v>
      </c>
      <c r="J283" s="165">
        <v>0</v>
      </c>
      <c r="K283" s="165">
        <v>0</v>
      </c>
      <c r="L283" s="165">
        <v>0</v>
      </c>
      <c r="M283" s="164">
        <v>108322</v>
      </c>
      <c r="N283" s="164">
        <v>108322</v>
      </c>
    </row>
    <row r="284" spans="1:14" ht="13.5" thickBot="1" x14ac:dyDescent="0.25">
      <c r="A284" s="2" t="s">
        <v>518</v>
      </c>
      <c r="B284" s="1" t="s">
        <v>517</v>
      </c>
      <c r="C284" s="2" t="s">
        <v>29</v>
      </c>
      <c r="D284" s="164">
        <v>0</v>
      </c>
      <c r="E284" s="164">
        <v>0</v>
      </c>
      <c r="F284" s="164">
        <v>0</v>
      </c>
      <c r="G284" s="164">
        <v>0</v>
      </c>
      <c r="H284" s="164">
        <v>0</v>
      </c>
      <c r="I284" s="106">
        <v>17511</v>
      </c>
      <c r="J284" s="164">
        <v>0</v>
      </c>
      <c r="K284" s="164">
        <v>6848</v>
      </c>
      <c r="L284" s="164">
        <v>7006</v>
      </c>
      <c r="M284" s="165">
        <v>0</v>
      </c>
      <c r="N284" s="164">
        <v>13854</v>
      </c>
    </row>
    <row r="285" spans="1:14" ht="13.5" thickBot="1" x14ac:dyDescent="0.25">
      <c r="A285" s="2" t="s">
        <v>520</v>
      </c>
      <c r="B285" s="1" t="s">
        <v>519</v>
      </c>
      <c r="C285" s="2" t="s">
        <v>29</v>
      </c>
      <c r="D285" s="164">
        <v>0</v>
      </c>
      <c r="E285" s="164">
        <v>0</v>
      </c>
      <c r="F285" s="164">
        <v>0</v>
      </c>
      <c r="G285" s="164">
        <v>0</v>
      </c>
      <c r="H285" s="164">
        <v>0</v>
      </c>
      <c r="I285" s="106">
        <v>15736</v>
      </c>
      <c r="J285" s="164">
        <v>9994</v>
      </c>
      <c r="K285" s="164">
        <v>570</v>
      </c>
      <c r="L285" s="164">
        <v>4103</v>
      </c>
      <c r="M285" s="164">
        <v>0</v>
      </c>
      <c r="N285" s="164">
        <v>14667</v>
      </c>
    </row>
    <row r="286" spans="1:14" ht="13.5" thickBot="1" x14ac:dyDescent="0.25">
      <c r="A286" s="2" t="s">
        <v>524</v>
      </c>
      <c r="B286" s="1" t="s">
        <v>523</v>
      </c>
      <c r="C286" s="2" t="s">
        <v>29</v>
      </c>
      <c r="D286" s="164">
        <v>0</v>
      </c>
      <c r="E286" s="164">
        <v>0</v>
      </c>
      <c r="F286" s="164">
        <v>0</v>
      </c>
      <c r="G286" s="164">
        <v>0</v>
      </c>
      <c r="H286" s="164">
        <v>0</v>
      </c>
      <c r="I286" s="106">
        <v>13097</v>
      </c>
      <c r="J286" s="164">
        <v>5073</v>
      </c>
      <c r="K286" s="165">
        <v>0</v>
      </c>
      <c r="L286" s="164">
        <v>34798</v>
      </c>
      <c r="M286" s="165">
        <v>0</v>
      </c>
      <c r="N286" s="164">
        <v>39871</v>
      </c>
    </row>
    <row r="287" spans="1:14" ht="13.5" thickBot="1" x14ac:dyDescent="0.25">
      <c r="A287" s="2" t="s">
        <v>534</v>
      </c>
      <c r="B287" s="1" t="s">
        <v>533</v>
      </c>
      <c r="C287" s="2" t="s">
        <v>29</v>
      </c>
      <c r="D287" s="164">
        <v>0</v>
      </c>
      <c r="E287" s="164">
        <v>0</v>
      </c>
      <c r="F287" s="164">
        <v>0</v>
      </c>
      <c r="G287" s="164">
        <v>0</v>
      </c>
      <c r="H287" s="164">
        <v>0</v>
      </c>
      <c r="I287" s="106">
        <v>22857</v>
      </c>
      <c r="J287" s="165">
        <v>0</v>
      </c>
      <c r="K287" s="165">
        <v>0</v>
      </c>
      <c r="L287" s="165">
        <v>0</v>
      </c>
      <c r="M287" s="164">
        <v>146692</v>
      </c>
      <c r="N287" s="164">
        <v>146692</v>
      </c>
    </row>
    <row r="288" spans="1:14" ht="13.5" thickBot="1" x14ac:dyDescent="0.25">
      <c r="A288" s="2" t="s">
        <v>548</v>
      </c>
      <c r="B288" s="1" t="s">
        <v>547</v>
      </c>
      <c r="C288" s="2" t="s">
        <v>29</v>
      </c>
      <c r="D288" s="164">
        <v>0</v>
      </c>
      <c r="E288" s="164">
        <v>0</v>
      </c>
      <c r="F288" s="164">
        <v>0</v>
      </c>
      <c r="G288" s="164">
        <v>0</v>
      </c>
      <c r="H288" s="164">
        <v>0</v>
      </c>
      <c r="I288" s="106">
        <v>25686</v>
      </c>
      <c r="J288" s="164">
        <v>0</v>
      </c>
      <c r="K288" s="164">
        <v>0</v>
      </c>
      <c r="L288" s="164">
        <v>0</v>
      </c>
      <c r="M288" s="164">
        <v>0</v>
      </c>
      <c r="N288" s="164">
        <v>0</v>
      </c>
    </row>
    <row r="289" spans="1:14" ht="13.5" thickBot="1" x14ac:dyDescent="0.25">
      <c r="A289" s="2" t="s">
        <v>564</v>
      </c>
      <c r="B289" s="1" t="s">
        <v>563</v>
      </c>
      <c r="C289" s="2" t="s">
        <v>29</v>
      </c>
      <c r="D289" s="164">
        <v>0</v>
      </c>
      <c r="E289" s="164">
        <v>0</v>
      </c>
      <c r="F289" s="164">
        <v>0</v>
      </c>
      <c r="G289" s="164">
        <v>0</v>
      </c>
      <c r="H289" s="164">
        <v>0</v>
      </c>
      <c r="I289" s="106">
        <v>12561</v>
      </c>
      <c r="J289" s="164">
        <v>1200</v>
      </c>
      <c r="K289" s="164">
        <v>500</v>
      </c>
      <c r="L289" s="165">
        <v>0</v>
      </c>
      <c r="M289" s="165">
        <v>0</v>
      </c>
      <c r="N289" s="164">
        <v>1700</v>
      </c>
    </row>
    <row r="290" spans="1:14" ht="13.5" thickBot="1" x14ac:dyDescent="0.25">
      <c r="A290" s="2" t="s">
        <v>574</v>
      </c>
      <c r="B290" s="1" t="s">
        <v>573</v>
      </c>
      <c r="C290" s="2" t="s">
        <v>29</v>
      </c>
      <c r="D290" s="164">
        <v>2000</v>
      </c>
      <c r="E290" s="164">
        <v>0</v>
      </c>
      <c r="F290" s="164">
        <v>84352</v>
      </c>
      <c r="G290" s="164">
        <v>103050</v>
      </c>
      <c r="H290" s="164">
        <v>189402</v>
      </c>
      <c r="I290" s="106">
        <v>24164</v>
      </c>
      <c r="J290" s="164">
        <v>10644</v>
      </c>
      <c r="K290" s="165">
        <v>0</v>
      </c>
      <c r="L290" s="164">
        <v>55848</v>
      </c>
      <c r="M290" s="165">
        <v>0</v>
      </c>
      <c r="N290" s="164">
        <v>66492</v>
      </c>
    </row>
    <row r="291" spans="1:14" ht="13.5" thickBot="1" x14ac:dyDescent="0.25">
      <c r="A291" s="2" t="s">
        <v>576</v>
      </c>
      <c r="B291" s="1" t="s">
        <v>575</v>
      </c>
      <c r="C291" s="2" t="s">
        <v>29</v>
      </c>
      <c r="D291" s="164">
        <v>0</v>
      </c>
      <c r="E291" s="164">
        <v>0</v>
      </c>
      <c r="F291" s="164">
        <v>0</v>
      </c>
      <c r="G291" s="164">
        <v>0</v>
      </c>
      <c r="H291" s="164">
        <v>0</v>
      </c>
      <c r="I291" s="106">
        <v>14230</v>
      </c>
      <c r="J291" s="164">
        <v>0</v>
      </c>
      <c r="K291" s="164">
        <v>2690</v>
      </c>
      <c r="L291" s="164">
        <v>0</v>
      </c>
      <c r="M291" s="165">
        <v>0</v>
      </c>
      <c r="N291" s="164">
        <v>2690</v>
      </c>
    </row>
    <row r="292" spans="1:14" ht="13.5" thickBot="1" x14ac:dyDescent="0.25">
      <c r="A292" s="2" t="s">
        <v>580</v>
      </c>
      <c r="B292" s="1" t="s">
        <v>579</v>
      </c>
      <c r="C292" s="2" t="s">
        <v>29</v>
      </c>
      <c r="D292" s="164">
        <v>0</v>
      </c>
      <c r="E292" s="164">
        <v>0</v>
      </c>
      <c r="F292" s="164">
        <v>0</v>
      </c>
      <c r="G292" s="164">
        <v>0</v>
      </c>
      <c r="H292" s="164">
        <v>0</v>
      </c>
      <c r="I292" s="106">
        <v>20526</v>
      </c>
      <c r="J292" s="164">
        <v>48162</v>
      </c>
      <c r="K292" s="164">
        <v>197498</v>
      </c>
      <c r="L292" s="165">
        <v>0</v>
      </c>
      <c r="M292" s="164">
        <v>19667</v>
      </c>
      <c r="N292" s="164">
        <v>265327</v>
      </c>
    </row>
    <row r="293" spans="1:14" ht="13.5" thickBot="1" x14ac:dyDescent="0.25">
      <c r="A293" s="2" t="s">
        <v>588</v>
      </c>
      <c r="B293" s="1" t="s">
        <v>587</v>
      </c>
      <c r="C293" s="2" t="s">
        <v>29</v>
      </c>
      <c r="D293" s="164">
        <v>0</v>
      </c>
      <c r="E293" s="164">
        <v>0</v>
      </c>
      <c r="F293" s="164">
        <v>201996</v>
      </c>
      <c r="G293" s="164">
        <v>0</v>
      </c>
      <c r="H293" s="164">
        <v>201996</v>
      </c>
      <c r="I293" s="106">
        <v>13579</v>
      </c>
      <c r="J293" s="164">
        <v>0</v>
      </c>
      <c r="K293" s="164">
        <v>0</v>
      </c>
      <c r="L293" s="164">
        <v>0</v>
      </c>
      <c r="M293" s="164">
        <v>0</v>
      </c>
      <c r="N293" s="164">
        <v>0</v>
      </c>
    </row>
    <row r="294" spans="1:14" ht="13.5" thickBot="1" x14ac:dyDescent="0.25">
      <c r="A294" s="2" t="s">
        <v>600</v>
      </c>
      <c r="B294" s="1" t="s">
        <v>599</v>
      </c>
      <c r="C294" s="2" t="s">
        <v>29</v>
      </c>
      <c r="D294" s="164">
        <v>0</v>
      </c>
      <c r="E294" s="164">
        <v>0</v>
      </c>
      <c r="F294" s="164">
        <v>0</v>
      </c>
      <c r="G294" s="164">
        <v>50750</v>
      </c>
      <c r="H294" s="164">
        <v>50750</v>
      </c>
      <c r="I294" s="106">
        <v>16709</v>
      </c>
      <c r="J294" s="164">
        <v>28772</v>
      </c>
      <c r="K294" s="164">
        <v>20000</v>
      </c>
      <c r="L294" s="164">
        <v>2000</v>
      </c>
      <c r="M294" s="165">
        <v>0</v>
      </c>
      <c r="N294" s="164">
        <v>50772</v>
      </c>
    </row>
    <row r="295" spans="1:14" ht="13.5" thickBot="1" x14ac:dyDescent="0.25">
      <c r="A295" s="2" t="s">
        <v>616</v>
      </c>
      <c r="B295" s="1" t="s">
        <v>615</v>
      </c>
      <c r="C295" s="2" t="s">
        <v>29</v>
      </c>
      <c r="D295" s="164">
        <v>0</v>
      </c>
      <c r="E295" s="164">
        <v>0</v>
      </c>
      <c r="F295" s="164">
        <v>0</v>
      </c>
      <c r="G295" s="164">
        <v>0</v>
      </c>
      <c r="H295" s="164">
        <v>0</v>
      </c>
      <c r="I295" s="106">
        <v>12798</v>
      </c>
      <c r="J295" s="164">
        <v>7143</v>
      </c>
      <c r="K295" s="164">
        <v>4708</v>
      </c>
      <c r="L295" s="164">
        <v>2273</v>
      </c>
      <c r="M295" s="164">
        <v>0</v>
      </c>
      <c r="N295" s="164">
        <v>14124</v>
      </c>
    </row>
    <row r="296" spans="1:14" ht="13.5" thickBot="1" x14ac:dyDescent="0.25">
      <c r="A296" s="2" t="s">
        <v>618</v>
      </c>
      <c r="B296" s="1" t="s">
        <v>617</v>
      </c>
      <c r="C296" s="2" t="s">
        <v>29</v>
      </c>
      <c r="D296" s="164">
        <v>0</v>
      </c>
      <c r="E296" s="164">
        <v>0</v>
      </c>
      <c r="F296" s="164">
        <v>243269</v>
      </c>
      <c r="G296" s="164">
        <v>0</v>
      </c>
      <c r="H296" s="164">
        <v>243269</v>
      </c>
      <c r="I296" s="106">
        <v>13912</v>
      </c>
      <c r="J296" s="164">
        <v>2437</v>
      </c>
      <c r="K296" s="164">
        <v>4376</v>
      </c>
      <c r="L296" s="164">
        <v>218758</v>
      </c>
      <c r="M296" s="164">
        <v>0</v>
      </c>
      <c r="N296" s="164">
        <v>225571</v>
      </c>
    </row>
    <row r="297" spans="1:14" ht="13.5" thickBot="1" x14ac:dyDescent="0.25">
      <c r="A297" s="2" t="s">
        <v>622</v>
      </c>
      <c r="B297" s="1" t="s">
        <v>621</v>
      </c>
      <c r="C297" s="2" t="s">
        <v>29</v>
      </c>
      <c r="D297" s="164">
        <v>2000</v>
      </c>
      <c r="E297" s="164">
        <v>9512</v>
      </c>
      <c r="F297" s="164">
        <v>0</v>
      </c>
      <c r="G297" s="164">
        <v>0</v>
      </c>
      <c r="H297" s="164">
        <v>11512</v>
      </c>
      <c r="I297" s="106">
        <v>14878</v>
      </c>
      <c r="J297" s="164">
        <v>15040</v>
      </c>
      <c r="K297" s="164">
        <v>0</v>
      </c>
      <c r="L297" s="164">
        <v>26976</v>
      </c>
      <c r="M297" s="164">
        <v>1875</v>
      </c>
      <c r="N297" s="164">
        <v>43891</v>
      </c>
    </row>
    <row r="298" spans="1:14" ht="13.5" thickBot="1" x14ac:dyDescent="0.25">
      <c r="A298" s="2" t="s">
        <v>658</v>
      </c>
      <c r="B298" s="1" t="s">
        <v>657</v>
      </c>
      <c r="C298" s="2" t="s">
        <v>29</v>
      </c>
      <c r="D298" s="164">
        <v>0</v>
      </c>
      <c r="E298" s="164">
        <v>0</v>
      </c>
      <c r="F298" s="164">
        <v>0</v>
      </c>
      <c r="G298" s="164">
        <v>0</v>
      </c>
      <c r="H298" s="164">
        <v>0</v>
      </c>
      <c r="I298" s="106">
        <v>12486</v>
      </c>
      <c r="J298" s="165">
        <v>0</v>
      </c>
      <c r="K298" s="165">
        <v>0</v>
      </c>
      <c r="L298" s="165">
        <v>0</v>
      </c>
      <c r="M298" s="165">
        <v>0</v>
      </c>
      <c r="N298" s="165">
        <v>0</v>
      </c>
    </row>
    <row r="299" spans="1:14" ht="13.5" thickBot="1" x14ac:dyDescent="0.25">
      <c r="A299" s="2" t="s">
        <v>686</v>
      </c>
      <c r="B299" s="1" t="s">
        <v>685</v>
      </c>
      <c r="C299" s="2" t="s">
        <v>29</v>
      </c>
      <c r="D299" s="164">
        <v>0</v>
      </c>
      <c r="E299" s="164">
        <v>0</v>
      </c>
      <c r="F299" s="164">
        <v>0</v>
      </c>
      <c r="G299" s="164">
        <v>0</v>
      </c>
      <c r="H299" s="164">
        <v>0</v>
      </c>
      <c r="I299" s="106">
        <v>16753</v>
      </c>
      <c r="J299" s="164">
        <v>12186</v>
      </c>
      <c r="K299" s="164">
        <v>1299</v>
      </c>
      <c r="L299" s="164">
        <v>90766</v>
      </c>
      <c r="M299" s="164">
        <v>1020</v>
      </c>
      <c r="N299" s="164">
        <v>105271</v>
      </c>
    </row>
    <row r="300" spans="1:14" ht="13.5" thickBot="1" x14ac:dyDescent="0.25">
      <c r="A300" s="2" t="s">
        <v>728</v>
      </c>
      <c r="B300" s="1" t="s">
        <v>727</v>
      </c>
      <c r="C300" s="2" t="s">
        <v>29</v>
      </c>
      <c r="D300" s="164">
        <v>0</v>
      </c>
      <c r="E300" s="164">
        <v>0</v>
      </c>
      <c r="F300" s="164">
        <v>0</v>
      </c>
      <c r="G300" s="164">
        <v>0</v>
      </c>
      <c r="H300" s="164">
        <v>0</v>
      </c>
      <c r="I300" s="106">
        <v>18260</v>
      </c>
      <c r="J300" s="164">
        <v>9020</v>
      </c>
      <c r="K300" s="164">
        <v>30944</v>
      </c>
      <c r="L300" s="164">
        <v>0</v>
      </c>
      <c r="M300" s="164">
        <v>0</v>
      </c>
      <c r="N300" s="164">
        <v>39964</v>
      </c>
    </row>
    <row r="301" spans="1:14" ht="13.5" thickBot="1" x14ac:dyDescent="0.25">
      <c r="A301" s="2" t="s">
        <v>730</v>
      </c>
      <c r="B301" s="1" t="s">
        <v>729</v>
      </c>
      <c r="C301" s="2" t="s">
        <v>29</v>
      </c>
      <c r="D301" s="164">
        <v>0</v>
      </c>
      <c r="E301" s="164">
        <v>0</v>
      </c>
      <c r="F301" s="164">
        <v>0</v>
      </c>
      <c r="G301" s="164">
        <v>0</v>
      </c>
      <c r="H301" s="164">
        <v>0</v>
      </c>
      <c r="I301" s="106">
        <v>13940</v>
      </c>
      <c r="J301" s="164">
        <v>0</v>
      </c>
      <c r="K301" s="164">
        <v>1500</v>
      </c>
      <c r="L301" s="164">
        <v>0</v>
      </c>
      <c r="M301" s="164">
        <v>0</v>
      </c>
      <c r="N301" s="164">
        <v>1500</v>
      </c>
    </row>
    <row r="302" spans="1:14" ht="13.5" thickBot="1" x14ac:dyDescent="0.25">
      <c r="A302" s="2" t="s">
        <v>736</v>
      </c>
      <c r="B302" s="1" t="s">
        <v>735</v>
      </c>
      <c r="C302" s="2" t="s">
        <v>29</v>
      </c>
      <c r="D302" s="164">
        <v>0</v>
      </c>
      <c r="E302" s="164">
        <v>0</v>
      </c>
      <c r="F302" s="164">
        <v>0</v>
      </c>
      <c r="G302" s="164">
        <v>0</v>
      </c>
      <c r="H302" s="164">
        <v>0</v>
      </c>
      <c r="I302" s="106">
        <v>17937</v>
      </c>
      <c r="J302" s="164">
        <v>21133</v>
      </c>
      <c r="K302" s="164">
        <v>921</v>
      </c>
      <c r="L302" s="164">
        <v>0</v>
      </c>
      <c r="M302" s="164">
        <v>0</v>
      </c>
      <c r="N302" s="164">
        <v>22054</v>
      </c>
    </row>
    <row r="303" spans="1:14" ht="13.5" thickBot="1" x14ac:dyDescent="0.25">
      <c r="A303" s="2" t="s">
        <v>755</v>
      </c>
      <c r="B303" s="1" t="s">
        <v>754</v>
      </c>
      <c r="C303" s="2" t="s">
        <v>29</v>
      </c>
      <c r="D303" s="164">
        <v>0</v>
      </c>
      <c r="E303" s="164">
        <v>0</v>
      </c>
      <c r="F303" s="164">
        <v>0</v>
      </c>
      <c r="G303" s="164">
        <v>0</v>
      </c>
      <c r="H303" s="164">
        <v>0</v>
      </c>
      <c r="I303" s="106">
        <v>18134</v>
      </c>
      <c r="J303" s="164">
        <v>0</v>
      </c>
      <c r="K303" s="164">
        <v>885</v>
      </c>
      <c r="L303" s="164">
        <v>0</v>
      </c>
      <c r="M303" s="164">
        <v>0</v>
      </c>
      <c r="N303" s="164">
        <v>885</v>
      </c>
    </row>
    <row r="304" spans="1:14" ht="13.5" thickBot="1" x14ac:dyDescent="0.25">
      <c r="A304" s="2" t="s">
        <v>767</v>
      </c>
      <c r="B304" s="1" t="s">
        <v>766</v>
      </c>
      <c r="C304" s="2" t="s">
        <v>29</v>
      </c>
      <c r="D304" s="164">
        <v>0</v>
      </c>
      <c r="E304" s="164">
        <v>0</v>
      </c>
      <c r="F304" s="164">
        <v>12836</v>
      </c>
      <c r="G304" s="164">
        <v>0</v>
      </c>
      <c r="H304" s="164">
        <v>12836</v>
      </c>
      <c r="I304" s="106">
        <v>16881</v>
      </c>
      <c r="J304" s="164">
        <v>0</v>
      </c>
      <c r="K304" s="164">
        <v>12836</v>
      </c>
      <c r="L304" s="164">
        <v>0</v>
      </c>
      <c r="M304" s="164">
        <v>0</v>
      </c>
      <c r="N304" s="164">
        <v>12836</v>
      </c>
    </row>
    <row r="305" spans="1:14" ht="13.5" thickBot="1" x14ac:dyDescent="0.25">
      <c r="A305" s="2" t="s">
        <v>771</v>
      </c>
      <c r="B305" s="1" t="s">
        <v>770</v>
      </c>
      <c r="C305" s="2" t="s">
        <v>29</v>
      </c>
      <c r="D305" s="164">
        <v>0</v>
      </c>
      <c r="E305" s="164">
        <v>5187</v>
      </c>
      <c r="F305" s="164">
        <v>0</v>
      </c>
      <c r="G305" s="164">
        <v>0</v>
      </c>
      <c r="H305" s="164">
        <v>5187</v>
      </c>
      <c r="I305" s="106">
        <v>14253</v>
      </c>
      <c r="J305" s="164">
        <v>23670</v>
      </c>
      <c r="K305" s="164">
        <v>21082</v>
      </c>
      <c r="L305" s="164">
        <v>392488</v>
      </c>
      <c r="M305" s="165">
        <v>0</v>
      </c>
      <c r="N305" s="164">
        <v>437240</v>
      </c>
    </row>
    <row r="306" spans="1:14" ht="13.5" thickBot="1" x14ac:dyDescent="0.25">
      <c r="A306" s="2" t="s">
        <v>791</v>
      </c>
      <c r="B306" s="1" t="s">
        <v>790</v>
      </c>
      <c r="C306" s="2" t="s">
        <v>29</v>
      </c>
      <c r="D306" s="164">
        <v>0</v>
      </c>
      <c r="E306" s="164">
        <v>0</v>
      </c>
      <c r="F306" s="164">
        <v>0</v>
      </c>
      <c r="G306" s="164">
        <v>55000</v>
      </c>
      <c r="H306" s="164">
        <v>55000</v>
      </c>
      <c r="I306" s="106">
        <v>12238</v>
      </c>
      <c r="J306" s="164">
        <v>2627</v>
      </c>
      <c r="K306" s="164">
        <v>40084</v>
      </c>
      <c r="L306" s="164">
        <v>900</v>
      </c>
      <c r="M306" s="164">
        <v>0</v>
      </c>
      <c r="N306" s="164">
        <v>43611</v>
      </c>
    </row>
    <row r="307" spans="1:14" ht="13.5" thickBot="1" x14ac:dyDescent="0.25">
      <c r="A307" s="2" t="s">
        <v>813</v>
      </c>
      <c r="B307" s="1" t="s">
        <v>812</v>
      </c>
      <c r="C307" s="2" t="s">
        <v>29</v>
      </c>
      <c r="D307" s="164">
        <v>0</v>
      </c>
      <c r="E307" s="164">
        <v>0</v>
      </c>
      <c r="F307" s="164">
        <v>0</v>
      </c>
      <c r="G307" s="164">
        <v>0</v>
      </c>
      <c r="H307" s="164">
        <v>0</v>
      </c>
      <c r="I307" s="106">
        <v>17593</v>
      </c>
      <c r="J307" s="164">
        <v>0</v>
      </c>
      <c r="K307" s="164">
        <v>0</v>
      </c>
      <c r="L307" s="164">
        <v>0</v>
      </c>
      <c r="M307" s="164">
        <v>0</v>
      </c>
      <c r="N307" s="164">
        <v>0</v>
      </c>
    </row>
    <row r="308" spans="1:14" ht="13.5" thickBot="1" x14ac:dyDescent="0.25">
      <c r="A308" s="2" t="s">
        <v>839</v>
      </c>
      <c r="B308" s="1" t="s">
        <v>838</v>
      </c>
      <c r="C308" s="2" t="s">
        <v>29</v>
      </c>
      <c r="D308" s="164">
        <v>0</v>
      </c>
      <c r="E308" s="164">
        <v>0</v>
      </c>
      <c r="F308" s="164">
        <v>0</v>
      </c>
      <c r="G308" s="164">
        <v>0</v>
      </c>
      <c r="H308" s="164">
        <v>0</v>
      </c>
      <c r="I308" s="106">
        <v>13498</v>
      </c>
      <c r="J308" s="164">
        <v>0</v>
      </c>
      <c r="K308" s="164">
        <v>0</v>
      </c>
      <c r="L308" s="164">
        <v>0</v>
      </c>
      <c r="M308" s="164">
        <v>0</v>
      </c>
      <c r="N308" s="164">
        <v>0</v>
      </c>
    </row>
    <row r="309" spans="1:14" ht="13.5" thickBot="1" x14ac:dyDescent="0.25">
      <c r="A309" s="2" t="s">
        <v>44</v>
      </c>
      <c r="B309" s="1" t="s">
        <v>43</v>
      </c>
      <c r="C309" s="2" t="s">
        <v>45</v>
      </c>
      <c r="D309" s="164">
        <v>0</v>
      </c>
      <c r="E309" s="164">
        <v>0</v>
      </c>
      <c r="F309" s="164">
        <v>0</v>
      </c>
      <c r="G309" s="164">
        <v>0</v>
      </c>
      <c r="H309" s="164">
        <v>0</v>
      </c>
      <c r="I309" s="106">
        <v>28210</v>
      </c>
      <c r="J309" s="164">
        <v>0</v>
      </c>
      <c r="K309" s="164">
        <v>0</v>
      </c>
      <c r="L309" s="164">
        <v>16519</v>
      </c>
      <c r="M309" s="164">
        <v>0</v>
      </c>
      <c r="N309" s="164">
        <v>16519</v>
      </c>
    </row>
    <row r="310" spans="1:14" ht="13.5" thickBot="1" x14ac:dyDescent="0.25">
      <c r="A310" s="2" t="s">
        <v>47</v>
      </c>
      <c r="B310" s="1" t="s">
        <v>46</v>
      </c>
      <c r="C310" s="2" t="s">
        <v>45</v>
      </c>
      <c r="D310" s="164">
        <v>0</v>
      </c>
      <c r="E310" s="164">
        <v>0</v>
      </c>
      <c r="F310" s="164">
        <v>0</v>
      </c>
      <c r="G310" s="164">
        <v>0</v>
      </c>
      <c r="H310" s="164">
        <v>0</v>
      </c>
      <c r="I310" s="106">
        <v>28283</v>
      </c>
      <c r="J310" s="164">
        <v>2894</v>
      </c>
      <c r="K310" s="164">
        <v>11775</v>
      </c>
      <c r="L310" s="164">
        <v>0</v>
      </c>
      <c r="M310" s="164">
        <v>0</v>
      </c>
      <c r="N310" s="164">
        <v>14669</v>
      </c>
    </row>
    <row r="311" spans="1:14" ht="13.5" thickBot="1" x14ac:dyDescent="0.25">
      <c r="A311" s="2" t="s">
        <v>55</v>
      </c>
      <c r="B311" s="1" t="s">
        <v>54</v>
      </c>
      <c r="C311" s="2" t="s">
        <v>45</v>
      </c>
      <c r="D311" s="164">
        <v>0</v>
      </c>
      <c r="E311" s="164">
        <v>4720</v>
      </c>
      <c r="F311" s="164">
        <v>0</v>
      </c>
      <c r="G311" s="164">
        <v>200</v>
      </c>
      <c r="H311" s="164">
        <v>4920</v>
      </c>
      <c r="I311" s="106">
        <v>29598</v>
      </c>
      <c r="J311" s="164">
        <v>0</v>
      </c>
      <c r="K311" s="164">
        <v>17875</v>
      </c>
      <c r="L311" s="165">
        <v>0</v>
      </c>
      <c r="M311" s="164">
        <v>78881</v>
      </c>
      <c r="N311" s="164">
        <v>96756</v>
      </c>
    </row>
    <row r="312" spans="1:14" ht="13.5" thickBot="1" x14ac:dyDescent="0.25">
      <c r="A312" s="2" t="s">
        <v>80</v>
      </c>
      <c r="B312" s="1" t="s">
        <v>79</v>
      </c>
      <c r="C312" s="2" t="s">
        <v>45</v>
      </c>
      <c r="D312" s="164">
        <v>0</v>
      </c>
      <c r="E312" s="164">
        <v>0</v>
      </c>
      <c r="F312" s="164">
        <v>0</v>
      </c>
      <c r="G312" s="164">
        <v>32724</v>
      </c>
      <c r="H312" s="164">
        <v>32724</v>
      </c>
      <c r="I312" s="106">
        <v>35350</v>
      </c>
      <c r="J312" s="164">
        <v>69097</v>
      </c>
      <c r="K312" s="164">
        <v>70174</v>
      </c>
      <c r="L312" s="164">
        <v>3496</v>
      </c>
      <c r="M312" s="164">
        <v>0</v>
      </c>
      <c r="N312" s="164">
        <v>142767</v>
      </c>
    </row>
    <row r="313" spans="1:14" ht="13.5" thickBot="1" x14ac:dyDescent="0.25">
      <c r="A313" s="2" t="s">
        <v>92</v>
      </c>
      <c r="B313" s="1" t="s">
        <v>91</v>
      </c>
      <c r="C313" s="2" t="s">
        <v>45</v>
      </c>
      <c r="D313" s="164">
        <v>0</v>
      </c>
      <c r="E313" s="164">
        <v>0</v>
      </c>
      <c r="F313" s="164">
        <v>119181</v>
      </c>
      <c r="G313" s="164">
        <v>0</v>
      </c>
      <c r="H313" s="164">
        <v>119181</v>
      </c>
      <c r="I313" s="106">
        <v>42361</v>
      </c>
      <c r="J313" s="165">
        <v>0</v>
      </c>
      <c r="K313" s="165">
        <v>0</v>
      </c>
      <c r="L313" s="164">
        <v>1292524</v>
      </c>
      <c r="M313" s="165">
        <v>0</v>
      </c>
      <c r="N313" s="164">
        <v>1292524</v>
      </c>
    </row>
    <row r="314" spans="1:14" ht="13.5" thickBot="1" x14ac:dyDescent="0.25">
      <c r="A314" s="2" t="s">
        <v>114</v>
      </c>
      <c r="B314" s="1" t="s">
        <v>113</v>
      </c>
      <c r="C314" s="2" t="s">
        <v>45</v>
      </c>
      <c r="D314" s="164">
        <v>0</v>
      </c>
      <c r="E314" s="164">
        <v>0</v>
      </c>
      <c r="F314" s="164">
        <v>0</v>
      </c>
      <c r="G314" s="164">
        <v>0</v>
      </c>
      <c r="H314" s="164">
        <v>0</v>
      </c>
      <c r="I314" s="106">
        <v>41070</v>
      </c>
      <c r="J314" s="164">
        <v>260100</v>
      </c>
      <c r="K314" s="164">
        <v>0</v>
      </c>
      <c r="L314" s="164">
        <v>232000</v>
      </c>
      <c r="M314" s="164">
        <v>0</v>
      </c>
      <c r="N314" s="164">
        <v>492100</v>
      </c>
    </row>
    <row r="315" spans="1:14" ht="13.5" thickBot="1" x14ac:dyDescent="0.25">
      <c r="A315" s="2" t="s">
        <v>120</v>
      </c>
      <c r="B315" s="1" t="s">
        <v>119</v>
      </c>
      <c r="C315" s="2" t="s">
        <v>45</v>
      </c>
      <c r="D315" s="164">
        <v>0</v>
      </c>
      <c r="E315" s="164">
        <v>0</v>
      </c>
      <c r="F315" s="164">
        <v>234848</v>
      </c>
      <c r="G315" s="164">
        <v>0</v>
      </c>
      <c r="H315" s="164">
        <v>234848</v>
      </c>
      <c r="I315" s="106">
        <v>46905</v>
      </c>
      <c r="J315" s="164">
        <v>53445</v>
      </c>
      <c r="K315" s="165">
        <v>0</v>
      </c>
      <c r="L315" s="164">
        <v>27371</v>
      </c>
      <c r="M315" s="164">
        <v>2083</v>
      </c>
      <c r="N315" s="164">
        <v>82899</v>
      </c>
    </row>
    <row r="316" spans="1:14" ht="13.5" thickBot="1" x14ac:dyDescent="0.25">
      <c r="A316" s="2" t="s">
        <v>130</v>
      </c>
      <c r="B316" s="1" t="s">
        <v>129</v>
      </c>
      <c r="C316" s="2" t="s">
        <v>45</v>
      </c>
      <c r="D316" s="164">
        <v>0</v>
      </c>
      <c r="E316" s="164">
        <v>0</v>
      </c>
      <c r="F316" s="164">
        <v>957</v>
      </c>
      <c r="G316" s="164">
        <v>0</v>
      </c>
      <c r="H316" s="164">
        <v>957</v>
      </c>
      <c r="I316" s="106">
        <v>43254</v>
      </c>
      <c r="J316" s="164">
        <v>0</v>
      </c>
      <c r="K316" s="164">
        <v>9030</v>
      </c>
      <c r="L316" s="164">
        <v>147887</v>
      </c>
      <c r="M316" s="164">
        <v>20176</v>
      </c>
      <c r="N316" s="164">
        <v>177093</v>
      </c>
    </row>
    <row r="317" spans="1:14" ht="13.5" thickBot="1" x14ac:dyDescent="0.25">
      <c r="A317" s="2" t="s">
        <v>142</v>
      </c>
      <c r="B317" s="1" t="s">
        <v>141</v>
      </c>
      <c r="C317" s="2" t="s">
        <v>45</v>
      </c>
      <c r="D317" s="164">
        <v>0</v>
      </c>
      <c r="E317" s="164">
        <v>0</v>
      </c>
      <c r="F317" s="164">
        <v>0</v>
      </c>
      <c r="G317" s="164">
        <v>1493</v>
      </c>
      <c r="H317" s="164">
        <v>1493</v>
      </c>
      <c r="I317" s="106">
        <v>35087</v>
      </c>
      <c r="J317" s="164">
        <v>4176</v>
      </c>
      <c r="K317" s="164">
        <v>10622</v>
      </c>
      <c r="L317" s="164">
        <v>0</v>
      </c>
      <c r="M317" s="164">
        <v>1364</v>
      </c>
      <c r="N317" s="164">
        <v>16162</v>
      </c>
    </row>
    <row r="318" spans="1:14" ht="13.5" thickBot="1" x14ac:dyDescent="0.25">
      <c r="A318" s="2" t="s">
        <v>158</v>
      </c>
      <c r="B318" s="1" t="s">
        <v>157</v>
      </c>
      <c r="C318" s="2" t="s">
        <v>45</v>
      </c>
      <c r="D318" s="164">
        <v>0</v>
      </c>
      <c r="E318" s="164">
        <v>0</v>
      </c>
      <c r="F318" s="164">
        <v>0</v>
      </c>
      <c r="G318" s="164">
        <v>0</v>
      </c>
      <c r="H318" s="164">
        <v>0</v>
      </c>
      <c r="I318" s="106">
        <v>38002</v>
      </c>
      <c r="J318" s="164">
        <v>0</v>
      </c>
      <c r="K318" s="164">
        <v>4261</v>
      </c>
      <c r="L318" s="164">
        <v>0</v>
      </c>
      <c r="M318" s="164">
        <v>48090</v>
      </c>
      <c r="N318" s="164">
        <v>52351</v>
      </c>
    </row>
    <row r="319" spans="1:14" ht="13.5" thickBot="1" x14ac:dyDescent="0.25">
      <c r="A319" s="2" t="s">
        <v>178</v>
      </c>
      <c r="B319" s="1" t="s">
        <v>177</v>
      </c>
      <c r="C319" s="2" t="s">
        <v>45</v>
      </c>
      <c r="D319" s="164">
        <v>0</v>
      </c>
      <c r="E319" s="164">
        <v>0</v>
      </c>
      <c r="F319" s="164">
        <v>0</v>
      </c>
      <c r="G319" s="164">
        <v>12386</v>
      </c>
      <c r="H319" s="164">
        <v>12386</v>
      </c>
      <c r="I319" s="106">
        <v>43381</v>
      </c>
      <c r="J319" s="164">
        <v>30670</v>
      </c>
      <c r="K319" s="164">
        <v>14329</v>
      </c>
      <c r="L319" s="164">
        <v>0</v>
      </c>
      <c r="M319" s="164">
        <v>0</v>
      </c>
      <c r="N319" s="164">
        <v>44999</v>
      </c>
    </row>
    <row r="320" spans="1:14" ht="13.5" thickBot="1" x14ac:dyDescent="0.25">
      <c r="A320" s="2" t="s">
        <v>182</v>
      </c>
      <c r="B320" s="1" t="s">
        <v>181</v>
      </c>
      <c r="C320" s="2" t="s">
        <v>45</v>
      </c>
      <c r="D320" s="164">
        <v>0</v>
      </c>
      <c r="E320" s="164">
        <v>0</v>
      </c>
      <c r="F320" s="164">
        <v>0</v>
      </c>
      <c r="G320" s="164">
        <v>0</v>
      </c>
      <c r="H320" s="164">
        <v>0</v>
      </c>
      <c r="I320" s="106">
        <v>35563</v>
      </c>
      <c r="J320" s="165">
        <v>0</v>
      </c>
      <c r="K320" s="164">
        <v>88596</v>
      </c>
      <c r="L320" s="164">
        <v>91432</v>
      </c>
      <c r="M320" s="165">
        <v>0</v>
      </c>
      <c r="N320" s="164">
        <v>180028</v>
      </c>
    </row>
    <row r="321" spans="1:14" ht="13.5" thickBot="1" x14ac:dyDescent="0.25">
      <c r="A321" s="2" t="s">
        <v>196</v>
      </c>
      <c r="B321" s="1" t="s">
        <v>195</v>
      </c>
      <c r="C321" s="2" t="s">
        <v>45</v>
      </c>
      <c r="D321" s="164">
        <v>0</v>
      </c>
      <c r="E321" s="164">
        <v>0</v>
      </c>
      <c r="F321" s="164">
        <v>0</v>
      </c>
      <c r="G321" s="164">
        <v>0</v>
      </c>
      <c r="H321" s="164">
        <v>0</v>
      </c>
      <c r="I321" s="106">
        <v>40186</v>
      </c>
      <c r="J321" s="165">
        <v>0</v>
      </c>
      <c r="K321" s="165">
        <v>0</v>
      </c>
      <c r="L321" s="164">
        <v>500853</v>
      </c>
      <c r="M321" s="165">
        <v>0</v>
      </c>
      <c r="N321" s="164">
        <v>500853</v>
      </c>
    </row>
    <row r="322" spans="1:14" ht="13.5" thickBot="1" x14ac:dyDescent="0.25">
      <c r="A322" s="2" t="s">
        <v>198</v>
      </c>
      <c r="B322" s="1" t="s">
        <v>197</v>
      </c>
      <c r="C322" s="2" t="s">
        <v>45</v>
      </c>
      <c r="D322" s="164">
        <v>0</v>
      </c>
      <c r="E322" s="164">
        <v>0</v>
      </c>
      <c r="F322" s="164">
        <v>0</v>
      </c>
      <c r="G322" s="164">
        <v>0</v>
      </c>
      <c r="H322" s="164">
        <v>0</v>
      </c>
      <c r="I322" s="106">
        <v>28263</v>
      </c>
      <c r="J322" s="164">
        <v>14097</v>
      </c>
      <c r="K322" s="164">
        <v>15000</v>
      </c>
      <c r="L322" s="164">
        <v>10350</v>
      </c>
      <c r="M322" s="165">
        <v>0</v>
      </c>
      <c r="N322" s="164">
        <v>39447</v>
      </c>
    </row>
    <row r="323" spans="1:14" ht="13.5" thickBot="1" x14ac:dyDescent="0.25">
      <c r="A323" s="2" t="s">
        <v>208</v>
      </c>
      <c r="B323" s="1" t="s">
        <v>207</v>
      </c>
      <c r="C323" s="2" t="s">
        <v>45</v>
      </c>
      <c r="D323" s="164">
        <v>0</v>
      </c>
      <c r="E323" s="164">
        <v>0</v>
      </c>
      <c r="F323" s="164">
        <v>0</v>
      </c>
      <c r="G323" s="164">
        <v>0</v>
      </c>
      <c r="H323" s="164">
        <v>0</v>
      </c>
      <c r="I323" s="106">
        <v>26391</v>
      </c>
      <c r="J323" s="164">
        <v>44360</v>
      </c>
      <c r="K323" s="164">
        <v>16166</v>
      </c>
      <c r="L323" s="164">
        <v>436294</v>
      </c>
      <c r="M323" s="164">
        <v>0</v>
      </c>
      <c r="N323" s="164">
        <v>496820</v>
      </c>
    </row>
    <row r="324" spans="1:14" ht="13.5" thickBot="1" x14ac:dyDescent="0.25">
      <c r="A324" s="2" t="s">
        <v>227</v>
      </c>
      <c r="B324" s="1" t="s">
        <v>226</v>
      </c>
      <c r="C324" s="2" t="s">
        <v>45</v>
      </c>
      <c r="D324" s="164">
        <v>0</v>
      </c>
      <c r="E324" s="164">
        <v>0</v>
      </c>
      <c r="F324" s="164">
        <v>0</v>
      </c>
      <c r="G324" s="164">
        <v>48664</v>
      </c>
      <c r="H324" s="164">
        <v>48664</v>
      </c>
      <c r="I324" s="106">
        <v>32799</v>
      </c>
      <c r="J324" s="164">
        <v>0</v>
      </c>
      <c r="K324" s="164">
        <v>0</v>
      </c>
      <c r="L324" s="164">
        <v>0</v>
      </c>
      <c r="M324" s="164">
        <v>0</v>
      </c>
      <c r="N324" s="164">
        <v>0</v>
      </c>
    </row>
    <row r="325" spans="1:14" ht="13.5" thickBot="1" x14ac:dyDescent="0.25">
      <c r="A325" s="2" t="s">
        <v>239</v>
      </c>
      <c r="B325" s="1" t="s">
        <v>238</v>
      </c>
      <c r="C325" s="2" t="s">
        <v>45</v>
      </c>
      <c r="D325" s="164">
        <v>0</v>
      </c>
      <c r="E325" s="164">
        <v>0</v>
      </c>
      <c r="F325" s="164">
        <v>0</v>
      </c>
      <c r="G325" s="164">
        <v>0</v>
      </c>
      <c r="H325" s="164">
        <v>0</v>
      </c>
      <c r="I325" s="106">
        <v>26168</v>
      </c>
      <c r="J325" s="164">
        <v>0</v>
      </c>
      <c r="K325" s="164">
        <v>0</v>
      </c>
      <c r="L325" s="164">
        <v>6500</v>
      </c>
      <c r="M325" s="164">
        <v>0</v>
      </c>
      <c r="N325" s="164">
        <v>6500</v>
      </c>
    </row>
    <row r="326" spans="1:14" ht="13.5" thickBot="1" x14ac:dyDescent="0.25">
      <c r="A326" s="2" t="s">
        <v>251</v>
      </c>
      <c r="B326" s="1" t="s">
        <v>250</v>
      </c>
      <c r="C326" s="2" t="s">
        <v>45</v>
      </c>
      <c r="D326" s="164">
        <v>0</v>
      </c>
      <c r="E326" s="164">
        <v>0</v>
      </c>
      <c r="F326" s="164">
        <v>0</v>
      </c>
      <c r="G326" s="164">
        <v>49704</v>
      </c>
      <c r="H326" s="164">
        <v>49704</v>
      </c>
      <c r="I326" s="106">
        <v>48579</v>
      </c>
      <c r="J326" s="164">
        <v>65657</v>
      </c>
      <c r="K326" s="164">
        <v>0</v>
      </c>
      <c r="L326" s="164">
        <v>0</v>
      </c>
      <c r="M326" s="164">
        <v>0</v>
      </c>
      <c r="N326" s="164">
        <v>65657</v>
      </c>
    </row>
    <row r="327" spans="1:14" ht="13.5" thickBot="1" x14ac:dyDescent="0.25">
      <c r="A327" s="2" t="s">
        <v>253</v>
      </c>
      <c r="B327" s="1" t="s">
        <v>252</v>
      </c>
      <c r="C327" s="2" t="s">
        <v>45</v>
      </c>
      <c r="D327" s="164">
        <v>0</v>
      </c>
      <c r="E327" s="164">
        <v>0</v>
      </c>
      <c r="F327" s="164">
        <v>0</v>
      </c>
      <c r="G327" s="164">
        <v>0</v>
      </c>
      <c r="H327" s="164">
        <v>0</v>
      </c>
      <c r="I327" s="106">
        <v>32442</v>
      </c>
      <c r="J327" s="164">
        <v>0</v>
      </c>
      <c r="K327" s="164">
        <v>0</v>
      </c>
      <c r="L327" s="164">
        <v>0</v>
      </c>
      <c r="M327" s="164">
        <v>0</v>
      </c>
      <c r="N327" s="164">
        <v>0</v>
      </c>
    </row>
    <row r="328" spans="1:14" ht="13.5" thickBot="1" x14ac:dyDescent="0.25">
      <c r="A328" s="2" t="s">
        <v>313</v>
      </c>
      <c r="B328" s="1" t="s">
        <v>312</v>
      </c>
      <c r="C328" s="2" t="s">
        <v>45</v>
      </c>
      <c r="D328" s="164">
        <v>0</v>
      </c>
      <c r="E328" s="164">
        <v>0</v>
      </c>
      <c r="F328" s="164">
        <v>0</v>
      </c>
      <c r="G328" s="164">
        <v>0</v>
      </c>
      <c r="H328" s="164">
        <v>0</v>
      </c>
      <c r="I328" s="106">
        <v>27692</v>
      </c>
      <c r="J328" s="164">
        <v>0</v>
      </c>
      <c r="K328" s="164">
        <v>0</v>
      </c>
      <c r="L328" s="164">
        <v>0</v>
      </c>
      <c r="M328" s="164">
        <v>0</v>
      </c>
      <c r="N328" s="164">
        <v>0</v>
      </c>
    </row>
    <row r="329" spans="1:14" ht="13.5" thickBot="1" x14ac:dyDescent="0.25">
      <c r="A329" s="2" t="s">
        <v>321</v>
      </c>
      <c r="B329" s="1" t="s">
        <v>320</v>
      </c>
      <c r="C329" s="2" t="s">
        <v>45</v>
      </c>
      <c r="D329" s="164">
        <v>0</v>
      </c>
      <c r="E329" s="164">
        <v>0</v>
      </c>
      <c r="F329" s="164">
        <v>0</v>
      </c>
      <c r="G329" s="164">
        <v>0</v>
      </c>
      <c r="H329" s="164">
        <v>0</v>
      </c>
      <c r="I329" s="106">
        <v>46985</v>
      </c>
      <c r="J329" s="164">
        <v>0</v>
      </c>
      <c r="K329" s="164">
        <v>565</v>
      </c>
      <c r="L329" s="164">
        <v>0</v>
      </c>
      <c r="M329" s="164">
        <v>1056</v>
      </c>
      <c r="N329" s="164">
        <v>1621</v>
      </c>
    </row>
    <row r="330" spans="1:14" ht="13.5" thickBot="1" x14ac:dyDescent="0.25">
      <c r="A330" s="2" t="s">
        <v>341</v>
      </c>
      <c r="B330" s="1" t="s">
        <v>340</v>
      </c>
      <c r="C330" s="2" t="s">
        <v>45</v>
      </c>
      <c r="D330" s="164">
        <v>0</v>
      </c>
      <c r="E330" s="164">
        <v>0</v>
      </c>
      <c r="F330" s="164">
        <v>0</v>
      </c>
      <c r="G330" s="164">
        <v>0</v>
      </c>
      <c r="H330" s="164">
        <v>0</v>
      </c>
      <c r="I330" s="106">
        <v>40898</v>
      </c>
      <c r="J330" s="164">
        <v>0</v>
      </c>
      <c r="K330" s="164">
        <v>0</v>
      </c>
      <c r="L330" s="164">
        <v>199664</v>
      </c>
      <c r="M330" s="164">
        <v>0</v>
      </c>
      <c r="N330" s="164">
        <v>199664</v>
      </c>
    </row>
    <row r="331" spans="1:14" ht="13.5" thickBot="1" x14ac:dyDescent="0.25">
      <c r="A331" s="2" t="s">
        <v>401</v>
      </c>
      <c r="B331" s="1" t="s">
        <v>400</v>
      </c>
      <c r="C331" s="2" t="s">
        <v>45</v>
      </c>
      <c r="D331" s="164">
        <v>0</v>
      </c>
      <c r="E331" s="164">
        <v>0</v>
      </c>
      <c r="F331" s="164">
        <v>0</v>
      </c>
      <c r="G331" s="164">
        <v>0</v>
      </c>
      <c r="H331" s="164">
        <v>0</v>
      </c>
      <c r="I331" s="106">
        <v>41786</v>
      </c>
      <c r="J331" s="164">
        <v>0</v>
      </c>
      <c r="K331" s="164">
        <v>30620</v>
      </c>
      <c r="L331" s="164">
        <v>0</v>
      </c>
      <c r="M331" s="164">
        <v>0</v>
      </c>
      <c r="N331" s="164">
        <v>30620</v>
      </c>
    </row>
    <row r="332" spans="1:14" ht="13.5" thickBot="1" x14ac:dyDescent="0.25">
      <c r="A332" s="2" t="s">
        <v>445</v>
      </c>
      <c r="B332" s="1" t="s">
        <v>444</v>
      </c>
      <c r="C332" s="2" t="s">
        <v>45</v>
      </c>
      <c r="D332" s="164">
        <v>0</v>
      </c>
      <c r="E332" s="164">
        <v>0</v>
      </c>
      <c r="F332" s="164">
        <v>0</v>
      </c>
      <c r="G332" s="164">
        <v>0</v>
      </c>
      <c r="H332" s="164">
        <v>0</v>
      </c>
      <c r="I332" s="106">
        <v>40771</v>
      </c>
      <c r="J332" s="164">
        <v>0</v>
      </c>
      <c r="K332" s="164">
        <v>0</v>
      </c>
      <c r="L332" s="164">
        <v>26725</v>
      </c>
      <c r="M332" s="164">
        <v>31239</v>
      </c>
      <c r="N332" s="164">
        <v>57964</v>
      </c>
    </row>
    <row r="333" spans="1:14" ht="13.5" thickBot="1" x14ac:dyDescent="0.25">
      <c r="A333" s="2" t="s">
        <v>451</v>
      </c>
      <c r="B333" s="1" t="s">
        <v>450</v>
      </c>
      <c r="C333" s="2" t="s">
        <v>45</v>
      </c>
      <c r="D333" s="164">
        <v>0</v>
      </c>
      <c r="E333" s="164">
        <v>0</v>
      </c>
      <c r="F333" s="164">
        <v>0</v>
      </c>
      <c r="G333" s="164">
        <v>0</v>
      </c>
      <c r="H333" s="164">
        <v>0</v>
      </c>
      <c r="I333" s="106">
        <v>38144</v>
      </c>
      <c r="J333" s="164">
        <v>40000</v>
      </c>
      <c r="K333" s="164">
        <v>0</v>
      </c>
      <c r="L333" s="164">
        <v>11750</v>
      </c>
      <c r="M333" s="164">
        <v>0</v>
      </c>
      <c r="N333" s="164">
        <v>51750</v>
      </c>
    </row>
    <row r="334" spans="1:14" ht="13.5" thickBot="1" x14ac:dyDescent="0.25">
      <c r="A334" s="2" t="s">
        <v>463</v>
      </c>
      <c r="B334" s="1" t="s">
        <v>462</v>
      </c>
      <c r="C334" s="2" t="s">
        <v>45</v>
      </c>
      <c r="D334" s="164">
        <v>0</v>
      </c>
      <c r="E334" s="164">
        <v>0</v>
      </c>
      <c r="F334" s="164">
        <v>0</v>
      </c>
      <c r="G334" s="164">
        <v>0</v>
      </c>
      <c r="H334" s="164">
        <v>0</v>
      </c>
      <c r="I334" s="106">
        <v>35540</v>
      </c>
      <c r="J334" s="164">
        <v>14105</v>
      </c>
      <c r="K334" s="164">
        <v>49432</v>
      </c>
      <c r="L334" s="164">
        <v>16458</v>
      </c>
      <c r="M334" s="165">
        <v>0</v>
      </c>
      <c r="N334" s="164">
        <v>79995</v>
      </c>
    </row>
    <row r="335" spans="1:14" ht="13.5" thickBot="1" x14ac:dyDescent="0.25">
      <c r="A335" s="2" t="s">
        <v>480</v>
      </c>
      <c r="B335" s="1" t="s">
        <v>479</v>
      </c>
      <c r="C335" s="2" t="s">
        <v>45</v>
      </c>
      <c r="D335" s="164">
        <v>0</v>
      </c>
      <c r="E335" s="164">
        <v>0</v>
      </c>
      <c r="F335" s="164">
        <v>0</v>
      </c>
      <c r="G335" s="164">
        <v>0</v>
      </c>
      <c r="H335" s="164">
        <v>0</v>
      </c>
      <c r="I335" s="106">
        <v>29694</v>
      </c>
      <c r="J335" s="164">
        <v>0</v>
      </c>
      <c r="K335" s="164">
        <v>0</v>
      </c>
      <c r="L335" s="164">
        <v>0</v>
      </c>
      <c r="M335" s="164">
        <v>0</v>
      </c>
      <c r="N335" s="164">
        <v>0</v>
      </c>
    </row>
    <row r="336" spans="1:14" ht="13.5" thickBot="1" x14ac:dyDescent="0.25">
      <c r="A336" s="2" t="s">
        <v>500</v>
      </c>
      <c r="B336" s="1" t="s">
        <v>499</v>
      </c>
      <c r="C336" s="2" t="s">
        <v>45</v>
      </c>
      <c r="D336" s="164">
        <v>0</v>
      </c>
      <c r="E336" s="164">
        <v>0</v>
      </c>
      <c r="F336" s="164">
        <v>0</v>
      </c>
      <c r="G336" s="164">
        <v>0</v>
      </c>
      <c r="H336" s="164">
        <v>0</v>
      </c>
      <c r="I336" s="106">
        <v>28646</v>
      </c>
      <c r="J336" s="165">
        <v>0</v>
      </c>
      <c r="K336" s="164">
        <v>19768</v>
      </c>
      <c r="L336" s="164">
        <v>28308</v>
      </c>
      <c r="M336" s="165">
        <v>0</v>
      </c>
      <c r="N336" s="164">
        <v>48076</v>
      </c>
    </row>
    <row r="337" spans="1:14" ht="13.5" thickBot="1" x14ac:dyDescent="0.25">
      <c r="A337" s="2" t="s">
        <v>556</v>
      </c>
      <c r="B337" s="1" t="s">
        <v>555</v>
      </c>
      <c r="C337" s="2" t="s">
        <v>45</v>
      </c>
      <c r="D337" s="164">
        <v>0</v>
      </c>
      <c r="E337" s="164">
        <v>0</v>
      </c>
      <c r="F337" s="164">
        <v>0</v>
      </c>
      <c r="G337" s="164">
        <v>0</v>
      </c>
      <c r="H337" s="164">
        <v>0</v>
      </c>
      <c r="I337" s="106">
        <v>34467</v>
      </c>
      <c r="J337" s="165">
        <v>0</v>
      </c>
      <c r="K337" s="165">
        <v>0</v>
      </c>
      <c r="L337" s="165">
        <v>0</v>
      </c>
      <c r="M337" s="165">
        <v>0</v>
      </c>
      <c r="N337" s="165">
        <v>0</v>
      </c>
    </row>
    <row r="338" spans="1:14" ht="13.5" thickBot="1" x14ac:dyDescent="0.25">
      <c r="A338" s="2" t="s">
        <v>562</v>
      </c>
      <c r="B338" s="1" t="s">
        <v>561</v>
      </c>
      <c r="C338" s="2" t="s">
        <v>45</v>
      </c>
      <c r="D338" s="164">
        <v>0</v>
      </c>
      <c r="E338" s="164">
        <v>0</v>
      </c>
      <c r="F338" s="164">
        <v>0</v>
      </c>
      <c r="G338" s="164">
        <v>0</v>
      </c>
      <c r="H338" s="164">
        <v>0</v>
      </c>
      <c r="I338" s="106">
        <v>29319</v>
      </c>
      <c r="J338" s="164">
        <v>0</v>
      </c>
      <c r="K338" s="164">
        <v>0</v>
      </c>
      <c r="L338" s="164">
        <v>0</v>
      </c>
      <c r="M338" s="164">
        <v>0</v>
      </c>
      <c r="N338" s="164">
        <v>0</v>
      </c>
    </row>
    <row r="339" spans="1:14" ht="13.5" thickBot="1" x14ac:dyDescent="0.25">
      <c r="A339" s="2" t="s">
        <v>568</v>
      </c>
      <c r="B339" s="1" t="s">
        <v>567</v>
      </c>
      <c r="C339" s="2" t="s">
        <v>45</v>
      </c>
      <c r="D339" s="164">
        <v>0</v>
      </c>
      <c r="E339" s="164">
        <v>0</v>
      </c>
      <c r="F339" s="164">
        <v>0</v>
      </c>
      <c r="G339" s="164">
        <v>0</v>
      </c>
      <c r="H339" s="164">
        <v>0</v>
      </c>
      <c r="I339" s="106">
        <v>35394</v>
      </c>
      <c r="J339" s="164">
        <v>21080</v>
      </c>
      <c r="K339" s="164">
        <v>28076</v>
      </c>
      <c r="L339" s="164">
        <v>15623</v>
      </c>
      <c r="M339" s="164">
        <v>32390</v>
      </c>
      <c r="N339" s="164">
        <v>97169</v>
      </c>
    </row>
    <row r="340" spans="1:14" ht="13.5" thickBot="1" x14ac:dyDescent="0.25">
      <c r="A340" s="2" t="s">
        <v>598</v>
      </c>
      <c r="B340" s="1" t="s">
        <v>597</v>
      </c>
      <c r="C340" s="2" t="s">
        <v>45</v>
      </c>
      <c r="D340" s="164">
        <v>0</v>
      </c>
      <c r="E340" s="164">
        <v>0</v>
      </c>
      <c r="F340" s="164">
        <v>4204430</v>
      </c>
      <c r="G340" s="164">
        <v>0</v>
      </c>
      <c r="H340" s="164">
        <v>4204430</v>
      </c>
      <c r="I340" s="106">
        <v>36441</v>
      </c>
      <c r="J340" s="164">
        <v>0</v>
      </c>
      <c r="K340" s="164">
        <v>9379</v>
      </c>
      <c r="L340" s="164">
        <v>2715667</v>
      </c>
      <c r="M340" s="164">
        <v>0</v>
      </c>
      <c r="N340" s="164">
        <v>2725046</v>
      </c>
    </row>
    <row r="341" spans="1:14" ht="13.5" thickBot="1" x14ac:dyDescent="0.25">
      <c r="A341" s="2" t="s">
        <v>608</v>
      </c>
      <c r="B341" s="1" t="s">
        <v>607</v>
      </c>
      <c r="C341" s="2" t="s">
        <v>45</v>
      </c>
      <c r="D341" s="164">
        <v>0</v>
      </c>
      <c r="E341" s="164">
        <v>0</v>
      </c>
      <c r="F341" s="164">
        <v>0</v>
      </c>
      <c r="G341" s="164">
        <v>0</v>
      </c>
      <c r="H341" s="164">
        <v>0</v>
      </c>
      <c r="I341" s="106">
        <v>36656</v>
      </c>
      <c r="J341" s="164">
        <v>0</v>
      </c>
      <c r="K341" s="164">
        <v>0</v>
      </c>
      <c r="L341" s="164">
        <v>0</v>
      </c>
      <c r="M341" s="164">
        <v>0</v>
      </c>
      <c r="N341" s="164">
        <v>0</v>
      </c>
    </row>
    <row r="342" spans="1:14" ht="13.5" thickBot="1" x14ac:dyDescent="0.25">
      <c r="A342" s="2" t="s">
        <v>636</v>
      </c>
      <c r="B342" s="1" t="s">
        <v>635</v>
      </c>
      <c r="C342" s="2" t="s">
        <v>45</v>
      </c>
      <c r="D342" s="164">
        <v>0</v>
      </c>
      <c r="E342" s="164">
        <v>0</v>
      </c>
      <c r="F342" s="164">
        <v>0</v>
      </c>
      <c r="G342" s="164">
        <v>0</v>
      </c>
      <c r="H342" s="164">
        <v>0</v>
      </c>
      <c r="I342" s="106">
        <v>48362</v>
      </c>
      <c r="J342" s="164">
        <v>0</v>
      </c>
      <c r="K342" s="164">
        <v>0</v>
      </c>
      <c r="L342" s="164">
        <v>0</v>
      </c>
      <c r="M342" s="164">
        <v>92507</v>
      </c>
      <c r="N342" s="164">
        <v>92507</v>
      </c>
    </row>
    <row r="343" spans="1:14" ht="13.5" thickBot="1" x14ac:dyDescent="0.25">
      <c r="A343" s="2" t="s">
        <v>662</v>
      </c>
      <c r="B343" s="1" t="s">
        <v>661</v>
      </c>
      <c r="C343" s="2" t="s">
        <v>45</v>
      </c>
      <c r="D343" s="164">
        <v>0</v>
      </c>
      <c r="E343" s="164">
        <v>0</v>
      </c>
      <c r="F343" s="164">
        <v>0</v>
      </c>
      <c r="G343" s="164">
        <v>0</v>
      </c>
      <c r="H343" s="164">
        <v>0</v>
      </c>
      <c r="I343" s="106">
        <v>33839</v>
      </c>
      <c r="J343" s="164">
        <v>20667</v>
      </c>
      <c r="K343" s="164">
        <v>55997</v>
      </c>
      <c r="L343" s="164">
        <v>16757</v>
      </c>
      <c r="M343" s="164">
        <v>2600</v>
      </c>
      <c r="N343" s="164">
        <v>96021</v>
      </c>
    </row>
    <row r="344" spans="1:14" ht="13.5" thickBot="1" x14ac:dyDescent="0.25">
      <c r="A344" s="2" t="s">
        <v>664</v>
      </c>
      <c r="B344" s="1" t="s">
        <v>663</v>
      </c>
      <c r="C344" s="2" t="s">
        <v>45</v>
      </c>
      <c r="D344" s="164">
        <v>0</v>
      </c>
      <c r="E344" s="164">
        <v>0</v>
      </c>
      <c r="F344" s="164">
        <v>0</v>
      </c>
      <c r="G344" s="164">
        <v>0</v>
      </c>
      <c r="H344" s="164">
        <v>0</v>
      </c>
      <c r="I344" s="106">
        <v>39868</v>
      </c>
      <c r="J344" s="164">
        <v>0</v>
      </c>
      <c r="K344" s="164">
        <v>479</v>
      </c>
      <c r="L344" s="164">
        <v>12483</v>
      </c>
      <c r="M344" s="164">
        <v>0</v>
      </c>
      <c r="N344" s="164">
        <v>12962</v>
      </c>
    </row>
    <row r="345" spans="1:14" ht="13.5" thickBot="1" x14ac:dyDescent="0.25">
      <c r="A345" s="2" t="s">
        <v>668</v>
      </c>
      <c r="B345" s="1" t="s">
        <v>667</v>
      </c>
      <c r="C345" s="2" t="s">
        <v>45</v>
      </c>
      <c r="D345" s="164">
        <v>0</v>
      </c>
      <c r="E345" s="164">
        <v>0</v>
      </c>
      <c r="F345" s="164">
        <v>0</v>
      </c>
      <c r="G345" s="164">
        <v>0</v>
      </c>
      <c r="H345" s="164">
        <v>0</v>
      </c>
      <c r="I345" s="106">
        <v>47299</v>
      </c>
      <c r="J345" s="164">
        <v>94113</v>
      </c>
      <c r="K345" s="164">
        <v>5173</v>
      </c>
      <c r="L345" s="164">
        <v>58567</v>
      </c>
      <c r="M345" s="164">
        <v>0</v>
      </c>
      <c r="N345" s="164">
        <v>157853</v>
      </c>
    </row>
    <row r="346" spans="1:14" ht="13.5" thickBot="1" x14ac:dyDescent="0.25">
      <c r="A346" s="2" t="s">
        <v>688</v>
      </c>
      <c r="B346" s="1" t="s">
        <v>687</v>
      </c>
      <c r="C346" s="2" t="s">
        <v>45</v>
      </c>
      <c r="D346" s="164">
        <v>0</v>
      </c>
      <c r="E346" s="164">
        <v>0</v>
      </c>
      <c r="F346" s="164">
        <v>0</v>
      </c>
      <c r="G346" s="164">
        <v>0</v>
      </c>
      <c r="H346" s="164">
        <v>0</v>
      </c>
      <c r="I346" s="106">
        <v>26376</v>
      </c>
      <c r="J346" s="164">
        <v>0</v>
      </c>
      <c r="K346" s="164">
        <v>0</v>
      </c>
      <c r="L346" s="164">
        <v>0</v>
      </c>
      <c r="M346" s="164">
        <v>0</v>
      </c>
      <c r="N346" s="164">
        <v>0</v>
      </c>
    </row>
    <row r="347" spans="1:14" ht="13.5" thickBot="1" x14ac:dyDescent="0.25">
      <c r="A347" s="2" t="s">
        <v>712</v>
      </c>
      <c r="B347" s="1" t="s">
        <v>711</v>
      </c>
      <c r="C347" s="2" t="s">
        <v>45</v>
      </c>
      <c r="D347" s="164">
        <v>0</v>
      </c>
      <c r="E347" s="164">
        <v>0</v>
      </c>
      <c r="F347" s="164">
        <v>0</v>
      </c>
      <c r="G347" s="164">
        <v>0</v>
      </c>
      <c r="H347" s="164">
        <v>0</v>
      </c>
      <c r="I347" s="106">
        <v>27920</v>
      </c>
      <c r="J347" s="164">
        <v>0</v>
      </c>
      <c r="K347" s="164">
        <v>6392</v>
      </c>
      <c r="L347" s="164">
        <v>0</v>
      </c>
      <c r="M347" s="164">
        <v>0</v>
      </c>
      <c r="N347" s="164">
        <v>6392</v>
      </c>
    </row>
    <row r="348" spans="1:14" ht="13.5" thickBot="1" x14ac:dyDescent="0.25">
      <c r="A348" s="2" t="s">
        <v>722</v>
      </c>
      <c r="B348" s="1" t="s">
        <v>721</v>
      </c>
      <c r="C348" s="2" t="s">
        <v>45</v>
      </c>
      <c r="D348" s="164">
        <v>0</v>
      </c>
      <c r="E348" s="164">
        <v>0</v>
      </c>
      <c r="F348" s="164">
        <v>0</v>
      </c>
      <c r="G348" s="164">
        <v>0</v>
      </c>
      <c r="H348" s="164">
        <v>0</v>
      </c>
      <c r="I348" s="106">
        <v>30047</v>
      </c>
      <c r="J348" s="164">
        <v>0</v>
      </c>
      <c r="K348" s="164">
        <v>0</v>
      </c>
      <c r="L348" s="164">
        <v>11850</v>
      </c>
      <c r="M348" s="164">
        <v>8370</v>
      </c>
      <c r="N348" s="164">
        <v>20220</v>
      </c>
    </row>
    <row r="349" spans="1:14" ht="13.5" thickBot="1" x14ac:dyDescent="0.25">
      <c r="A349" s="2" t="s">
        <v>740</v>
      </c>
      <c r="B349" s="1" t="s">
        <v>739</v>
      </c>
      <c r="C349" s="2" t="s">
        <v>45</v>
      </c>
      <c r="D349" s="164">
        <v>0</v>
      </c>
      <c r="E349" s="164">
        <v>0</v>
      </c>
      <c r="F349" s="164">
        <v>0</v>
      </c>
      <c r="G349" s="164">
        <v>0</v>
      </c>
      <c r="H349" s="164">
        <v>0</v>
      </c>
      <c r="I349" s="106">
        <v>40841</v>
      </c>
      <c r="J349" s="164">
        <v>6010</v>
      </c>
      <c r="K349" s="164">
        <v>10951</v>
      </c>
      <c r="L349" s="164">
        <v>21650</v>
      </c>
      <c r="M349" s="164">
        <v>0</v>
      </c>
      <c r="N349" s="164">
        <v>38611</v>
      </c>
    </row>
    <row r="350" spans="1:14" ht="13.5" thickBot="1" x14ac:dyDescent="0.25">
      <c r="A350" s="2" t="s">
        <v>785</v>
      </c>
      <c r="B350" s="1" t="s">
        <v>784</v>
      </c>
      <c r="C350" s="2" t="s">
        <v>45</v>
      </c>
      <c r="D350" s="164">
        <v>0</v>
      </c>
      <c r="E350" s="164">
        <v>0</v>
      </c>
      <c r="F350" s="164">
        <v>0</v>
      </c>
      <c r="G350" s="164">
        <v>0</v>
      </c>
      <c r="H350" s="164">
        <v>0</v>
      </c>
      <c r="I350" s="106">
        <v>44265</v>
      </c>
      <c r="J350" s="164">
        <v>33336</v>
      </c>
      <c r="K350" s="164">
        <v>35681</v>
      </c>
      <c r="L350" s="164">
        <v>10593</v>
      </c>
      <c r="M350" s="164">
        <v>5321</v>
      </c>
      <c r="N350" s="164">
        <v>84931</v>
      </c>
    </row>
    <row r="351" spans="1:14" ht="13.5" thickBot="1" x14ac:dyDescent="0.25">
      <c r="A351" s="2" t="s">
        <v>827</v>
      </c>
      <c r="B351" s="1" t="s">
        <v>826</v>
      </c>
      <c r="C351" s="2" t="s">
        <v>45</v>
      </c>
      <c r="D351" s="164">
        <v>0</v>
      </c>
      <c r="E351" s="164">
        <v>0</v>
      </c>
      <c r="F351" s="164">
        <v>0</v>
      </c>
      <c r="G351" s="164">
        <v>0</v>
      </c>
      <c r="H351" s="164">
        <v>0</v>
      </c>
      <c r="I351" s="106">
        <v>30019</v>
      </c>
      <c r="J351" s="164">
        <v>1042</v>
      </c>
      <c r="K351" s="164">
        <v>0</v>
      </c>
      <c r="L351" s="164">
        <v>8891</v>
      </c>
      <c r="M351" s="164">
        <v>0</v>
      </c>
      <c r="N351" s="164">
        <v>9933</v>
      </c>
    </row>
    <row r="352" spans="1:14" ht="13.5" thickBot="1" x14ac:dyDescent="0.25">
      <c r="A352" s="2" t="s">
        <v>59</v>
      </c>
      <c r="B352" s="1" t="s">
        <v>58</v>
      </c>
      <c r="C352" s="2" t="s">
        <v>60</v>
      </c>
      <c r="D352" s="164">
        <v>0</v>
      </c>
      <c r="E352" s="164">
        <v>0</v>
      </c>
      <c r="F352" s="164">
        <v>0</v>
      </c>
      <c r="G352" s="164">
        <v>0</v>
      </c>
      <c r="H352" s="164">
        <v>0</v>
      </c>
      <c r="I352" s="106">
        <v>163590</v>
      </c>
      <c r="J352" s="164">
        <v>0</v>
      </c>
      <c r="K352" s="164">
        <v>0</v>
      </c>
      <c r="L352" s="164">
        <v>1639</v>
      </c>
      <c r="M352" s="164">
        <v>116429</v>
      </c>
      <c r="N352" s="164">
        <v>118068</v>
      </c>
    </row>
    <row r="353" spans="1:14" ht="13.5" thickBot="1" x14ac:dyDescent="0.25">
      <c r="A353" s="2" t="s">
        <v>86</v>
      </c>
      <c r="B353" s="1" t="s">
        <v>85</v>
      </c>
      <c r="C353" s="2" t="s">
        <v>60</v>
      </c>
      <c r="D353" s="164">
        <v>0</v>
      </c>
      <c r="E353" s="164">
        <v>0</v>
      </c>
      <c r="F353" s="164">
        <v>0</v>
      </c>
      <c r="G353" s="164">
        <v>0</v>
      </c>
      <c r="H353" s="164">
        <v>0</v>
      </c>
      <c r="I353" s="106">
        <v>107681</v>
      </c>
      <c r="J353" s="164">
        <v>0</v>
      </c>
      <c r="K353" s="164">
        <v>0</v>
      </c>
      <c r="L353" s="164">
        <v>0</v>
      </c>
      <c r="M353" s="164">
        <v>0</v>
      </c>
      <c r="N353" s="164">
        <v>0</v>
      </c>
    </row>
    <row r="354" spans="1:14" ht="13.5" thickBot="1" x14ac:dyDescent="0.25">
      <c r="A354" s="2" t="s">
        <v>148</v>
      </c>
      <c r="B354" s="1" t="s">
        <v>147</v>
      </c>
      <c r="C354" s="2" t="s">
        <v>60</v>
      </c>
      <c r="D354" s="164">
        <v>0</v>
      </c>
      <c r="E354" s="164">
        <v>0</v>
      </c>
      <c r="F354" s="164">
        <v>0</v>
      </c>
      <c r="G354" s="164">
        <v>0</v>
      </c>
      <c r="H354" s="164">
        <v>0</v>
      </c>
      <c r="I354" s="106">
        <v>90173</v>
      </c>
      <c r="J354" s="164">
        <v>117690</v>
      </c>
      <c r="K354" s="164">
        <v>327244</v>
      </c>
      <c r="L354" s="164">
        <v>586892</v>
      </c>
      <c r="M354" s="164">
        <v>103010</v>
      </c>
      <c r="N354" s="164">
        <v>1134836</v>
      </c>
    </row>
    <row r="355" spans="1:14" ht="13.5" thickBot="1" x14ac:dyDescent="0.25">
      <c r="A355" s="2" t="s">
        <v>150</v>
      </c>
      <c r="B355" s="1" t="s">
        <v>149</v>
      </c>
      <c r="C355" s="2" t="s">
        <v>60</v>
      </c>
      <c r="D355" s="164">
        <v>0</v>
      </c>
      <c r="E355" s="164">
        <v>0</v>
      </c>
      <c r="F355" s="164">
        <v>0</v>
      </c>
      <c r="G355" s="164">
        <v>0</v>
      </c>
      <c r="H355" s="164">
        <v>0</v>
      </c>
      <c r="I355" s="106">
        <v>238859</v>
      </c>
      <c r="J355" s="164">
        <v>139080</v>
      </c>
      <c r="K355" s="164">
        <v>45643</v>
      </c>
      <c r="L355" s="164">
        <v>805707</v>
      </c>
      <c r="M355" s="164">
        <v>201490</v>
      </c>
      <c r="N355" s="164">
        <v>1191920</v>
      </c>
    </row>
    <row r="356" spans="1:14" ht="13.5" thickBot="1" x14ac:dyDescent="0.25">
      <c r="A356" s="2" t="s">
        <v>180</v>
      </c>
      <c r="B356" s="1" t="s">
        <v>179</v>
      </c>
      <c r="C356" s="2" t="s">
        <v>60</v>
      </c>
      <c r="D356" s="164">
        <v>0</v>
      </c>
      <c r="E356" s="164">
        <v>0</v>
      </c>
      <c r="F356" s="164">
        <v>0</v>
      </c>
      <c r="G356" s="164">
        <v>0</v>
      </c>
      <c r="H356" s="164">
        <v>0</v>
      </c>
      <c r="I356" s="106">
        <v>51640</v>
      </c>
      <c r="J356" s="164">
        <v>10313</v>
      </c>
      <c r="K356" s="164">
        <v>31266</v>
      </c>
      <c r="L356" s="164">
        <v>81465</v>
      </c>
      <c r="M356" s="165">
        <v>0</v>
      </c>
      <c r="N356" s="164">
        <v>123044</v>
      </c>
    </row>
    <row r="357" spans="1:14" ht="13.5" thickBot="1" x14ac:dyDescent="0.25">
      <c r="A357" s="2" t="s">
        <v>186</v>
      </c>
      <c r="B357" s="1" t="s">
        <v>185</v>
      </c>
      <c r="C357" s="2" t="s">
        <v>60</v>
      </c>
      <c r="D357" s="164">
        <v>0</v>
      </c>
      <c r="E357" s="164">
        <v>0</v>
      </c>
      <c r="F357" s="164">
        <v>0</v>
      </c>
      <c r="G357" s="164">
        <v>0</v>
      </c>
      <c r="H357" s="164">
        <v>0</v>
      </c>
      <c r="I357" s="106">
        <v>169833</v>
      </c>
      <c r="J357" s="164">
        <v>573960</v>
      </c>
      <c r="K357" s="164">
        <v>0</v>
      </c>
      <c r="L357" s="164">
        <v>0</v>
      </c>
      <c r="M357" s="164">
        <v>0</v>
      </c>
      <c r="N357" s="164">
        <v>573960</v>
      </c>
    </row>
    <row r="358" spans="1:14" ht="13.5" thickBot="1" x14ac:dyDescent="0.25">
      <c r="A358" s="2" t="s">
        <v>221</v>
      </c>
      <c r="B358" s="1" t="s">
        <v>220</v>
      </c>
      <c r="C358" s="2" t="s">
        <v>60</v>
      </c>
      <c r="D358" s="164">
        <v>0</v>
      </c>
      <c r="E358" s="164">
        <v>0</v>
      </c>
      <c r="F358" s="164">
        <v>0</v>
      </c>
      <c r="G358" s="164">
        <v>0</v>
      </c>
      <c r="H358" s="164">
        <v>0</v>
      </c>
      <c r="I358" s="106">
        <v>57774</v>
      </c>
      <c r="J358" s="164">
        <v>0</v>
      </c>
      <c r="K358" s="164">
        <v>0</v>
      </c>
      <c r="L358" s="164">
        <v>541894</v>
      </c>
      <c r="M358" s="165">
        <v>0</v>
      </c>
      <c r="N358" s="164">
        <v>541894</v>
      </c>
    </row>
    <row r="359" spans="1:14" ht="13.5" thickBot="1" x14ac:dyDescent="0.25">
      <c r="A359" s="2" t="s">
        <v>223</v>
      </c>
      <c r="B359" s="1" t="s">
        <v>222</v>
      </c>
      <c r="C359" s="2" t="s">
        <v>60</v>
      </c>
      <c r="D359" s="164">
        <v>0</v>
      </c>
      <c r="E359" s="164">
        <v>0</v>
      </c>
      <c r="F359" s="164">
        <v>0</v>
      </c>
      <c r="G359" s="164">
        <v>0</v>
      </c>
      <c r="H359" s="164">
        <v>0</v>
      </c>
      <c r="I359" s="106">
        <v>98153</v>
      </c>
      <c r="J359" s="164">
        <v>0</v>
      </c>
      <c r="K359" s="164">
        <v>6125</v>
      </c>
      <c r="L359" s="164">
        <v>196861</v>
      </c>
      <c r="M359" s="164">
        <v>0</v>
      </c>
      <c r="N359" s="164">
        <v>202986</v>
      </c>
    </row>
    <row r="360" spans="1:14" ht="13.5" thickBot="1" x14ac:dyDescent="0.25">
      <c r="A360" s="2" t="s">
        <v>233</v>
      </c>
      <c r="B360" s="1" t="s">
        <v>232</v>
      </c>
      <c r="C360" s="2" t="s">
        <v>60</v>
      </c>
      <c r="D360" s="164">
        <v>0</v>
      </c>
      <c r="E360" s="164">
        <v>0</v>
      </c>
      <c r="F360" s="164">
        <v>0</v>
      </c>
      <c r="G360" s="164">
        <v>0</v>
      </c>
      <c r="H360" s="164">
        <v>0</v>
      </c>
      <c r="I360" s="106">
        <v>713777</v>
      </c>
      <c r="J360" s="164">
        <v>0</v>
      </c>
      <c r="K360" s="164">
        <v>0</v>
      </c>
      <c r="L360" s="164">
        <v>0</v>
      </c>
      <c r="M360" s="164">
        <v>0</v>
      </c>
      <c r="N360" s="164">
        <v>0</v>
      </c>
    </row>
    <row r="361" spans="1:14" ht="13.5" thickBot="1" x14ac:dyDescent="0.25">
      <c r="A361" s="2" t="s">
        <v>277</v>
      </c>
      <c r="B361" s="1" t="s">
        <v>276</v>
      </c>
      <c r="C361" s="2" t="s">
        <v>60</v>
      </c>
      <c r="D361" s="164">
        <v>0</v>
      </c>
      <c r="E361" s="164">
        <v>0</v>
      </c>
      <c r="F361" s="164">
        <v>0</v>
      </c>
      <c r="G361" s="164">
        <v>0</v>
      </c>
      <c r="H361" s="164">
        <v>0</v>
      </c>
      <c r="I361" s="106">
        <v>90112</v>
      </c>
      <c r="J361" s="164">
        <v>116141</v>
      </c>
      <c r="K361" s="164">
        <v>92147</v>
      </c>
      <c r="L361" s="164">
        <v>51702</v>
      </c>
      <c r="M361" s="164">
        <v>529996</v>
      </c>
      <c r="N361" s="164">
        <v>789986</v>
      </c>
    </row>
    <row r="362" spans="1:14" ht="13.5" thickBot="1" x14ac:dyDescent="0.25">
      <c r="A362" s="2" t="s">
        <v>291</v>
      </c>
      <c r="B362" s="1" t="s">
        <v>290</v>
      </c>
      <c r="C362" s="2" t="s">
        <v>60</v>
      </c>
      <c r="D362" s="164">
        <v>0</v>
      </c>
      <c r="E362" s="164">
        <v>0</v>
      </c>
      <c r="F362" s="164">
        <v>0</v>
      </c>
      <c r="G362" s="164">
        <v>0</v>
      </c>
      <c r="H362" s="164">
        <v>0</v>
      </c>
      <c r="I362" s="106">
        <v>102434</v>
      </c>
      <c r="J362" s="164">
        <v>62536</v>
      </c>
      <c r="K362" s="164">
        <v>26616</v>
      </c>
      <c r="L362" s="164">
        <v>7180</v>
      </c>
      <c r="M362" s="164">
        <v>0</v>
      </c>
      <c r="N362" s="164">
        <v>96332</v>
      </c>
    </row>
    <row r="363" spans="1:14" ht="13.5" thickBot="1" x14ac:dyDescent="0.25">
      <c r="A363" s="2" t="s">
        <v>317</v>
      </c>
      <c r="B363" s="1" t="s">
        <v>316</v>
      </c>
      <c r="C363" s="2" t="s">
        <v>60</v>
      </c>
      <c r="D363" s="164">
        <v>0</v>
      </c>
      <c r="E363" s="164">
        <v>0</v>
      </c>
      <c r="F363" s="164">
        <v>0</v>
      </c>
      <c r="G363" s="164">
        <v>0</v>
      </c>
      <c r="H363" s="164">
        <v>0</v>
      </c>
      <c r="I363" s="106">
        <v>332567</v>
      </c>
      <c r="J363" s="164">
        <v>0</v>
      </c>
      <c r="K363" s="164">
        <v>31273</v>
      </c>
      <c r="L363" s="164">
        <v>0</v>
      </c>
      <c r="M363" s="164">
        <v>0</v>
      </c>
      <c r="N363" s="164">
        <v>31273</v>
      </c>
    </row>
    <row r="364" spans="1:14" ht="13.5" thickBot="1" x14ac:dyDescent="0.25">
      <c r="A364" s="2" t="s">
        <v>331</v>
      </c>
      <c r="B364" s="1" t="s">
        <v>330</v>
      </c>
      <c r="C364" s="2" t="s">
        <v>60</v>
      </c>
      <c r="D364" s="164">
        <v>0</v>
      </c>
      <c r="E364" s="164">
        <v>0</v>
      </c>
      <c r="F364" s="164">
        <v>0</v>
      </c>
      <c r="G364" s="164">
        <v>0</v>
      </c>
      <c r="H364" s="164">
        <v>0</v>
      </c>
      <c r="I364" s="106">
        <v>76707</v>
      </c>
      <c r="J364" s="164">
        <v>0</v>
      </c>
      <c r="K364" s="164">
        <v>0</v>
      </c>
      <c r="L364" s="164">
        <v>193840</v>
      </c>
      <c r="M364" s="164">
        <v>26700</v>
      </c>
      <c r="N364" s="164">
        <v>220540</v>
      </c>
    </row>
    <row r="365" spans="1:14" ht="13.5" thickBot="1" x14ac:dyDescent="0.25">
      <c r="A365" s="2" t="s">
        <v>335</v>
      </c>
      <c r="B365" s="1" t="s">
        <v>334</v>
      </c>
      <c r="C365" s="2" t="s">
        <v>60</v>
      </c>
      <c r="D365" s="164">
        <v>0</v>
      </c>
      <c r="E365" s="164">
        <v>0</v>
      </c>
      <c r="F365" s="164">
        <v>2394973</v>
      </c>
      <c r="G365" s="164">
        <v>0</v>
      </c>
      <c r="H365" s="164">
        <v>2394973</v>
      </c>
      <c r="I365" s="106">
        <v>188040</v>
      </c>
      <c r="J365" s="164">
        <v>0</v>
      </c>
      <c r="K365" s="164">
        <v>63230</v>
      </c>
      <c r="L365" s="164">
        <v>170000</v>
      </c>
      <c r="M365" s="164">
        <v>2762151</v>
      </c>
      <c r="N365" s="164">
        <v>2995381</v>
      </c>
    </row>
    <row r="366" spans="1:14" ht="13.5" thickBot="1" x14ac:dyDescent="0.25">
      <c r="A366" s="2" t="s">
        <v>339</v>
      </c>
      <c r="B366" s="1" t="s">
        <v>338</v>
      </c>
      <c r="C366" s="2" t="s">
        <v>60</v>
      </c>
      <c r="D366" s="164">
        <v>0</v>
      </c>
      <c r="E366" s="164">
        <v>0</v>
      </c>
      <c r="F366" s="164">
        <v>0</v>
      </c>
      <c r="G366" s="164">
        <v>0</v>
      </c>
      <c r="H366" s="164">
        <v>0</v>
      </c>
      <c r="I366" s="106">
        <v>51133</v>
      </c>
      <c r="J366" s="164">
        <v>0</v>
      </c>
      <c r="K366" s="164">
        <v>702741</v>
      </c>
      <c r="L366" s="164">
        <v>0</v>
      </c>
      <c r="M366" s="164">
        <v>0</v>
      </c>
      <c r="N366" s="164">
        <v>702741</v>
      </c>
    </row>
    <row r="367" spans="1:14" ht="13.5" thickBot="1" x14ac:dyDescent="0.25">
      <c r="A367" s="2" t="s">
        <v>367</v>
      </c>
      <c r="B367" s="1" t="s">
        <v>366</v>
      </c>
      <c r="C367" s="2" t="s">
        <v>60</v>
      </c>
      <c r="D367" s="164">
        <v>0</v>
      </c>
      <c r="E367" s="164">
        <v>0</v>
      </c>
      <c r="F367" s="164">
        <v>0</v>
      </c>
      <c r="G367" s="164">
        <v>0</v>
      </c>
      <c r="H367" s="164">
        <v>0</v>
      </c>
      <c r="I367" s="106">
        <v>102423</v>
      </c>
      <c r="J367" s="164">
        <v>0</v>
      </c>
      <c r="K367" s="164">
        <v>100502</v>
      </c>
      <c r="L367" s="164">
        <v>1000000</v>
      </c>
      <c r="M367" s="164">
        <v>105540</v>
      </c>
      <c r="N367" s="164">
        <v>1206042</v>
      </c>
    </row>
    <row r="368" spans="1:14" ht="13.5" thickBot="1" x14ac:dyDescent="0.25">
      <c r="A368" s="2" t="s">
        <v>389</v>
      </c>
      <c r="B368" s="1" t="s">
        <v>388</v>
      </c>
      <c r="C368" s="2" t="s">
        <v>60</v>
      </c>
      <c r="D368" s="164">
        <v>0</v>
      </c>
      <c r="E368" s="164">
        <v>0</v>
      </c>
      <c r="F368" s="164">
        <v>0</v>
      </c>
      <c r="G368" s="164">
        <v>4940</v>
      </c>
      <c r="H368" s="164">
        <v>4940</v>
      </c>
      <c r="I368" s="106">
        <v>52529</v>
      </c>
      <c r="J368" s="164">
        <v>0</v>
      </c>
      <c r="K368" s="164">
        <v>0</v>
      </c>
      <c r="L368" s="164">
        <v>0</v>
      </c>
      <c r="M368" s="164">
        <v>207050</v>
      </c>
      <c r="N368" s="164">
        <v>207050</v>
      </c>
    </row>
    <row r="369" spans="1:14" ht="13.5" thickBot="1" x14ac:dyDescent="0.25">
      <c r="A369" s="2" t="s">
        <v>409</v>
      </c>
      <c r="B369" s="1" t="s">
        <v>408</v>
      </c>
      <c r="C369" s="2" t="s">
        <v>60</v>
      </c>
      <c r="D369" s="164">
        <v>0</v>
      </c>
      <c r="E369" s="164">
        <v>0</v>
      </c>
      <c r="F369" s="164">
        <v>0</v>
      </c>
      <c r="G369" s="164">
        <v>0</v>
      </c>
      <c r="H369" s="164">
        <v>0</v>
      </c>
      <c r="I369" s="106">
        <v>160248</v>
      </c>
      <c r="J369" s="164">
        <v>81653</v>
      </c>
      <c r="K369" s="164">
        <v>0</v>
      </c>
      <c r="L369" s="164">
        <v>71413</v>
      </c>
      <c r="M369" s="164">
        <v>0</v>
      </c>
      <c r="N369" s="164">
        <v>153066</v>
      </c>
    </row>
    <row r="370" spans="1:14" ht="13.5" thickBot="1" x14ac:dyDescent="0.25">
      <c r="A370" s="2" t="s">
        <v>417</v>
      </c>
      <c r="B370" s="1" t="s">
        <v>416</v>
      </c>
      <c r="C370" s="2" t="s">
        <v>60</v>
      </c>
      <c r="D370" s="164">
        <v>0</v>
      </c>
      <c r="E370" s="164">
        <v>0</v>
      </c>
      <c r="F370" s="164">
        <v>0</v>
      </c>
      <c r="G370" s="164">
        <v>0</v>
      </c>
      <c r="H370" s="164">
        <v>0</v>
      </c>
      <c r="I370" s="106">
        <v>116445</v>
      </c>
      <c r="J370" s="164">
        <v>41220</v>
      </c>
      <c r="K370" s="164">
        <v>12233</v>
      </c>
      <c r="L370" s="164">
        <v>264588</v>
      </c>
      <c r="M370" s="164">
        <v>0</v>
      </c>
      <c r="N370" s="164">
        <v>318041</v>
      </c>
    </row>
    <row r="371" spans="1:14" ht="13.5" thickBot="1" x14ac:dyDescent="0.25">
      <c r="A371" s="2" t="s">
        <v>421</v>
      </c>
      <c r="B371" s="1" t="s">
        <v>420</v>
      </c>
      <c r="C371" s="2" t="s">
        <v>60</v>
      </c>
      <c r="D371" s="164">
        <v>0</v>
      </c>
      <c r="E371" s="164">
        <v>0</v>
      </c>
      <c r="F371" s="164">
        <v>0</v>
      </c>
      <c r="G371" s="164">
        <v>0</v>
      </c>
      <c r="H371" s="164">
        <v>0</v>
      </c>
      <c r="I371" s="106">
        <v>395660</v>
      </c>
      <c r="J371" s="164">
        <v>189191</v>
      </c>
      <c r="K371" s="164">
        <v>24566</v>
      </c>
      <c r="L371" s="165">
        <v>0</v>
      </c>
      <c r="M371" s="164">
        <v>335363</v>
      </c>
      <c r="N371" s="164">
        <v>549120</v>
      </c>
    </row>
    <row r="372" spans="1:14" ht="13.5" thickBot="1" x14ac:dyDescent="0.25">
      <c r="A372" s="2" t="s">
        <v>431</v>
      </c>
      <c r="B372" s="1" t="s">
        <v>430</v>
      </c>
      <c r="C372" s="2" t="s">
        <v>60</v>
      </c>
      <c r="D372" s="164">
        <v>0</v>
      </c>
      <c r="E372" s="164">
        <v>0</v>
      </c>
      <c r="F372" s="164">
        <v>0</v>
      </c>
      <c r="G372" s="164">
        <v>0</v>
      </c>
      <c r="H372" s="164">
        <v>0</v>
      </c>
      <c r="I372" s="106">
        <v>60006</v>
      </c>
      <c r="J372" s="164">
        <v>24176</v>
      </c>
      <c r="K372" s="164">
        <v>4134</v>
      </c>
      <c r="L372" s="164">
        <v>363016</v>
      </c>
      <c r="M372" s="164">
        <v>0</v>
      </c>
      <c r="N372" s="164">
        <v>391326</v>
      </c>
    </row>
    <row r="373" spans="1:14" ht="13.5" thickBot="1" x14ac:dyDescent="0.25">
      <c r="A373" s="2" t="s">
        <v>459</v>
      </c>
      <c r="B373" s="1" t="s">
        <v>458</v>
      </c>
      <c r="C373" s="2" t="s">
        <v>60</v>
      </c>
      <c r="D373" s="164">
        <v>0</v>
      </c>
      <c r="E373" s="164">
        <v>0</v>
      </c>
      <c r="F373" s="164">
        <v>0</v>
      </c>
      <c r="G373" s="164">
        <v>0</v>
      </c>
      <c r="H373" s="164">
        <v>0</v>
      </c>
      <c r="I373" s="106">
        <v>96942</v>
      </c>
      <c r="J373" s="164">
        <v>14753</v>
      </c>
      <c r="K373" s="164">
        <v>1650</v>
      </c>
      <c r="L373" s="164">
        <v>94847</v>
      </c>
      <c r="M373" s="164">
        <v>0</v>
      </c>
      <c r="N373" s="164">
        <v>111250</v>
      </c>
    </row>
    <row r="374" spans="1:14" ht="13.5" thickBot="1" x14ac:dyDescent="0.25">
      <c r="A374" s="2" t="s">
        <v>526</v>
      </c>
      <c r="B374" s="1" t="s">
        <v>525</v>
      </c>
      <c r="C374" s="2" t="s">
        <v>60</v>
      </c>
      <c r="D374" s="164">
        <v>0</v>
      </c>
      <c r="E374" s="164">
        <v>0</v>
      </c>
      <c r="F374" s="164">
        <v>0</v>
      </c>
      <c r="G374" s="164">
        <v>0</v>
      </c>
      <c r="H374" s="164">
        <v>0</v>
      </c>
      <c r="I374" s="106">
        <v>149955</v>
      </c>
      <c r="J374" s="164">
        <v>177543</v>
      </c>
      <c r="K374" s="164">
        <v>118044</v>
      </c>
      <c r="L374" s="164">
        <v>142165</v>
      </c>
      <c r="M374" s="164">
        <v>600094</v>
      </c>
      <c r="N374" s="164">
        <v>1037846</v>
      </c>
    </row>
    <row r="375" spans="1:14" ht="13.5" thickBot="1" x14ac:dyDescent="0.25">
      <c r="A375" s="2" t="s">
        <v>540</v>
      </c>
      <c r="B375" s="1" t="s">
        <v>539</v>
      </c>
      <c r="C375" s="2" t="s">
        <v>60</v>
      </c>
      <c r="D375" s="164">
        <v>0</v>
      </c>
      <c r="E375" s="164">
        <v>0</v>
      </c>
      <c r="F375" s="164">
        <v>0</v>
      </c>
      <c r="G375" s="164">
        <v>0</v>
      </c>
      <c r="H375" s="164">
        <v>0</v>
      </c>
      <c r="I375" s="106">
        <v>105852</v>
      </c>
      <c r="J375" s="164">
        <v>196478</v>
      </c>
      <c r="K375" s="165">
        <v>0</v>
      </c>
      <c r="L375" s="165">
        <v>0</v>
      </c>
      <c r="M375" s="165">
        <v>0</v>
      </c>
      <c r="N375" s="164">
        <v>196478</v>
      </c>
    </row>
    <row r="376" spans="1:14" ht="13.5" thickBot="1" x14ac:dyDescent="0.25">
      <c r="A376" s="2" t="s">
        <v>560</v>
      </c>
      <c r="B376" s="1" t="s">
        <v>559</v>
      </c>
      <c r="C376" s="2" t="s">
        <v>60</v>
      </c>
      <c r="D376" s="164">
        <v>0</v>
      </c>
      <c r="E376" s="164">
        <v>38689</v>
      </c>
      <c r="F376" s="164">
        <v>0</v>
      </c>
      <c r="G376" s="164">
        <v>0</v>
      </c>
      <c r="H376" s="164">
        <v>38689</v>
      </c>
      <c r="I376" s="106">
        <v>55374</v>
      </c>
      <c r="J376" s="164">
        <v>0</v>
      </c>
      <c r="K376" s="164">
        <v>60523</v>
      </c>
      <c r="L376" s="164">
        <v>0</v>
      </c>
      <c r="M376" s="164">
        <v>0</v>
      </c>
      <c r="N376" s="164">
        <v>60523</v>
      </c>
    </row>
    <row r="377" spans="1:14" ht="13.5" thickBot="1" x14ac:dyDescent="0.25">
      <c r="A377" s="2" t="s">
        <v>610</v>
      </c>
      <c r="B377" s="1" t="s">
        <v>609</v>
      </c>
      <c r="C377" s="2" t="s">
        <v>60</v>
      </c>
      <c r="D377" s="164">
        <v>0</v>
      </c>
      <c r="E377" s="164">
        <v>0</v>
      </c>
      <c r="F377" s="164">
        <v>0</v>
      </c>
      <c r="G377" s="164">
        <v>0</v>
      </c>
      <c r="H377" s="164">
        <v>0</v>
      </c>
      <c r="I377" s="106">
        <v>59515</v>
      </c>
      <c r="J377" s="164">
        <v>0</v>
      </c>
      <c r="K377" s="164">
        <v>178</v>
      </c>
      <c r="L377" s="164">
        <v>0</v>
      </c>
      <c r="M377" s="164">
        <v>21192</v>
      </c>
      <c r="N377" s="164">
        <v>21370</v>
      </c>
    </row>
    <row r="378" spans="1:14" ht="13.5" thickBot="1" x14ac:dyDescent="0.25">
      <c r="A378" s="2" t="s">
        <v>614</v>
      </c>
      <c r="B378" s="1" t="s">
        <v>613</v>
      </c>
      <c r="C378" s="2" t="s">
        <v>60</v>
      </c>
      <c r="D378" s="164">
        <v>0</v>
      </c>
      <c r="E378" s="164">
        <v>0</v>
      </c>
      <c r="F378" s="164">
        <v>0</v>
      </c>
      <c r="G378" s="164">
        <v>0</v>
      </c>
      <c r="H378" s="164">
        <v>0</v>
      </c>
      <c r="I378" s="106">
        <v>52170</v>
      </c>
      <c r="J378" s="164">
        <v>22142</v>
      </c>
      <c r="K378" s="164">
        <v>3874</v>
      </c>
      <c r="L378" s="164">
        <v>1340</v>
      </c>
      <c r="M378" s="164">
        <v>0</v>
      </c>
      <c r="N378" s="164">
        <v>27356</v>
      </c>
    </row>
    <row r="379" spans="1:14" ht="13.5" thickBot="1" x14ac:dyDescent="0.25">
      <c r="A379" s="2" t="s">
        <v>624</v>
      </c>
      <c r="B379" s="1" t="s">
        <v>623</v>
      </c>
      <c r="C379" s="2" t="s">
        <v>60</v>
      </c>
      <c r="D379" s="164">
        <v>0</v>
      </c>
      <c r="E379" s="164">
        <v>0</v>
      </c>
      <c r="F379" s="164">
        <v>0</v>
      </c>
      <c r="G379" s="164">
        <v>0</v>
      </c>
      <c r="H379" s="164">
        <v>0</v>
      </c>
      <c r="I379" s="106">
        <v>124690</v>
      </c>
      <c r="J379" s="164">
        <v>0</v>
      </c>
      <c r="K379" s="164">
        <v>0</v>
      </c>
      <c r="L379" s="164">
        <v>0</v>
      </c>
      <c r="M379" s="164">
        <v>0</v>
      </c>
      <c r="N379" s="164">
        <v>0</v>
      </c>
    </row>
    <row r="380" spans="1:14" ht="13.5" thickBot="1" x14ac:dyDescent="0.25">
      <c r="A380" s="2" t="s">
        <v>660</v>
      </c>
      <c r="B380" s="1" t="s">
        <v>659</v>
      </c>
      <c r="C380" s="2" t="s">
        <v>60</v>
      </c>
      <c r="D380" s="164">
        <v>0</v>
      </c>
      <c r="E380" s="164">
        <v>0</v>
      </c>
      <c r="F380" s="164">
        <v>0</v>
      </c>
      <c r="G380" s="164">
        <v>0</v>
      </c>
      <c r="H380" s="164">
        <v>0</v>
      </c>
      <c r="I380" s="106">
        <v>100485</v>
      </c>
      <c r="J380" s="164">
        <v>0</v>
      </c>
      <c r="K380" s="164">
        <v>0</v>
      </c>
      <c r="L380" s="164">
        <v>0</v>
      </c>
      <c r="M380" s="164">
        <v>0</v>
      </c>
      <c r="N380" s="164">
        <v>0</v>
      </c>
    </row>
    <row r="381" spans="1:14" ht="13.5" thickBot="1" x14ac:dyDescent="0.25">
      <c r="A381" s="2" t="s">
        <v>670</v>
      </c>
      <c r="B381" s="1" t="s">
        <v>669</v>
      </c>
      <c r="C381" s="2" t="s">
        <v>60</v>
      </c>
      <c r="D381" s="164">
        <v>0</v>
      </c>
      <c r="E381" s="164">
        <v>0</v>
      </c>
      <c r="F381" s="164">
        <v>0</v>
      </c>
      <c r="G381" s="164">
        <v>0</v>
      </c>
      <c r="H381" s="164">
        <v>0</v>
      </c>
      <c r="I381" s="106">
        <v>57236</v>
      </c>
      <c r="J381" s="164">
        <v>0</v>
      </c>
      <c r="K381" s="164">
        <v>0</v>
      </c>
      <c r="L381" s="164">
        <v>0</v>
      </c>
      <c r="M381" s="164">
        <v>0</v>
      </c>
      <c r="N381" s="164">
        <v>0</v>
      </c>
    </row>
    <row r="382" spans="1:14" ht="13.5" thickBot="1" x14ac:dyDescent="0.25">
      <c r="A382" s="2" t="s">
        <v>678</v>
      </c>
      <c r="B382" s="1" t="s">
        <v>677</v>
      </c>
      <c r="C382" s="2" t="s">
        <v>60</v>
      </c>
      <c r="D382" s="164">
        <v>0</v>
      </c>
      <c r="E382" s="164">
        <v>0</v>
      </c>
      <c r="F382" s="164">
        <v>0</v>
      </c>
      <c r="G382" s="164">
        <v>0</v>
      </c>
      <c r="H382" s="164">
        <v>0</v>
      </c>
      <c r="I382" s="106">
        <v>160312</v>
      </c>
      <c r="J382" s="164">
        <v>139118</v>
      </c>
      <c r="K382" s="164">
        <v>48955</v>
      </c>
      <c r="L382" s="164">
        <v>0</v>
      </c>
      <c r="M382" s="164">
        <v>0</v>
      </c>
      <c r="N382" s="164">
        <v>188073</v>
      </c>
    </row>
    <row r="383" spans="1:14" ht="13.5" thickBot="1" x14ac:dyDescent="0.25">
      <c r="A383" s="2" t="s">
        <v>680</v>
      </c>
      <c r="B383" s="1" t="s">
        <v>679</v>
      </c>
      <c r="C383" s="2" t="s">
        <v>60</v>
      </c>
      <c r="D383" s="164">
        <v>0</v>
      </c>
      <c r="E383" s="164">
        <v>0</v>
      </c>
      <c r="F383" s="164">
        <v>0</v>
      </c>
      <c r="G383" s="164">
        <v>0</v>
      </c>
      <c r="H383" s="164">
        <v>0</v>
      </c>
      <c r="I383" s="106">
        <v>59715</v>
      </c>
      <c r="J383" s="164">
        <v>0</v>
      </c>
      <c r="K383" s="164">
        <v>0</v>
      </c>
      <c r="L383" s="164">
        <v>0</v>
      </c>
      <c r="M383" s="164">
        <v>0</v>
      </c>
      <c r="N383" s="164">
        <v>0</v>
      </c>
    </row>
    <row r="384" spans="1:14" ht="13.5" thickBot="1" x14ac:dyDescent="0.25">
      <c r="A384" s="2" t="s">
        <v>708</v>
      </c>
      <c r="B384" s="1" t="s">
        <v>707</v>
      </c>
      <c r="C384" s="2" t="s">
        <v>60</v>
      </c>
      <c r="D384" s="164">
        <v>0</v>
      </c>
      <c r="E384" s="164">
        <v>0</v>
      </c>
      <c r="F384" s="164">
        <v>12000</v>
      </c>
      <c r="G384" s="164">
        <v>0</v>
      </c>
      <c r="H384" s="164">
        <v>12000</v>
      </c>
      <c r="I384" s="106">
        <v>73804</v>
      </c>
      <c r="J384" s="164">
        <v>0</v>
      </c>
      <c r="K384" s="164">
        <v>0</v>
      </c>
      <c r="L384" s="164">
        <v>0</v>
      </c>
      <c r="M384" s="164">
        <v>0</v>
      </c>
      <c r="N384" s="164">
        <v>0</v>
      </c>
    </row>
    <row r="385" spans="1:14" ht="13.5" thickBot="1" x14ac:dyDescent="0.25">
      <c r="A385" s="2" t="s">
        <v>720</v>
      </c>
      <c r="B385" s="1" t="s">
        <v>719</v>
      </c>
      <c r="C385" s="2" t="s">
        <v>60</v>
      </c>
      <c r="D385" s="164">
        <v>0</v>
      </c>
      <c r="E385" s="164">
        <v>0</v>
      </c>
      <c r="F385" s="164">
        <v>0</v>
      </c>
      <c r="G385" s="164">
        <v>0</v>
      </c>
      <c r="H385" s="164">
        <v>0</v>
      </c>
      <c r="I385" s="106">
        <v>75814</v>
      </c>
      <c r="J385" s="164">
        <v>0</v>
      </c>
      <c r="K385" s="164">
        <v>0</v>
      </c>
      <c r="L385" s="164">
        <v>2036200</v>
      </c>
      <c r="M385" s="164">
        <v>0</v>
      </c>
      <c r="N385" s="164">
        <v>2036200</v>
      </c>
    </row>
    <row r="386" spans="1:14" ht="13.5" thickBot="1" x14ac:dyDescent="0.25">
      <c r="A386" s="2" t="s">
        <v>734</v>
      </c>
      <c r="B386" s="1" t="s">
        <v>733</v>
      </c>
      <c r="C386" s="2" t="s">
        <v>60</v>
      </c>
      <c r="D386" s="164">
        <v>1196</v>
      </c>
      <c r="E386" s="164">
        <v>0</v>
      </c>
      <c r="F386" s="164">
        <v>78990</v>
      </c>
      <c r="G386" s="164">
        <v>0</v>
      </c>
      <c r="H386" s="164">
        <v>80186</v>
      </c>
      <c r="I386" s="106">
        <v>129699</v>
      </c>
      <c r="J386" s="164">
        <v>5687</v>
      </c>
      <c r="K386" s="165">
        <v>0</v>
      </c>
      <c r="L386" s="164">
        <v>74499</v>
      </c>
      <c r="M386" s="165">
        <v>0</v>
      </c>
      <c r="N386" s="164">
        <v>80186</v>
      </c>
    </row>
    <row r="387" spans="1:14" ht="13.5" thickBot="1" x14ac:dyDescent="0.25">
      <c r="A387" s="2" t="s">
        <v>751</v>
      </c>
      <c r="B387" s="1" t="s">
        <v>750</v>
      </c>
      <c r="C387" s="2" t="s">
        <v>60</v>
      </c>
      <c r="D387" s="164">
        <v>0</v>
      </c>
      <c r="E387" s="164">
        <v>0</v>
      </c>
      <c r="F387" s="164">
        <v>0</v>
      </c>
      <c r="G387" s="164">
        <v>0</v>
      </c>
      <c r="H387" s="164">
        <v>0</v>
      </c>
      <c r="I387" s="106">
        <v>63131</v>
      </c>
      <c r="J387" s="164">
        <v>0</v>
      </c>
      <c r="K387" s="164">
        <v>0</v>
      </c>
      <c r="L387" s="164">
        <v>0</v>
      </c>
      <c r="M387" s="164">
        <v>0</v>
      </c>
      <c r="N387" s="164">
        <v>0</v>
      </c>
    </row>
    <row r="388" spans="1:14" ht="13.5" thickBot="1" x14ac:dyDescent="0.25">
      <c r="A388" s="2" t="s">
        <v>777</v>
      </c>
      <c r="B388" s="1" t="s">
        <v>776</v>
      </c>
      <c r="C388" s="2" t="s">
        <v>60</v>
      </c>
      <c r="D388" s="164">
        <v>0</v>
      </c>
      <c r="E388" s="164">
        <v>0</v>
      </c>
      <c r="F388" s="164">
        <v>0</v>
      </c>
      <c r="G388" s="164">
        <v>0</v>
      </c>
      <c r="H388" s="164">
        <v>0</v>
      </c>
      <c r="I388" s="106">
        <v>97396</v>
      </c>
      <c r="J388" s="164">
        <v>88309</v>
      </c>
      <c r="K388" s="164">
        <v>41974</v>
      </c>
      <c r="L388" s="164">
        <v>0</v>
      </c>
      <c r="M388" s="164">
        <v>0</v>
      </c>
      <c r="N388" s="164">
        <v>130283</v>
      </c>
    </row>
    <row r="389" spans="1:14" ht="13.5" thickBot="1" x14ac:dyDescent="0.25">
      <c r="A389" s="2" t="s">
        <v>779</v>
      </c>
      <c r="B389" s="1" t="s">
        <v>778</v>
      </c>
      <c r="C389" s="2" t="s">
        <v>60</v>
      </c>
      <c r="D389" s="164">
        <v>0</v>
      </c>
      <c r="E389" s="164">
        <v>0</v>
      </c>
      <c r="F389" s="164">
        <v>0</v>
      </c>
      <c r="G389" s="164">
        <v>0</v>
      </c>
      <c r="H389" s="164">
        <v>0</v>
      </c>
      <c r="I389" s="106">
        <v>72726</v>
      </c>
      <c r="J389" s="164">
        <v>0</v>
      </c>
      <c r="K389" s="164">
        <v>196</v>
      </c>
      <c r="L389" s="164">
        <v>0</v>
      </c>
      <c r="M389" s="165">
        <v>0</v>
      </c>
      <c r="N389" s="164">
        <v>196</v>
      </c>
    </row>
    <row r="390" spans="1:14" ht="13.5" thickBot="1" x14ac:dyDescent="0.25">
      <c r="A390" s="2" t="s">
        <v>781</v>
      </c>
      <c r="B390" s="1" t="s">
        <v>780</v>
      </c>
      <c r="C390" s="2" t="s">
        <v>60</v>
      </c>
      <c r="D390" s="164">
        <v>0</v>
      </c>
      <c r="E390" s="164">
        <v>0</v>
      </c>
      <c r="F390" s="164">
        <v>773913</v>
      </c>
      <c r="G390" s="164">
        <v>0</v>
      </c>
      <c r="H390" s="164">
        <v>773913</v>
      </c>
      <c r="I390" s="106">
        <v>80980</v>
      </c>
      <c r="J390" s="164">
        <v>0</v>
      </c>
      <c r="K390" s="164">
        <v>70457</v>
      </c>
      <c r="L390" s="164">
        <v>101718</v>
      </c>
      <c r="M390" s="164">
        <v>601737</v>
      </c>
      <c r="N390" s="164">
        <v>773912</v>
      </c>
    </row>
    <row r="391" spans="1:14" ht="13.5" thickBot="1" x14ac:dyDescent="0.25">
      <c r="A391" s="2" t="s">
        <v>805</v>
      </c>
      <c r="B391" s="1" t="s">
        <v>804</v>
      </c>
      <c r="C391" s="2" t="s">
        <v>60</v>
      </c>
      <c r="D391" s="164">
        <v>0</v>
      </c>
      <c r="E391" s="164">
        <v>0</v>
      </c>
      <c r="F391" s="164">
        <v>0</v>
      </c>
      <c r="G391" s="164">
        <v>0</v>
      </c>
      <c r="H391" s="164">
        <v>0</v>
      </c>
      <c r="I391" s="106">
        <v>134056</v>
      </c>
      <c r="J391" s="164">
        <v>19217</v>
      </c>
      <c r="K391" s="164">
        <v>5848</v>
      </c>
      <c r="L391" s="164">
        <v>139403</v>
      </c>
      <c r="M391" s="164">
        <v>0</v>
      </c>
      <c r="N391" s="164">
        <v>164468</v>
      </c>
    </row>
    <row r="392" spans="1:14" ht="13.5" thickBot="1" x14ac:dyDescent="0.25">
      <c r="A392" s="2" t="s">
        <v>807</v>
      </c>
      <c r="B392" s="1" t="s">
        <v>806</v>
      </c>
      <c r="C392" s="2" t="s">
        <v>60</v>
      </c>
      <c r="D392" s="164">
        <v>0</v>
      </c>
      <c r="E392" s="164">
        <v>0</v>
      </c>
      <c r="F392" s="164">
        <v>0</v>
      </c>
      <c r="G392" s="164">
        <v>0</v>
      </c>
      <c r="H392" s="164">
        <v>0</v>
      </c>
      <c r="I392" s="106">
        <v>71997</v>
      </c>
      <c r="J392" s="164">
        <v>7206</v>
      </c>
      <c r="K392" s="164">
        <v>0</v>
      </c>
      <c r="L392" s="164">
        <v>0</v>
      </c>
      <c r="M392" s="164">
        <v>8461</v>
      </c>
      <c r="N392" s="164">
        <v>15667</v>
      </c>
    </row>
    <row r="393" spans="1:14" ht="13.5" thickBot="1" x14ac:dyDescent="0.25">
      <c r="A393" s="2" t="s">
        <v>815</v>
      </c>
      <c r="B393" s="1" t="s">
        <v>814</v>
      </c>
      <c r="C393" s="2" t="s">
        <v>60</v>
      </c>
      <c r="D393" s="164">
        <v>0</v>
      </c>
      <c r="E393" s="164">
        <v>0</v>
      </c>
      <c r="F393" s="164">
        <v>0</v>
      </c>
      <c r="G393" s="164">
        <v>0</v>
      </c>
      <c r="H393" s="164">
        <v>0</v>
      </c>
      <c r="I393" s="106">
        <v>71755</v>
      </c>
      <c r="J393" s="164">
        <v>125318</v>
      </c>
      <c r="K393" s="164">
        <v>43414</v>
      </c>
      <c r="L393" s="164">
        <v>21258</v>
      </c>
      <c r="M393" s="164">
        <v>0</v>
      </c>
      <c r="N393" s="164">
        <v>189990</v>
      </c>
    </row>
    <row r="394" spans="1:14" ht="13.5" thickBot="1" x14ac:dyDescent="0.25">
      <c r="A394" s="2" t="s">
        <v>835</v>
      </c>
      <c r="B394" s="1" t="s">
        <v>834</v>
      </c>
      <c r="C394" s="2" t="s">
        <v>60</v>
      </c>
      <c r="D394" s="164">
        <v>0</v>
      </c>
      <c r="E394" s="164">
        <v>0</v>
      </c>
      <c r="F394" s="164">
        <v>0</v>
      </c>
      <c r="G394" s="164">
        <v>0</v>
      </c>
      <c r="H394" s="164">
        <v>0</v>
      </c>
      <c r="I394" s="106">
        <v>89779</v>
      </c>
      <c r="J394" s="164">
        <v>86507</v>
      </c>
      <c r="K394" s="164">
        <v>42416</v>
      </c>
      <c r="L394" s="164">
        <v>0</v>
      </c>
      <c r="M394" s="164">
        <v>0</v>
      </c>
      <c r="N394" s="164">
        <v>128923</v>
      </c>
    </row>
    <row r="395" spans="1:14" ht="13.5" thickBot="1" x14ac:dyDescent="0.25">
      <c r="A395" s="2" t="s">
        <v>837</v>
      </c>
      <c r="B395" s="1" t="s">
        <v>836</v>
      </c>
      <c r="C395" s="2" t="s">
        <v>60</v>
      </c>
      <c r="D395" s="164">
        <v>0</v>
      </c>
      <c r="E395" s="164">
        <v>0</v>
      </c>
      <c r="F395" s="164">
        <v>0</v>
      </c>
      <c r="G395" s="164">
        <v>0</v>
      </c>
      <c r="H395" s="164">
        <v>0</v>
      </c>
      <c r="I395" s="106">
        <v>84094</v>
      </c>
      <c r="J395" s="164">
        <v>72821</v>
      </c>
      <c r="K395" s="165">
        <v>0</v>
      </c>
      <c r="L395" s="165">
        <v>0</v>
      </c>
      <c r="M395" s="165">
        <v>0</v>
      </c>
      <c r="N395" s="164">
        <v>72821</v>
      </c>
    </row>
    <row r="396" spans="1:14" ht="13.5" thickBot="1" x14ac:dyDescent="0.25">
      <c r="A396" s="2" t="s">
        <v>843</v>
      </c>
      <c r="B396" s="114" t="s">
        <v>842</v>
      </c>
      <c r="C396" s="2" t="s">
        <v>60</v>
      </c>
      <c r="D396" s="164">
        <v>0</v>
      </c>
      <c r="E396" s="164">
        <v>0</v>
      </c>
      <c r="F396" s="164">
        <v>0</v>
      </c>
      <c r="G396" s="164">
        <v>0</v>
      </c>
      <c r="H396" s="164">
        <v>0</v>
      </c>
      <c r="I396" s="106">
        <v>82974</v>
      </c>
      <c r="J396" s="164">
        <v>46946</v>
      </c>
      <c r="K396" s="164">
        <v>50358</v>
      </c>
      <c r="L396" s="164">
        <v>42102</v>
      </c>
      <c r="M396" s="164">
        <v>43200</v>
      </c>
      <c r="N396" s="164">
        <v>182606</v>
      </c>
    </row>
    <row r="397" spans="1:14" ht="18.75" thickBot="1" x14ac:dyDescent="0.3">
      <c r="B397" s="223" t="s">
        <v>2623</v>
      </c>
      <c r="C397" s="163">
        <f>SUBTOTAL(103,Table8[Library Class])</f>
        <v>393</v>
      </c>
      <c r="D397" s="166">
        <f>SUBTOTAL(109,Table8[Federal Capital Income])</f>
        <v>1960196</v>
      </c>
      <c r="E397" s="167">
        <f>SUBTOTAL(109,Table8[State Capital Income])</f>
        <v>83177</v>
      </c>
      <c r="F397" s="167">
        <f>SUBTOTAL(109,Table8[Local Capital Icome])</f>
        <v>10115900</v>
      </c>
      <c r="G397" s="167">
        <f>SUBTOTAL(109,Table8[Private Capital Income])</f>
        <v>3575525</v>
      </c>
      <c r="H397" s="167">
        <f>SUBTOTAL(109,Table8[Total Capital Income])</f>
        <v>15734798</v>
      </c>
      <c r="I397" s="167">
        <f>SUBTOTAL(109,Table8[Total Population Served])</f>
        <v>9843022</v>
      </c>
      <c r="J397" s="167">
        <f>SUBTOTAL(109,Table8[Capital Expenditures for Electronic Access])</f>
        <v>4163233</v>
      </c>
      <c r="K397" s="167">
        <f>SUBTOTAL(109,Table8[Furnishings and Equipment Expenditures])</f>
        <v>3710447</v>
      </c>
      <c r="L397" s="167">
        <f>SUBTOTAL(109,Table8[Building Expenditures])</f>
        <v>21667437</v>
      </c>
      <c r="M397" s="167">
        <f>SUBTOTAL(109,Table8[Other Capital Expenditures])</f>
        <v>6953839.9500000002</v>
      </c>
      <c r="N397" s="168">
        <f>SUBTOTAL(109,Table8[Total Capital Expenditures])</f>
        <v>36494956.950000003</v>
      </c>
    </row>
  </sheetData>
  <sortState xmlns:xlrd2="http://schemas.microsoft.com/office/spreadsheetml/2017/richdata2" ref="B4:N396">
    <sortCondition ref="C4:C396"/>
    <sortCondition ref="B4:B396"/>
  </sortState>
  <hyperlinks>
    <hyperlink ref="G1" location="'Table of Contents'!A1" display="Return to Table of Contents" xr:uid="{E42C4EC0-880B-49F3-AB73-006EA72BE241}"/>
  </hyperlinks>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568D2"/>
  </sheetPr>
  <dimension ref="A1:K397"/>
  <sheetViews>
    <sheetView zoomScaleNormal="100" workbookViewId="0">
      <pane ySplit="3" topLeftCell="A4" activePane="bottomLeft" state="frozen"/>
      <selection activeCell="N42" sqref="N42"/>
      <selection pane="bottomLeft" activeCell="G1" sqref="G1"/>
    </sheetView>
  </sheetViews>
  <sheetFormatPr defaultRowHeight="12.75" x14ac:dyDescent="0.2"/>
  <cols>
    <col min="2" max="2" width="46.5703125" bestFit="1" customWidth="1"/>
    <col min="3" max="3" width="25.5703125" bestFit="1" customWidth="1"/>
    <col min="4" max="4" width="23.7109375" customWidth="1"/>
    <col min="6" max="6" width="9.28515625" customWidth="1"/>
    <col min="7" max="7" width="13.42578125" customWidth="1"/>
    <col min="8" max="8" width="18.42578125" customWidth="1"/>
    <col min="9" max="9" width="27" customWidth="1"/>
    <col min="10" max="10" width="57.140625" customWidth="1"/>
    <col min="11" max="11" width="45.28515625" customWidth="1"/>
  </cols>
  <sheetData>
    <row r="1" spans="1:11" ht="18.75" x14ac:dyDescent="0.3">
      <c r="B1" s="312" t="s">
        <v>3576</v>
      </c>
      <c r="D1" s="310" t="s">
        <v>2617</v>
      </c>
      <c r="G1" s="8" t="s">
        <v>1844</v>
      </c>
    </row>
    <row r="3" spans="1:11" s="5" customFormat="1" ht="26.25" thickBot="1" x14ac:dyDescent="0.25">
      <c r="A3" s="74" t="s">
        <v>1</v>
      </c>
      <c r="B3" s="74" t="s">
        <v>0</v>
      </c>
      <c r="C3" s="74" t="s">
        <v>4</v>
      </c>
      <c r="D3" s="74" t="s">
        <v>844</v>
      </c>
      <c r="E3" s="74" t="s">
        <v>1135</v>
      </c>
      <c r="F3" s="74" t="s">
        <v>1124</v>
      </c>
      <c r="G3" s="74" t="s">
        <v>1355</v>
      </c>
      <c r="H3" s="74" t="s">
        <v>1356</v>
      </c>
      <c r="I3" s="74" t="s">
        <v>1357</v>
      </c>
      <c r="J3" s="74" t="s">
        <v>1358</v>
      </c>
      <c r="K3" s="74" t="s">
        <v>1359</v>
      </c>
    </row>
    <row r="4" spans="1:11" ht="13.5" thickBot="1" x14ac:dyDescent="0.25">
      <c r="A4" s="2" t="s">
        <v>40</v>
      </c>
      <c r="B4" s="1" t="s">
        <v>39</v>
      </c>
      <c r="C4" s="2" t="s">
        <v>19</v>
      </c>
      <c r="D4" s="4">
        <v>1285</v>
      </c>
      <c r="E4" s="2" t="s">
        <v>1374</v>
      </c>
      <c r="F4" s="2" t="s">
        <v>1132</v>
      </c>
      <c r="G4" s="2" t="s">
        <v>1375</v>
      </c>
      <c r="H4" s="2" t="s">
        <v>872</v>
      </c>
      <c r="I4" s="2" t="s">
        <v>1247</v>
      </c>
      <c r="J4" s="2" t="s">
        <v>1376</v>
      </c>
      <c r="K4" s="2" t="s">
        <v>872</v>
      </c>
    </row>
    <row r="5" spans="1:11" ht="13.5" thickBot="1" x14ac:dyDescent="0.25">
      <c r="A5" s="2" t="s">
        <v>64</v>
      </c>
      <c r="B5" s="1" t="s">
        <v>63</v>
      </c>
      <c r="C5" s="2" t="s">
        <v>19</v>
      </c>
      <c r="D5" s="4">
        <v>3248</v>
      </c>
      <c r="E5" s="2" t="s">
        <v>1390</v>
      </c>
      <c r="F5" s="2" t="s">
        <v>1138</v>
      </c>
      <c r="G5" s="2" t="s">
        <v>1368</v>
      </c>
      <c r="H5" s="2" t="s">
        <v>873</v>
      </c>
      <c r="I5" s="2" t="s">
        <v>1247</v>
      </c>
      <c r="J5" s="169" t="s">
        <v>16</v>
      </c>
      <c r="K5" s="169" t="s">
        <v>16</v>
      </c>
    </row>
    <row r="6" spans="1:11" ht="13.5" thickBot="1" x14ac:dyDescent="0.25">
      <c r="A6" s="2" t="s">
        <v>88</v>
      </c>
      <c r="B6" s="1" t="s">
        <v>87</v>
      </c>
      <c r="C6" s="2" t="s">
        <v>19</v>
      </c>
      <c r="D6" s="4">
        <v>657</v>
      </c>
      <c r="E6" s="2" t="s">
        <v>1405</v>
      </c>
      <c r="F6" s="2" t="s">
        <v>1154</v>
      </c>
      <c r="G6" s="2" t="s">
        <v>1373</v>
      </c>
      <c r="H6" s="2" t="s">
        <v>873</v>
      </c>
      <c r="I6" s="169" t="s">
        <v>16</v>
      </c>
      <c r="J6" s="78" t="s">
        <v>891</v>
      </c>
      <c r="K6" s="78" t="s">
        <v>1145</v>
      </c>
    </row>
    <row r="7" spans="1:11" ht="13.5" thickBot="1" x14ac:dyDescent="0.25">
      <c r="A7" s="2" t="s">
        <v>90</v>
      </c>
      <c r="B7" s="1" t="s">
        <v>89</v>
      </c>
      <c r="C7" s="2" t="s">
        <v>19</v>
      </c>
      <c r="D7" s="4">
        <v>3769</v>
      </c>
      <c r="E7" s="2" t="s">
        <v>1406</v>
      </c>
      <c r="F7" s="2" t="s">
        <v>1132</v>
      </c>
      <c r="G7" s="2" t="s">
        <v>1375</v>
      </c>
      <c r="H7" s="2" t="s">
        <v>872</v>
      </c>
      <c r="I7" s="2" t="s">
        <v>1247</v>
      </c>
      <c r="J7" s="2" t="s">
        <v>1407</v>
      </c>
      <c r="K7" s="2" t="s">
        <v>872</v>
      </c>
    </row>
    <row r="8" spans="1:11" ht="13.5" thickBot="1" x14ac:dyDescent="0.25">
      <c r="A8" s="2" t="s">
        <v>94</v>
      </c>
      <c r="B8" s="1" t="s">
        <v>93</v>
      </c>
      <c r="C8" s="2" t="s">
        <v>19</v>
      </c>
      <c r="D8" s="4">
        <v>3150</v>
      </c>
      <c r="E8" s="2" t="s">
        <v>1156</v>
      </c>
      <c r="F8" s="2" t="s">
        <v>1155</v>
      </c>
      <c r="G8" s="2" t="s">
        <v>1365</v>
      </c>
      <c r="H8" s="2" t="s">
        <v>873</v>
      </c>
      <c r="I8" s="2" t="s">
        <v>1247</v>
      </c>
      <c r="J8" s="169" t="s">
        <v>16</v>
      </c>
      <c r="K8" s="169" t="s">
        <v>16</v>
      </c>
    </row>
    <row r="9" spans="1:11" ht="13.5" thickBot="1" x14ac:dyDescent="0.25">
      <c r="A9" s="2" t="s">
        <v>98</v>
      </c>
      <c r="B9" s="1" t="s">
        <v>97</v>
      </c>
      <c r="C9" s="2" t="s">
        <v>19</v>
      </c>
      <c r="D9" s="4">
        <v>3811</v>
      </c>
      <c r="E9" s="2" t="s">
        <v>1411</v>
      </c>
      <c r="F9" s="2" t="s">
        <v>1158</v>
      </c>
      <c r="G9" s="2" t="s">
        <v>1375</v>
      </c>
      <c r="H9" s="2" t="s">
        <v>873</v>
      </c>
      <c r="I9" s="169" t="s">
        <v>16</v>
      </c>
      <c r="J9" s="169" t="s">
        <v>16</v>
      </c>
      <c r="K9" s="169" t="s">
        <v>16</v>
      </c>
    </row>
    <row r="10" spans="1:11" ht="13.5" thickBot="1" x14ac:dyDescent="0.25">
      <c r="A10" s="2" t="s">
        <v>100</v>
      </c>
      <c r="B10" s="1" t="s">
        <v>99</v>
      </c>
      <c r="C10" s="2" t="s">
        <v>19</v>
      </c>
      <c r="D10" s="4">
        <v>3623</v>
      </c>
      <c r="E10" s="2" t="s">
        <v>1159</v>
      </c>
      <c r="F10" s="2" t="s">
        <v>1158</v>
      </c>
      <c r="G10" s="2" t="s">
        <v>1375</v>
      </c>
      <c r="H10" s="2" t="s">
        <v>873</v>
      </c>
      <c r="I10" s="2" t="s">
        <v>1247</v>
      </c>
      <c r="J10" s="169" t="s">
        <v>16</v>
      </c>
      <c r="K10" s="2" t="s">
        <v>872</v>
      </c>
    </row>
    <row r="11" spans="1:11" ht="13.5" thickBot="1" x14ac:dyDescent="0.25">
      <c r="A11" s="2" t="s">
        <v>108</v>
      </c>
      <c r="B11" s="1" t="s">
        <v>107</v>
      </c>
      <c r="C11" s="2" t="s">
        <v>19</v>
      </c>
      <c r="D11" s="4">
        <v>2937</v>
      </c>
      <c r="E11" s="2" t="s">
        <v>1418</v>
      </c>
      <c r="F11" s="2" t="s">
        <v>1158</v>
      </c>
      <c r="G11" s="2" t="s">
        <v>1375</v>
      </c>
      <c r="H11" s="2" t="s">
        <v>873</v>
      </c>
      <c r="I11" s="169" t="s">
        <v>16</v>
      </c>
      <c r="J11" s="169" t="s">
        <v>16</v>
      </c>
      <c r="K11" s="169" t="s">
        <v>16</v>
      </c>
    </row>
    <row r="12" spans="1:11" ht="13.5" thickBot="1" x14ac:dyDescent="0.25">
      <c r="A12" s="2" t="s">
        <v>138</v>
      </c>
      <c r="B12" s="1" t="s">
        <v>137</v>
      </c>
      <c r="C12" s="2" t="s">
        <v>19</v>
      </c>
      <c r="D12" s="4">
        <v>2611</v>
      </c>
      <c r="E12" s="2" t="s">
        <v>1168</v>
      </c>
      <c r="F12" s="2" t="s">
        <v>1167</v>
      </c>
      <c r="G12" s="2" t="s">
        <v>1365</v>
      </c>
      <c r="H12" s="2" t="s">
        <v>873</v>
      </c>
      <c r="I12" s="78" t="s">
        <v>1247</v>
      </c>
      <c r="J12" s="78" t="s">
        <v>1436</v>
      </c>
      <c r="K12" s="78" t="s">
        <v>13</v>
      </c>
    </row>
    <row r="13" spans="1:11" ht="13.5" thickBot="1" x14ac:dyDescent="0.25">
      <c r="A13" s="2" t="s">
        <v>154</v>
      </c>
      <c r="B13" s="1" t="s">
        <v>153</v>
      </c>
      <c r="C13" s="2" t="s">
        <v>19</v>
      </c>
      <c r="D13" s="4">
        <v>722</v>
      </c>
      <c r="E13" s="2" t="s">
        <v>1441</v>
      </c>
      <c r="F13" s="2" t="s">
        <v>1177</v>
      </c>
      <c r="G13" s="2" t="s">
        <v>1370</v>
      </c>
      <c r="H13" s="2" t="s">
        <v>872</v>
      </c>
      <c r="I13" s="2" t="s">
        <v>1247</v>
      </c>
      <c r="J13" s="2" t="s">
        <v>892</v>
      </c>
      <c r="K13" s="2" t="s">
        <v>873</v>
      </c>
    </row>
    <row r="14" spans="1:11" ht="13.5" thickBot="1" x14ac:dyDescent="0.25">
      <c r="A14" s="2" t="s">
        <v>164</v>
      </c>
      <c r="B14" s="1" t="s">
        <v>163</v>
      </c>
      <c r="C14" s="2" t="s">
        <v>19</v>
      </c>
      <c r="D14" s="4">
        <v>3995</v>
      </c>
      <c r="E14" s="2" t="s">
        <v>1181</v>
      </c>
      <c r="F14" s="2" t="s">
        <v>1132</v>
      </c>
      <c r="G14" s="2" t="s">
        <v>1375</v>
      </c>
      <c r="H14" s="2" t="s">
        <v>872</v>
      </c>
      <c r="I14" s="2" t="s">
        <v>1247</v>
      </c>
      <c r="J14" s="2" t="s">
        <v>1448</v>
      </c>
      <c r="K14" s="2" t="s">
        <v>872</v>
      </c>
    </row>
    <row r="15" spans="1:11" ht="13.5" thickBot="1" x14ac:dyDescent="0.25">
      <c r="A15" s="2" t="s">
        <v>172</v>
      </c>
      <c r="B15" s="1" t="s">
        <v>171</v>
      </c>
      <c r="C15" s="2" t="s">
        <v>19</v>
      </c>
      <c r="D15" s="4">
        <v>1854</v>
      </c>
      <c r="E15" s="2" t="s">
        <v>1183</v>
      </c>
      <c r="F15" s="2" t="s">
        <v>1182</v>
      </c>
      <c r="G15" s="2" t="s">
        <v>1375</v>
      </c>
      <c r="H15" s="2" t="s">
        <v>873</v>
      </c>
      <c r="I15" s="2" t="s">
        <v>1247</v>
      </c>
      <c r="J15" s="169" t="s">
        <v>16</v>
      </c>
      <c r="K15" s="2" t="s">
        <v>872</v>
      </c>
    </row>
    <row r="16" spans="1:11" ht="13.5" thickBot="1" x14ac:dyDescent="0.25">
      <c r="A16" s="2" t="s">
        <v>184</v>
      </c>
      <c r="B16" s="1" t="s">
        <v>183</v>
      </c>
      <c r="C16" s="2" t="s">
        <v>19</v>
      </c>
      <c r="D16" s="4">
        <v>3604</v>
      </c>
      <c r="E16" s="2" t="s">
        <v>1152</v>
      </c>
      <c r="F16" s="2" t="s">
        <v>1126</v>
      </c>
      <c r="G16" s="2" t="s">
        <v>1365</v>
      </c>
      <c r="H16" s="2" t="s">
        <v>872</v>
      </c>
      <c r="I16" s="2" t="s">
        <v>1247</v>
      </c>
      <c r="J16" s="2" t="s">
        <v>1461</v>
      </c>
      <c r="K16" s="2" t="s">
        <v>872</v>
      </c>
    </row>
    <row r="17" spans="1:11" ht="13.5" thickBot="1" x14ac:dyDescent="0.25">
      <c r="A17" s="2" t="s">
        <v>192</v>
      </c>
      <c r="B17" s="1" t="s">
        <v>191</v>
      </c>
      <c r="C17" s="2" t="s">
        <v>19</v>
      </c>
      <c r="D17" s="4">
        <v>3803</v>
      </c>
      <c r="E17" s="2" t="s">
        <v>1189</v>
      </c>
      <c r="F17" s="2" t="s">
        <v>1167</v>
      </c>
      <c r="G17" s="2" t="s">
        <v>1365</v>
      </c>
      <c r="H17" s="2" t="s">
        <v>873</v>
      </c>
      <c r="I17" s="169" t="s">
        <v>16</v>
      </c>
      <c r="J17" s="169" t="s">
        <v>16</v>
      </c>
      <c r="K17" s="2" t="s">
        <v>872</v>
      </c>
    </row>
    <row r="18" spans="1:11" ht="13.5" thickBot="1" x14ac:dyDescent="0.25">
      <c r="A18" s="2" t="s">
        <v>194</v>
      </c>
      <c r="B18" s="1" t="s">
        <v>193</v>
      </c>
      <c r="C18" s="2" t="s">
        <v>19</v>
      </c>
      <c r="D18" s="4">
        <v>2373</v>
      </c>
      <c r="E18" s="2" t="s">
        <v>1466</v>
      </c>
      <c r="F18" s="2" t="s">
        <v>1166</v>
      </c>
      <c r="G18" s="2" t="s">
        <v>1368</v>
      </c>
      <c r="H18" s="2" t="s">
        <v>873</v>
      </c>
      <c r="I18" s="169" t="s">
        <v>16</v>
      </c>
      <c r="J18" s="169" t="s">
        <v>16</v>
      </c>
      <c r="K18" s="2" t="s">
        <v>872</v>
      </c>
    </row>
    <row r="19" spans="1:11" ht="13.5" thickBot="1" x14ac:dyDescent="0.25">
      <c r="A19" s="2" t="s">
        <v>210</v>
      </c>
      <c r="B19" s="1" t="s">
        <v>209</v>
      </c>
      <c r="C19" s="2" t="s">
        <v>19</v>
      </c>
      <c r="D19" s="4">
        <v>3953</v>
      </c>
      <c r="E19" s="2" t="s">
        <v>1475</v>
      </c>
      <c r="F19" s="2" t="s">
        <v>1154</v>
      </c>
      <c r="G19" s="2" t="s">
        <v>1373</v>
      </c>
      <c r="H19" s="2" t="s">
        <v>872</v>
      </c>
      <c r="I19" s="2" t="s">
        <v>1247</v>
      </c>
      <c r="J19" s="2" t="s">
        <v>1476</v>
      </c>
      <c r="K19" s="2" t="s">
        <v>13</v>
      </c>
    </row>
    <row r="20" spans="1:11" ht="13.5" thickBot="1" x14ac:dyDescent="0.25">
      <c r="A20" s="2" t="s">
        <v>212</v>
      </c>
      <c r="B20" s="1" t="s">
        <v>211</v>
      </c>
      <c r="C20" s="2" t="s">
        <v>19</v>
      </c>
      <c r="D20" s="4">
        <v>3228</v>
      </c>
      <c r="E20" s="2" t="s">
        <v>1195</v>
      </c>
      <c r="F20" s="2" t="s">
        <v>1195</v>
      </c>
      <c r="G20" s="2" t="s">
        <v>1018</v>
      </c>
      <c r="H20" s="2" t="s">
        <v>872</v>
      </c>
      <c r="I20" s="2" t="s">
        <v>1247</v>
      </c>
      <c r="J20" s="78" t="s">
        <v>899</v>
      </c>
      <c r="K20" s="78" t="s">
        <v>13</v>
      </c>
    </row>
    <row r="21" spans="1:11" ht="13.5" thickBot="1" x14ac:dyDescent="0.25">
      <c r="A21" s="2" t="s">
        <v>214</v>
      </c>
      <c r="B21" s="1" t="s">
        <v>213</v>
      </c>
      <c r="C21" s="2" t="s">
        <v>19</v>
      </c>
      <c r="D21" s="4">
        <v>3453</v>
      </c>
      <c r="E21" s="2" t="s">
        <v>1477</v>
      </c>
      <c r="F21" s="2" t="s">
        <v>1196</v>
      </c>
      <c r="G21" s="2" t="s">
        <v>1370</v>
      </c>
      <c r="H21" s="2" t="s">
        <v>872</v>
      </c>
      <c r="I21" s="2" t="s">
        <v>1247</v>
      </c>
      <c r="J21" s="2" t="s">
        <v>1478</v>
      </c>
      <c r="K21" s="2" t="s">
        <v>13</v>
      </c>
    </row>
    <row r="22" spans="1:11" ht="13.5" thickBot="1" x14ac:dyDescent="0.25">
      <c r="A22" s="2" t="s">
        <v>216</v>
      </c>
      <c r="B22" s="1" t="s">
        <v>215</v>
      </c>
      <c r="C22" s="2" t="s">
        <v>19</v>
      </c>
      <c r="D22" s="4">
        <v>1236</v>
      </c>
      <c r="E22" s="2" t="s">
        <v>1479</v>
      </c>
      <c r="F22" s="2" t="s">
        <v>1130</v>
      </c>
      <c r="G22" s="2" t="s">
        <v>1370</v>
      </c>
      <c r="H22" s="2" t="s">
        <v>873</v>
      </c>
      <c r="I22" s="78" t="s">
        <v>1247</v>
      </c>
      <c r="J22" s="2" t="s">
        <v>891</v>
      </c>
      <c r="K22" s="2" t="s">
        <v>13</v>
      </c>
    </row>
    <row r="23" spans="1:11" ht="13.5" thickBot="1" x14ac:dyDescent="0.25">
      <c r="A23" s="2" t="s">
        <v>219</v>
      </c>
      <c r="B23" s="1" t="s">
        <v>218</v>
      </c>
      <c r="C23" s="2" t="s">
        <v>19</v>
      </c>
      <c r="D23" s="4">
        <v>3179</v>
      </c>
      <c r="E23" s="2" t="s">
        <v>1480</v>
      </c>
      <c r="F23" s="2" t="s">
        <v>1158</v>
      </c>
      <c r="G23" s="2" t="s">
        <v>1375</v>
      </c>
      <c r="H23" s="2" t="s">
        <v>873</v>
      </c>
      <c r="I23" s="2" t="s">
        <v>1247</v>
      </c>
      <c r="J23" s="169" t="s">
        <v>16</v>
      </c>
      <c r="K23" s="2" t="s">
        <v>872</v>
      </c>
    </row>
    <row r="24" spans="1:11" ht="13.5" thickBot="1" x14ac:dyDescent="0.25">
      <c r="A24" s="2" t="s">
        <v>231</v>
      </c>
      <c r="B24" s="1" t="s">
        <v>230</v>
      </c>
      <c r="C24" s="2" t="s">
        <v>19</v>
      </c>
      <c r="D24" s="4">
        <v>2190</v>
      </c>
      <c r="E24" s="2" t="s">
        <v>1486</v>
      </c>
      <c r="F24" s="2" t="s">
        <v>1201</v>
      </c>
      <c r="G24" s="2" t="s">
        <v>1370</v>
      </c>
      <c r="H24" s="2" t="s">
        <v>873</v>
      </c>
      <c r="I24" s="169" t="s">
        <v>16</v>
      </c>
      <c r="J24" s="169" t="s">
        <v>16</v>
      </c>
      <c r="K24" s="169" t="s">
        <v>16</v>
      </c>
    </row>
    <row r="25" spans="1:11" ht="13.5" thickBot="1" x14ac:dyDescent="0.25">
      <c r="A25" s="2" t="s">
        <v>267</v>
      </c>
      <c r="B25" s="1" t="s">
        <v>266</v>
      </c>
      <c r="C25" s="2" t="s">
        <v>19</v>
      </c>
      <c r="D25" s="4">
        <v>2769</v>
      </c>
      <c r="E25" s="2" t="s">
        <v>1507</v>
      </c>
      <c r="F25" s="2" t="s">
        <v>1127</v>
      </c>
      <c r="G25" s="2" t="s">
        <v>1368</v>
      </c>
      <c r="H25" s="2" t="s">
        <v>873</v>
      </c>
      <c r="I25" s="169" t="s">
        <v>16</v>
      </c>
      <c r="J25" s="2" t="s">
        <v>891</v>
      </c>
      <c r="K25" s="2" t="s">
        <v>872</v>
      </c>
    </row>
    <row r="26" spans="1:11" ht="13.5" thickBot="1" x14ac:dyDescent="0.25">
      <c r="A26" s="2" t="s">
        <v>269</v>
      </c>
      <c r="B26" s="1" t="s">
        <v>268</v>
      </c>
      <c r="C26" s="2" t="s">
        <v>19</v>
      </c>
      <c r="D26" s="4">
        <v>3738</v>
      </c>
      <c r="E26" s="2" t="s">
        <v>1508</v>
      </c>
      <c r="F26" s="2" t="s">
        <v>1152</v>
      </c>
      <c r="G26" s="2" t="s">
        <v>1368</v>
      </c>
      <c r="H26" s="2" t="s">
        <v>872</v>
      </c>
      <c r="I26" s="78" t="s">
        <v>1247</v>
      </c>
      <c r="J26" s="78" t="s">
        <v>1485</v>
      </c>
      <c r="K26" s="2" t="s">
        <v>872</v>
      </c>
    </row>
    <row r="27" spans="1:11" ht="13.5" thickBot="1" x14ac:dyDescent="0.25">
      <c r="A27" s="2" t="s">
        <v>275</v>
      </c>
      <c r="B27" s="1" t="s">
        <v>274</v>
      </c>
      <c r="C27" s="2" t="s">
        <v>19</v>
      </c>
      <c r="D27" s="4">
        <v>3112</v>
      </c>
      <c r="E27" s="2" t="s">
        <v>1208</v>
      </c>
      <c r="F27" s="2" t="s">
        <v>1166</v>
      </c>
      <c r="G27" s="2" t="s">
        <v>1368</v>
      </c>
      <c r="H27" s="2" t="s">
        <v>873</v>
      </c>
      <c r="I27" s="78" t="s">
        <v>1247</v>
      </c>
      <c r="J27" s="2" t="s">
        <v>891</v>
      </c>
      <c r="K27" s="169" t="s">
        <v>16</v>
      </c>
    </row>
    <row r="28" spans="1:11" ht="13.5" thickBot="1" x14ac:dyDescent="0.25">
      <c r="A28" s="2" t="s">
        <v>283</v>
      </c>
      <c r="B28" s="1" t="s">
        <v>282</v>
      </c>
      <c r="C28" s="2" t="s">
        <v>19</v>
      </c>
      <c r="D28" s="4">
        <v>2791</v>
      </c>
      <c r="E28" s="2" t="s">
        <v>1211</v>
      </c>
      <c r="F28" s="2" t="s">
        <v>1210</v>
      </c>
      <c r="G28" s="2" t="s">
        <v>1373</v>
      </c>
      <c r="H28" s="2" t="s">
        <v>873</v>
      </c>
      <c r="I28" s="169" t="s">
        <v>16</v>
      </c>
      <c r="J28" s="169" t="s">
        <v>16</v>
      </c>
      <c r="K28" s="169" t="s">
        <v>16</v>
      </c>
    </row>
    <row r="29" spans="1:11" ht="13.5" thickBot="1" x14ac:dyDescent="0.25">
      <c r="A29" s="2" t="s">
        <v>299</v>
      </c>
      <c r="B29" s="1" t="s">
        <v>298</v>
      </c>
      <c r="C29" s="2" t="s">
        <v>19</v>
      </c>
      <c r="D29" s="4">
        <v>3150</v>
      </c>
      <c r="E29" s="2" t="s">
        <v>1225</v>
      </c>
      <c r="F29" s="2" t="s">
        <v>1125</v>
      </c>
      <c r="G29" s="2" t="s">
        <v>1362</v>
      </c>
      <c r="H29" s="2" t="s">
        <v>872</v>
      </c>
      <c r="I29" s="78" t="s">
        <v>1247</v>
      </c>
      <c r="J29" s="78" t="s">
        <v>1522</v>
      </c>
      <c r="K29" s="2" t="s">
        <v>1145</v>
      </c>
    </row>
    <row r="30" spans="1:11" ht="13.5" thickBot="1" x14ac:dyDescent="0.25">
      <c r="A30" s="2" t="s">
        <v>311</v>
      </c>
      <c r="B30" s="1" t="s">
        <v>310</v>
      </c>
      <c r="C30" s="2" t="s">
        <v>19</v>
      </c>
      <c r="D30" s="4">
        <v>3043</v>
      </c>
      <c r="E30" s="2" t="s">
        <v>1218</v>
      </c>
      <c r="F30" s="2" t="s">
        <v>1157</v>
      </c>
      <c r="G30" s="2" t="s">
        <v>1377</v>
      </c>
      <c r="H30" s="2" t="s">
        <v>873</v>
      </c>
      <c r="I30" s="169" t="s">
        <v>16</v>
      </c>
      <c r="J30" s="169" t="s">
        <v>16</v>
      </c>
      <c r="K30" s="2" t="s">
        <v>872</v>
      </c>
    </row>
    <row r="31" spans="1:11" ht="13.5" thickBot="1" x14ac:dyDescent="0.25">
      <c r="A31" s="2" t="s">
        <v>319</v>
      </c>
      <c r="B31" s="1" t="s">
        <v>318</v>
      </c>
      <c r="C31" s="2" t="s">
        <v>19</v>
      </c>
      <c r="D31" s="4">
        <v>2047</v>
      </c>
      <c r="E31" s="2" t="s">
        <v>1220</v>
      </c>
      <c r="F31" s="2" t="s">
        <v>1200</v>
      </c>
      <c r="G31" s="2" t="s">
        <v>1365</v>
      </c>
      <c r="H31" s="2" t="s">
        <v>873</v>
      </c>
      <c r="I31" s="169" t="s">
        <v>16</v>
      </c>
      <c r="J31" s="169" t="s">
        <v>16</v>
      </c>
      <c r="K31" s="2" t="s">
        <v>13</v>
      </c>
    </row>
    <row r="32" spans="1:11" ht="13.5" thickBot="1" x14ac:dyDescent="0.25">
      <c r="A32" s="2" t="s">
        <v>327</v>
      </c>
      <c r="B32" s="1" t="s">
        <v>326</v>
      </c>
      <c r="C32" s="2" t="s">
        <v>19</v>
      </c>
      <c r="D32" s="4">
        <v>3650</v>
      </c>
      <c r="E32" s="2" t="s">
        <v>1223</v>
      </c>
      <c r="F32" s="2" t="s">
        <v>1222</v>
      </c>
      <c r="G32" s="2" t="s">
        <v>1375</v>
      </c>
      <c r="H32" s="2" t="s">
        <v>872</v>
      </c>
      <c r="I32" s="78" t="s">
        <v>1473</v>
      </c>
      <c r="J32" s="78" t="s">
        <v>1537</v>
      </c>
      <c r="K32" s="2" t="s">
        <v>13</v>
      </c>
    </row>
    <row r="33" spans="1:11" ht="13.5" thickBot="1" x14ac:dyDescent="0.25">
      <c r="A33" s="2" t="s">
        <v>329</v>
      </c>
      <c r="B33" s="1" t="s">
        <v>328</v>
      </c>
      <c r="C33" s="2" t="s">
        <v>19</v>
      </c>
      <c r="D33" s="4">
        <v>1828</v>
      </c>
      <c r="E33" s="2" t="s">
        <v>1538</v>
      </c>
      <c r="F33" s="2" t="s">
        <v>1140</v>
      </c>
      <c r="G33" s="2" t="s">
        <v>1539</v>
      </c>
      <c r="H33" s="2" t="s">
        <v>872</v>
      </c>
      <c r="I33" s="2" t="s">
        <v>1473</v>
      </c>
      <c r="J33" s="78" t="s">
        <v>1540</v>
      </c>
      <c r="K33" s="78" t="s">
        <v>13</v>
      </c>
    </row>
    <row r="34" spans="1:11" ht="13.5" thickBot="1" x14ac:dyDescent="0.25">
      <c r="A34" s="2" t="s">
        <v>379</v>
      </c>
      <c r="B34" s="1" t="s">
        <v>378</v>
      </c>
      <c r="C34" s="2" t="s">
        <v>19</v>
      </c>
      <c r="D34" s="4">
        <v>3926</v>
      </c>
      <c r="E34" s="2" t="s">
        <v>1232</v>
      </c>
      <c r="F34" s="2" t="s">
        <v>1129</v>
      </c>
      <c r="G34" s="2" t="s">
        <v>1365</v>
      </c>
      <c r="H34" s="2" t="s">
        <v>873</v>
      </c>
      <c r="I34" s="2" t="s">
        <v>1247</v>
      </c>
      <c r="J34" s="169" t="s">
        <v>16</v>
      </c>
      <c r="K34" s="2" t="s">
        <v>872</v>
      </c>
    </row>
    <row r="35" spans="1:11" ht="13.5" thickBot="1" x14ac:dyDescent="0.25">
      <c r="A35" s="2" t="s">
        <v>395</v>
      </c>
      <c r="B35" s="1" t="s">
        <v>394</v>
      </c>
      <c r="C35" s="2" t="s">
        <v>19</v>
      </c>
      <c r="D35" s="4">
        <v>3038</v>
      </c>
      <c r="E35" s="2" t="s">
        <v>1577</v>
      </c>
      <c r="F35" s="2" t="s">
        <v>1184</v>
      </c>
      <c r="G35" s="2" t="s">
        <v>1373</v>
      </c>
      <c r="H35" s="2" t="s">
        <v>872</v>
      </c>
      <c r="I35" s="78" t="s">
        <v>1247</v>
      </c>
      <c r="J35" s="78" t="s">
        <v>1578</v>
      </c>
      <c r="K35" s="78" t="s">
        <v>13</v>
      </c>
    </row>
    <row r="36" spans="1:11" ht="13.5" thickBot="1" x14ac:dyDescent="0.25">
      <c r="A36" s="2" t="s">
        <v>427</v>
      </c>
      <c r="B36" s="1" t="s">
        <v>426</v>
      </c>
      <c r="C36" s="2" t="s">
        <v>19</v>
      </c>
      <c r="D36" s="4">
        <v>3730</v>
      </c>
      <c r="E36" s="2" t="s">
        <v>1591</v>
      </c>
      <c r="F36" s="2" t="s">
        <v>1171</v>
      </c>
      <c r="G36" s="2" t="s">
        <v>1370</v>
      </c>
      <c r="H36" s="2" t="s">
        <v>873</v>
      </c>
      <c r="I36" s="2" t="s">
        <v>1247</v>
      </c>
      <c r="J36" s="78" t="s">
        <v>1145</v>
      </c>
      <c r="K36" s="2" t="s">
        <v>13</v>
      </c>
    </row>
    <row r="37" spans="1:11" ht="13.5" thickBot="1" x14ac:dyDescent="0.25">
      <c r="A37" s="2" t="s">
        <v>433</v>
      </c>
      <c r="B37" s="1" t="s">
        <v>432</v>
      </c>
      <c r="C37" s="2" t="s">
        <v>19</v>
      </c>
      <c r="D37" s="4">
        <v>2735</v>
      </c>
      <c r="E37" s="2" t="s">
        <v>1244</v>
      </c>
      <c r="F37" s="2" t="s">
        <v>1149</v>
      </c>
      <c r="G37" s="2" t="s">
        <v>1377</v>
      </c>
      <c r="H37" s="2" t="s">
        <v>872</v>
      </c>
      <c r="I37" s="2" t="s">
        <v>1247</v>
      </c>
      <c r="J37" s="2" t="s">
        <v>1595</v>
      </c>
      <c r="K37" s="2" t="s">
        <v>872</v>
      </c>
    </row>
    <row r="38" spans="1:11" ht="13.5" thickBot="1" x14ac:dyDescent="0.25">
      <c r="A38" s="2" t="s">
        <v>435</v>
      </c>
      <c r="B38" s="1" t="s">
        <v>434</v>
      </c>
      <c r="C38" s="2" t="s">
        <v>19</v>
      </c>
      <c r="D38" s="4">
        <v>1900</v>
      </c>
      <c r="E38" s="2" t="s">
        <v>1596</v>
      </c>
      <c r="F38" s="2" t="s">
        <v>1229</v>
      </c>
      <c r="G38" s="2" t="s">
        <v>1377</v>
      </c>
      <c r="H38" s="2" t="s">
        <v>873</v>
      </c>
      <c r="I38" s="2" t="s">
        <v>1247</v>
      </c>
      <c r="J38" s="2" t="s">
        <v>891</v>
      </c>
      <c r="K38" s="2" t="s">
        <v>13</v>
      </c>
    </row>
    <row r="39" spans="1:11" ht="13.5" thickBot="1" x14ac:dyDescent="0.25">
      <c r="A39" s="2" t="s">
        <v>439</v>
      </c>
      <c r="B39" s="1" t="s">
        <v>438</v>
      </c>
      <c r="C39" s="2" t="s">
        <v>19</v>
      </c>
      <c r="D39" s="4">
        <v>2027</v>
      </c>
      <c r="E39" s="2" t="s">
        <v>1598</v>
      </c>
      <c r="F39" s="2" t="s">
        <v>1222</v>
      </c>
      <c r="G39" s="2" t="s">
        <v>1375</v>
      </c>
      <c r="H39" s="2" t="s">
        <v>873</v>
      </c>
      <c r="I39" s="169" t="s">
        <v>16</v>
      </c>
      <c r="J39" s="2" t="s">
        <v>13</v>
      </c>
      <c r="K39" s="2" t="s">
        <v>13</v>
      </c>
    </row>
    <row r="40" spans="1:11" ht="13.5" thickBot="1" x14ac:dyDescent="0.25">
      <c r="A40" s="2" t="s">
        <v>449</v>
      </c>
      <c r="B40" s="1" t="s">
        <v>448</v>
      </c>
      <c r="C40" s="2" t="s">
        <v>19</v>
      </c>
      <c r="D40" s="4">
        <v>2835</v>
      </c>
      <c r="E40" s="2" t="s">
        <v>1246</v>
      </c>
      <c r="F40" s="2" t="s">
        <v>1207</v>
      </c>
      <c r="G40" s="2" t="s">
        <v>1375</v>
      </c>
      <c r="H40" s="2" t="s">
        <v>873</v>
      </c>
      <c r="I40" s="78" t="s">
        <v>1473</v>
      </c>
      <c r="J40" s="78" t="s">
        <v>891</v>
      </c>
      <c r="K40" s="78" t="s">
        <v>872</v>
      </c>
    </row>
    <row r="41" spans="1:11" ht="13.5" thickBot="1" x14ac:dyDescent="0.25">
      <c r="A41" s="2" t="s">
        <v>455</v>
      </c>
      <c r="B41" s="1" t="s">
        <v>454</v>
      </c>
      <c r="C41" s="2" t="s">
        <v>19</v>
      </c>
      <c r="D41" s="4">
        <v>2372</v>
      </c>
      <c r="E41" s="2" t="s">
        <v>1248</v>
      </c>
      <c r="F41" s="2" t="s">
        <v>1173</v>
      </c>
      <c r="G41" s="2" t="s">
        <v>1365</v>
      </c>
      <c r="H41" s="2" t="s">
        <v>873</v>
      </c>
      <c r="I41" s="169" t="s">
        <v>16</v>
      </c>
      <c r="J41" s="169" t="s">
        <v>16</v>
      </c>
      <c r="K41" s="2" t="s">
        <v>873</v>
      </c>
    </row>
    <row r="42" spans="1:11" ht="13.5" thickBot="1" x14ac:dyDescent="0.25">
      <c r="A42" s="2" t="s">
        <v>469</v>
      </c>
      <c r="B42" s="1" t="s">
        <v>468</v>
      </c>
      <c r="C42" s="2" t="s">
        <v>19</v>
      </c>
      <c r="D42" s="4">
        <v>3667</v>
      </c>
      <c r="E42" s="2" t="s">
        <v>1250</v>
      </c>
      <c r="F42" s="2" t="s">
        <v>1143</v>
      </c>
      <c r="G42" s="2" t="s">
        <v>1365</v>
      </c>
      <c r="H42" s="2" t="s">
        <v>873</v>
      </c>
      <c r="I42" s="169" t="s">
        <v>16</v>
      </c>
      <c r="J42" s="169" t="s">
        <v>16</v>
      </c>
      <c r="K42" s="2" t="s">
        <v>872</v>
      </c>
    </row>
    <row r="43" spans="1:11" ht="13.5" thickBot="1" x14ac:dyDescent="0.25">
      <c r="A43" s="2" t="s">
        <v>476</v>
      </c>
      <c r="B43" s="1" t="s">
        <v>475</v>
      </c>
      <c r="C43" s="2" t="s">
        <v>19</v>
      </c>
      <c r="D43" s="4">
        <v>492</v>
      </c>
      <c r="E43" s="2" t="s">
        <v>1614</v>
      </c>
      <c r="F43" s="2" t="s">
        <v>1251</v>
      </c>
      <c r="G43" s="2" t="s">
        <v>1370</v>
      </c>
      <c r="H43" s="2" t="s">
        <v>872</v>
      </c>
      <c r="I43" s="78" t="s">
        <v>1247</v>
      </c>
      <c r="J43" s="2" t="s">
        <v>892</v>
      </c>
      <c r="K43" s="2" t="s">
        <v>13</v>
      </c>
    </row>
    <row r="44" spans="1:11" ht="13.5" thickBot="1" x14ac:dyDescent="0.25">
      <c r="A44" s="2" t="s">
        <v>492</v>
      </c>
      <c r="B44" s="1" t="s">
        <v>491</v>
      </c>
      <c r="C44" s="2" t="s">
        <v>19</v>
      </c>
      <c r="D44" s="4">
        <v>3115</v>
      </c>
      <c r="E44" s="2" t="s">
        <v>1621</v>
      </c>
      <c r="F44" s="2" t="s">
        <v>1152</v>
      </c>
      <c r="G44" s="2" t="s">
        <v>1368</v>
      </c>
      <c r="H44" s="2" t="s">
        <v>873</v>
      </c>
      <c r="I44" s="169" t="s">
        <v>16</v>
      </c>
      <c r="J44" s="169" t="s">
        <v>16</v>
      </c>
      <c r="K44" s="78" t="s">
        <v>872</v>
      </c>
    </row>
    <row r="45" spans="1:11" ht="13.5" thickBot="1" x14ac:dyDescent="0.25">
      <c r="A45" s="2" t="s">
        <v>508</v>
      </c>
      <c r="B45" s="1" t="s">
        <v>507</v>
      </c>
      <c r="C45" s="2" t="s">
        <v>19</v>
      </c>
      <c r="D45" s="4">
        <v>2440</v>
      </c>
      <c r="E45" s="2" t="s">
        <v>1631</v>
      </c>
      <c r="F45" s="2" t="s">
        <v>1177</v>
      </c>
      <c r="G45" s="2" t="s">
        <v>1370</v>
      </c>
      <c r="H45" s="2" t="s">
        <v>873</v>
      </c>
      <c r="I45" s="2" t="s">
        <v>1247</v>
      </c>
      <c r="J45" s="2" t="s">
        <v>1145</v>
      </c>
      <c r="K45" s="2" t="s">
        <v>13</v>
      </c>
    </row>
    <row r="46" spans="1:11" ht="13.5" thickBot="1" x14ac:dyDescent="0.25">
      <c r="A46" s="2" t="s">
        <v>516</v>
      </c>
      <c r="B46" s="1" t="s">
        <v>515</v>
      </c>
      <c r="C46" s="2" t="s">
        <v>19</v>
      </c>
      <c r="D46" s="4">
        <v>3433</v>
      </c>
      <c r="E46" s="2" t="s">
        <v>1635</v>
      </c>
      <c r="F46" s="2" t="s">
        <v>1164</v>
      </c>
      <c r="G46" s="2" t="s">
        <v>1368</v>
      </c>
      <c r="H46" s="2" t="s">
        <v>873</v>
      </c>
      <c r="I46" s="169" t="s">
        <v>16</v>
      </c>
      <c r="J46" s="169" t="s">
        <v>16</v>
      </c>
      <c r="K46" s="2" t="s">
        <v>872</v>
      </c>
    </row>
    <row r="47" spans="1:11" ht="13.5" thickBot="1" x14ac:dyDescent="0.25">
      <c r="A47" s="2" t="s">
        <v>536</v>
      </c>
      <c r="B47" s="1" t="s">
        <v>535</v>
      </c>
      <c r="C47" s="2" t="s">
        <v>19</v>
      </c>
      <c r="D47" s="4">
        <v>1848</v>
      </c>
      <c r="E47" s="2" t="s">
        <v>1644</v>
      </c>
      <c r="F47" s="2" t="s">
        <v>1155</v>
      </c>
      <c r="G47" s="2" t="s">
        <v>1365</v>
      </c>
      <c r="H47" s="2" t="s">
        <v>873</v>
      </c>
      <c r="I47" s="2" t="s">
        <v>1247</v>
      </c>
      <c r="J47" s="169" t="s">
        <v>16</v>
      </c>
      <c r="K47" s="2" t="s">
        <v>13</v>
      </c>
    </row>
    <row r="48" spans="1:11" ht="13.5" thickBot="1" x14ac:dyDescent="0.25">
      <c r="A48" s="2" t="s">
        <v>552</v>
      </c>
      <c r="B48" s="1" t="s">
        <v>551</v>
      </c>
      <c r="C48" s="2" t="s">
        <v>19</v>
      </c>
      <c r="D48" s="4">
        <v>3645</v>
      </c>
      <c r="E48" s="2" t="s">
        <v>1271</v>
      </c>
      <c r="F48" s="2" t="s">
        <v>1140</v>
      </c>
      <c r="G48" s="2" t="s">
        <v>1381</v>
      </c>
      <c r="H48" s="2" t="s">
        <v>872</v>
      </c>
      <c r="I48" s="2" t="s">
        <v>1247</v>
      </c>
      <c r="J48" s="2" t="s">
        <v>1652</v>
      </c>
      <c r="K48" s="2" t="s">
        <v>13</v>
      </c>
    </row>
    <row r="49" spans="1:11" ht="13.5" thickBot="1" x14ac:dyDescent="0.25">
      <c r="A49" s="2" t="s">
        <v>566</v>
      </c>
      <c r="B49" s="1" t="s">
        <v>565</v>
      </c>
      <c r="C49" s="2" t="s">
        <v>19</v>
      </c>
      <c r="D49" s="4">
        <v>3679</v>
      </c>
      <c r="E49" s="2" t="s">
        <v>1177</v>
      </c>
      <c r="F49" s="2" t="s">
        <v>1177</v>
      </c>
      <c r="G49" s="2" t="s">
        <v>1370</v>
      </c>
      <c r="H49" s="2" t="s">
        <v>872</v>
      </c>
      <c r="I49" s="2" t="s">
        <v>1247</v>
      </c>
      <c r="J49" s="2" t="s">
        <v>1660</v>
      </c>
      <c r="K49" s="2" t="s">
        <v>872</v>
      </c>
    </row>
    <row r="50" spans="1:11" ht="13.5" thickBot="1" x14ac:dyDescent="0.25">
      <c r="A50" s="2" t="s">
        <v>570</v>
      </c>
      <c r="B50" s="1" t="s">
        <v>569</v>
      </c>
      <c r="C50" s="2" t="s">
        <v>19</v>
      </c>
      <c r="D50" s="4">
        <v>1830</v>
      </c>
      <c r="E50" s="2" t="s">
        <v>1662</v>
      </c>
      <c r="F50" s="2" t="s">
        <v>1171</v>
      </c>
      <c r="G50" s="2" t="s">
        <v>1370</v>
      </c>
      <c r="H50" s="2" t="s">
        <v>873</v>
      </c>
      <c r="I50" s="169" t="s">
        <v>16</v>
      </c>
      <c r="J50" s="169" t="s">
        <v>16</v>
      </c>
      <c r="K50" s="78" t="s">
        <v>13</v>
      </c>
    </row>
    <row r="51" spans="1:11" ht="13.5" thickBot="1" x14ac:dyDescent="0.25">
      <c r="A51" s="2" t="s">
        <v>592</v>
      </c>
      <c r="B51" s="1" t="s">
        <v>591</v>
      </c>
      <c r="C51" s="2" t="s">
        <v>19</v>
      </c>
      <c r="D51" s="4">
        <v>1939</v>
      </c>
      <c r="E51" s="2" t="s">
        <v>1279</v>
      </c>
      <c r="F51" s="2" t="s">
        <v>1228</v>
      </c>
      <c r="G51" s="2" t="s">
        <v>1375</v>
      </c>
      <c r="H51" s="2" t="s">
        <v>872</v>
      </c>
      <c r="I51" s="78" t="s">
        <v>1247</v>
      </c>
      <c r="J51" s="78" t="s">
        <v>1674</v>
      </c>
      <c r="K51" s="2" t="s">
        <v>872</v>
      </c>
    </row>
    <row r="52" spans="1:11" ht="13.5" thickBot="1" x14ac:dyDescent="0.25">
      <c r="A52" s="2" t="s">
        <v>612</v>
      </c>
      <c r="B52" s="1" t="s">
        <v>611</v>
      </c>
      <c r="C52" s="2" t="s">
        <v>19</v>
      </c>
      <c r="D52" s="4">
        <v>5033</v>
      </c>
      <c r="E52" s="2" t="s">
        <v>1282</v>
      </c>
      <c r="F52" s="2" t="s">
        <v>1150</v>
      </c>
      <c r="G52" s="2" t="s">
        <v>1368</v>
      </c>
      <c r="H52" s="2" t="s">
        <v>872</v>
      </c>
      <c r="I52" s="2" t="s">
        <v>1247</v>
      </c>
      <c r="J52" s="2" t="s">
        <v>1681</v>
      </c>
      <c r="K52" s="2" t="s">
        <v>872</v>
      </c>
    </row>
    <row r="53" spans="1:11" ht="13.5" thickBot="1" x14ac:dyDescent="0.25">
      <c r="A53" s="2" t="s">
        <v>632</v>
      </c>
      <c r="B53" s="1" t="s">
        <v>631</v>
      </c>
      <c r="C53" s="2" t="s">
        <v>19</v>
      </c>
      <c r="D53" s="4">
        <v>3739</v>
      </c>
      <c r="E53" s="2" t="s">
        <v>1285</v>
      </c>
      <c r="F53" s="2" t="s">
        <v>1146</v>
      </c>
      <c r="G53" s="2" t="s">
        <v>1388</v>
      </c>
      <c r="H53" s="2" t="s">
        <v>872</v>
      </c>
      <c r="I53" s="78" t="s">
        <v>1247</v>
      </c>
      <c r="J53" s="78" t="s">
        <v>1502</v>
      </c>
      <c r="K53" s="169" t="s">
        <v>16</v>
      </c>
    </row>
    <row r="54" spans="1:11" ht="13.5" thickBot="1" x14ac:dyDescent="0.25">
      <c r="A54" s="2" t="s">
        <v>642</v>
      </c>
      <c r="B54" s="1" t="s">
        <v>641</v>
      </c>
      <c r="C54" s="2" t="s">
        <v>19</v>
      </c>
      <c r="D54" s="4">
        <v>1508</v>
      </c>
      <c r="E54" s="2" t="s">
        <v>1288</v>
      </c>
      <c r="F54" s="2" t="s">
        <v>1213</v>
      </c>
      <c r="G54" s="2" t="s">
        <v>1370</v>
      </c>
      <c r="H54" s="2" t="s">
        <v>873</v>
      </c>
      <c r="I54" s="169" t="s">
        <v>16</v>
      </c>
      <c r="J54" s="2" t="s">
        <v>891</v>
      </c>
      <c r="K54" s="2" t="s">
        <v>873</v>
      </c>
    </row>
    <row r="55" spans="1:11" ht="13.5" thickBot="1" x14ac:dyDescent="0.25">
      <c r="A55" s="2" t="s">
        <v>644</v>
      </c>
      <c r="B55" s="1" t="s">
        <v>643</v>
      </c>
      <c r="C55" s="2" t="s">
        <v>19</v>
      </c>
      <c r="D55" s="4">
        <v>3731</v>
      </c>
      <c r="E55" s="2" t="s">
        <v>1698</v>
      </c>
      <c r="F55" s="2" t="s">
        <v>1234</v>
      </c>
      <c r="G55" s="2" t="s">
        <v>1375</v>
      </c>
      <c r="H55" s="2" t="s">
        <v>873</v>
      </c>
      <c r="I55" s="78" t="s">
        <v>1247</v>
      </c>
      <c r="J55" s="169" t="s">
        <v>16</v>
      </c>
      <c r="K55" s="2" t="s">
        <v>13</v>
      </c>
    </row>
    <row r="56" spans="1:11" ht="13.5" thickBot="1" x14ac:dyDescent="0.25">
      <c r="A56" s="2" t="s">
        <v>650</v>
      </c>
      <c r="B56" s="1" t="s">
        <v>649</v>
      </c>
      <c r="C56" s="2" t="s">
        <v>19</v>
      </c>
      <c r="D56" s="4">
        <v>3674</v>
      </c>
      <c r="E56" s="2" t="s">
        <v>1699</v>
      </c>
      <c r="F56" s="2" t="s">
        <v>1178</v>
      </c>
      <c r="G56" s="2" t="s">
        <v>1375</v>
      </c>
      <c r="H56" s="2" t="s">
        <v>873</v>
      </c>
      <c r="I56" s="169" t="s">
        <v>16</v>
      </c>
      <c r="J56" s="169" t="s">
        <v>16</v>
      </c>
      <c r="K56" s="2" t="s">
        <v>872</v>
      </c>
    </row>
    <row r="57" spans="1:11" ht="13.5" thickBot="1" x14ac:dyDescent="0.25">
      <c r="A57" s="2" t="s">
        <v>652</v>
      </c>
      <c r="B57" s="1" t="s">
        <v>651</v>
      </c>
      <c r="C57" s="2" t="s">
        <v>19</v>
      </c>
      <c r="D57" s="4">
        <v>882</v>
      </c>
      <c r="E57" s="2" t="s">
        <v>1700</v>
      </c>
      <c r="F57" s="2" t="s">
        <v>1213</v>
      </c>
      <c r="G57" s="2" t="s">
        <v>1370</v>
      </c>
      <c r="H57" s="2" t="s">
        <v>873</v>
      </c>
      <c r="I57" s="169" t="s">
        <v>16</v>
      </c>
      <c r="J57" s="2" t="s">
        <v>891</v>
      </c>
      <c r="K57" s="2" t="s">
        <v>873</v>
      </c>
    </row>
    <row r="58" spans="1:11" ht="13.5" thickBot="1" x14ac:dyDescent="0.25">
      <c r="A58" s="2" t="s">
        <v>672</v>
      </c>
      <c r="B58" s="1" t="s">
        <v>671</v>
      </c>
      <c r="C58" s="2" t="s">
        <v>19</v>
      </c>
      <c r="D58" s="4">
        <v>2419</v>
      </c>
      <c r="E58" s="2" t="s">
        <v>1515</v>
      </c>
      <c r="F58" s="2" t="s">
        <v>1125</v>
      </c>
      <c r="G58" s="2" t="s">
        <v>1362</v>
      </c>
      <c r="H58" s="2" t="s">
        <v>872</v>
      </c>
      <c r="I58" s="2" t="s">
        <v>1247</v>
      </c>
      <c r="J58" s="2" t="s">
        <v>1711</v>
      </c>
      <c r="K58" s="2" t="s">
        <v>873</v>
      </c>
    </row>
    <row r="59" spans="1:11" ht="13.5" thickBot="1" x14ac:dyDescent="0.25">
      <c r="A59" s="2" t="s">
        <v>698</v>
      </c>
      <c r="B59" s="1" t="s">
        <v>697</v>
      </c>
      <c r="C59" s="2" t="s">
        <v>19</v>
      </c>
      <c r="D59" s="4">
        <v>3775</v>
      </c>
      <c r="E59" s="2" t="s">
        <v>1255</v>
      </c>
      <c r="F59" s="2" t="s">
        <v>1149</v>
      </c>
      <c r="G59" s="2" t="s">
        <v>1365</v>
      </c>
      <c r="H59" s="2" t="s">
        <v>872</v>
      </c>
      <c r="I59" s="2" t="s">
        <v>1247</v>
      </c>
      <c r="J59" s="2" t="s">
        <v>1728</v>
      </c>
      <c r="K59" s="2" t="s">
        <v>872</v>
      </c>
    </row>
    <row r="60" spans="1:11" ht="13.5" thickBot="1" x14ac:dyDescent="0.25">
      <c r="A60" s="2" t="s">
        <v>704</v>
      </c>
      <c r="B60" s="1" t="s">
        <v>703</v>
      </c>
      <c r="C60" s="2" t="s">
        <v>19</v>
      </c>
      <c r="D60" s="4">
        <v>3138</v>
      </c>
      <c r="E60" s="2" t="s">
        <v>1730</v>
      </c>
      <c r="F60" s="2" t="s">
        <v>1138</v>
      </c>
      <c r="G60" s="2" t="s">
        <v>1375</v>
      </c>
      <c r="H60" s="2" t="s">
        <v>872</v>
      </c>
      <c r="I60" s="2" t="s">
        <v>1247</v>
      </c>
      <c r="J60" s="2" t="s">
        <v>892</v>
      </c>
      <c r="K60" s="2" t="s">
        <v>872</v>
      </c>
    </row>
    <row r="61" spans="1:11" ht="13.5" thickBot="1" x14ac:dyDescent="0.25">
      <c r="A61" s="2" t="s">
        <v>714</v>
      </c>
      <c r="B61" s="1" t="s">
        <v>713</v>
      </c>
      <c r="C61" s="2" t="s">
        <v>19</v>
      </c>
      <c r="D61" s="4">
        <v>3428</v>
      </c>
      <c r="E61" s="2" t="s">
        <v>1736</v>
      </c>
      <c r="F61" s="2" t="s">
        <v>1150</v>
      </c>
      <c r="G61" s="2" t="s">
        <v>1368</v>
      </c>
      <c r="H61" s="2" t="s">
        <v>872</v>
      </c>
      <c r="I61" s="2" t="s">
        <v>1247</v>
      </c>
      <c r="J61" s="2" t="s">
        <v>1737</v>
      </c>
      <c r="K61" s="2" t="s">
        <v>872</v>
      </c>
    </row>
    <row r="62" spans="1:11" ht="13.5" thickBot="1" x14ac:dyDescent="0.25">
      <c r="A62" s="2" t="s">
        <v>716</v>
      </c>
      <c r="B62" s="1" t="s">
        <v>715</v>
      </c>
      <c r="C62" s="2" t="s">
        <v>19</v>
      </c>
      <c r="D62" s="4">
        <v>1932</v>
      </c>
      <c r="E62" s="2" t="s">
        <v>1738</v>
      </c>
      <c r="F62" s="2" t="s">
        <v>1157</v>
      </c>
      <c r="G62" s="2" t="s">
        <v>1377</v>
      </c>
      <c r="H62" s="2" t="s">
        <v>873</v>
      </c>
      <c r="I62" s="2" t="s">
        <v>1247</v>
      </c>
      <c r="J62" s="169" t="s">
        <v>16</v>
      </c>
      <c r="K62" s="2" t="s">
        <v>873</v>
      </c>
    </row>
    <row r="63" spans="1:11" ht="13.5" thickBot="1" x14ac:dyDescent="0.25">
      <c r="A63" s="2" t="s">
        <v>738</v>
      </c>
      <c r="B63" s="1" t="s">
        <v>737</v>
      </c>
      <c r="C63" s="2" t="s">
        <v>19</v>
      </c>
      <c r="D63" s="4">
        <v>2387</v>
      </c>
      <c r="E63" s="2" t="s">
        <v>1301</v>
      </c>
      <c r="F63" s="2" t="s">
        <v>1155</v>
      </c>
      <c r="G63" s="2" t="s">
        <v>1365</v>
      </c>
      <c r="H63" s="2" t="s">
        <v>873</v>
      </c>
      <c r="I63" s="169" t="s">
        <v>16</v>
      </c>
      <c r="J63" s="2" t="s">
        <v>1161</v>
      </c>
      <c r="K63" s="2" t="s">
        <v>13</v>
      </c>
    </row>
    <row r="64" spans="1:11" ht="13.5" thickBot="1" x14ac:dyDescent="0.25">
      <c r="A64" s="2" t="s">
        <v>757</v>
      </c>
      <c r="B64" s="1" t="s">
        <v>756</v>
      </c>
      <c r="C64" s="2" t="s">
        <v>19</v>
      </c>
      <c r="D64" s="4">
        <v>1873</v>
      </c>
      <c r="E64" s="2" t="s">
        <v>1305</v>
      </c>
      <c r="F64" s="2" t="s">
        <v>1129</v>
      </c>
      <c r="G64" s="2" t="s">
        <v>1365</v>
      </c>
      <c r="H64" s="2" t="s">
        <v>872</v>
      </c>
      <c r="I64" s="2" t="s">
        <v>1247</v>
      </c>
      <c r="J64" s="2" t="s">
        <v>898</v>
      </c>
      <c r="K64" s="2" t="s">
        <v>872</v>
      </c>
    </row>
    <row r="65" spans="1:11" ht="13.5" thickBot="1" x14ac:dyDescent="0.25">
      <c r="A65" s="2" t="s">
        <v>775</v>
      </c>
      <c r="B65" s="1" t="s">
        <v>774</v>
      </c>
      <c r="C65" s="2" t="s">
        <v>19</v>
      </c>
      <c r="D65" s="4">
        <v>1652</v>
      </c>
      <c r="E65" s="2" t="s">
        <v>1761</v>
      </c>
      <c r="F65" s="2" t="s">
        <v>1184</v>
      </c>
      <c r="G65" s="2" t="s">
        <v>1373</v>
      </c>
      <c r="H65" s="2" t="s">
        <v>873</v>
      </c>
      <c r="I65" s="169" t="s">
        <v>16</v>
      </c>
      <c r="J65" s="169" t="s">
        <v>16</v>
      </c>
      <c r="K65" s="169" t="s">
        <v>16</v>
      </c>
    </row>
    <row r="66" spans="1:11" ht="13.5" thickBot="1" x14ac:dyDescent="0.25">
      <c r="A66" s="2" t="s">
        <v>787</v>
      </c>
      <c r="B66" s="1" t="s">
        <v>786</v>
      </c>
      <c r="C66" s="2" t="s">
        <v>19</v>
      </c>
      <c r="D66" s="4">
        <v>3895</v>
      </c>
      <c r="E66" s="2" t="s">
        <v>1309</v>
      </c>
      <c r="F66" s="2" t="s">
        <v>1155</v>
      </c>
      <c r="G66" s="2" t="s">
        <v>1365</v>
      </c>
      <c r="H66" s="2" t="s">
        <v>873</v>
      </c>
      <c r="I66" s="2" t="s">
        <v>1247</v>
      </c>
      <c r="J66" s="2" t="s">
        <v>891</v>
      </c>
      <c r="K66" s="2" t="s">
        <v>872</v>
      </c>
    </row>
    <row r="67" spans="1:11" ht="13.5" thickBot="1" x14ac:dyDescent="0.25">
      <c r="A67" s="2" t="s">
        <v>793</v>
      </c>
      <c r="B67" s="1" t="s">
        <v>792</v>
      </c>
      <c r="C67" s="2" t="s">
        <v>19</v>
      </c>
      <c r="D67" s="4">
        <v>2156</v>
      </c>
      <c r="E67" s="2" t="s">
        <v>1768</v>
      </c>
      <c r="F67" s="2" t="s">
        <v>1160</v>
      </c>
      <c r="G67" s="2" t="s">
        <v>1370</v>
      </c>
      <c r="H67" s="2" t="s">
        <v>872</v>
      </c>
      <c r="I67" s="2" t="s">
        <v>1247</v>
      </c>
      <c r="J67" s="2" t="s">
        <v>1769</v>
      </c>
      <c r="K67" s="2" t="s">
        <v>872</v>
      </c>
    </row>
    <row r="68" spans="1:11" ht="13.5" thickBot="1" x14ac:dyDescent="0.25">
      <c r="A68" s="2" t="s">
        <v>795</v>
      </c>
      <c r="B68" s="1" t="s">
        <v>794</v>
      </c>
      <c r="C68" s="2" t="s">
        <v>19</v>
      </c>
      <c r="D68" s="4">
        <v>2475</v>
      </c>
      <c r="E68" s="2" t="s">
        <v>1770</v>
      </c>
      <c r="F68" s="2" t="s">
        <v>1173</v>
      </c>
      <c r="G68" s="2" t="s">
        <v>1365</v>
      </c>
      <c r="H68" s="2" t="s">
        <v>873</v>
      </c>
      <c r="I68" s="169" t="s">
        <v>16</v>
      </c>
      <c r="J68" s="169" t="s">
        <v>16</v>
      </c>
      <c r="K68" s="2" t="s">
        <v>872</v>
      </c>
    </row>
    <row r="69" spans="1:11" ht="13.5" thickBot="1" x14ac:dyDescent="0.25">
      <c r="A69" s="2" t="s">
        <v>799</v>
      </c>
      <c r="B69" s="1" t="s">
        <v>798</v>
      </c>
      <c r="C69" s="2" t="s">
        <v>19</v>
      </c>
      <c r="D69" s="4">
        <v>1968</v>
      </c>
      <c r="E69" s="2" t="s">
        <v>1771</v>
      </c>
      <c r="F69" s="2" t="s">
        <v>1228</v>
      </c>
      <c r="G69" s="2" t="s">
        <v>1375</v>
      </c>
      <c r="H69" s="2" t="s">
        <v>873</v>
      </c>
      <c r="I69" s="169" t="s">
        <v>16</v>
      </c>
      <c r="J69" s="169" t="s">
        <v>16</v>
      </c>
      <c r="K69" s="169" t="s">
        <v>16</v>
      </c>
    </row>
    <row r="70" spans="1:11" ht="13.5" thickBot="1" x14ac:dyDescent="0.25">
      <c r="A70" s="2" t="s">
        <v>809</v>
      </c>
      <c r="B70" s="1" t="s">
        <v>808</v>
      </c>
      <c r="C70" s="2" t="s">
        <v>19</v>
      </c>
      <c r="D70" s="4">
        <v>2202</v>
      </c>
      <c r="E70" s="2" t="s">
        <v>1776</v>
      </c>
      <c r="F70" s="2" t="s">
        <v>1166</v>
      </c>
      <c r="G70" s="2" t="s">
        <v>1368</v>
      </c>
      <c r="H70" s="2" t="s">
        <v>873</v>
      </c>
      <c r="I70" s="169" t="s">
        <v>16</v>
      </c>
      <c r="J70" s="78" t="s">
        <v>891</v>
      </c>
      <c r="K70" s="2" t="s">
        <v>13</v>
      </c>
    </row>
    <row r="71" spans="1:11" ht="13.5" thickBot="1" x14ac:dyDescent="0.25">
      <c r="A71" s="2" t="s">
        <v>821</v>
      </c>
      <c r="B71" s="1" t="s">
        <v>820</v>
      </c>
      <c r="C71" s="2" t="s">
        <v>19</v>
      </c>
      <c r="D71" s="4">
        <v>2913</v>
      </c>
      <c r="E71" s="2" t="s">
        <v>1780</v>
      </c>
      <c r="F71" s="2" t="s">
        <v>1151</v>
      </c>
      <c r="G71" s="2" t="s">
        <v>1375</v>
      </c>
      <c r="H71" s="2" t="s">
        <v>873</v>
      </c>
      <c r="I71" s="169" t="s">
        <v>16</v>
      </c>
      <c r="J71" s="169" t="s">
        <v>16</v>
      </c>
      <c r="K71" s="2" t="s">
        <v>872</v>
      </c>
    </row>
    <row r="72" spans="1:11" ht="13.5" thickBot="1" x14ac:dyDescent="0.25">
      <c r="A72" s="2" t="s">
        <v>833</v>
      </c>
      <c r="B72" s="1" t="s">
        <v>832</v>
      </c>
      <c r="C72" s="2" t="s">
        <v>19</v>
      </c>
      <c r="D72" s="4">
        <v>575</v>
      </c>
      <c r="E72" s="2" t="s">
        <v>1786</v>
      </c>
      <c r="F72" s="2" t="s">
        <v>1201</v>
      </c>
      <c r="G72" s="2" t="s">
        <v>1370</v>
      </c>
      <c r="H72" s="2" t="s">
        <v>872</v>
      </c>
      <c r="I72" s="2" t="s">
        <v>1473</v>
      </c>
      <c r="J72" s="2" t="s">
        <v>1681</v>
      </c>
      <c r="K72" s="2" t="s">
        <v>13</v>
      </c>
    </row>
    <row r="73" spans="1:11" ht="13.5" thickBot="1" x14ac:dyDescent="0.25">
      <c r="A73" s="2" t="s">
        <v>841</v>
      </c>
      <c r="B73" s="1" t="s">
        <v>840</v>
      </c>
      <c r="C73" s="2" t="s">
        <v>19</v>
      </c>
      <c r="D73" s="4">
        <v>2738</v>
      </c>
      <c r="E73" s="2" t="s">
        <v>1790</v>
      </c>
      <c r="F73" s="2" t="s">
        <v>1184</v>
      </c>
      <c r="G73" s="2" t="s">
        <v>1373</v>
      </c>
      <c r="H73" s="2" t="s">
        <v>873</v>
      </c>
      <c r="I73" s="2" t="s">
        <v>1247</v>
      </c>
      <c r="J73" s="2" t="s">
        <v>891</v>
      </c>
      <c r="K73" s="169" t="s">
        <v>16</v>
      </c>
    </row>
    <row r="74" spans="1:11" ht="13.5" thickBot="1" x14ac:dyDescent="0.25">
      <c r="A74" s="2" t="s">
        <v>21</v>
      </c>
      <c r="B74" s="1" t="s">
        <v>20</v>
      </c>
      <c r="C74" s="2" t="s">
        <v>24</v>
      </c>
      <c r="D74" s="4">
        <v>6351</v>
      </c>
      <c r="E74" s="2" t="s">
        <v>1363</v>
      </c>
      <c r="F74" s="2" t="s">
        <v>1125</v>
      </c>
      <c r="G74" s="2" t="s">
        <v>1362</v>
      </c>
      <c r="H74" s="2" t="s">
        <v>873</v>
      </c>
      <c r="I74" s="2" t="s">
        <v>1247</v>
      </c>
      <c r="J74" s="2" t="s">
        <v>1139</v>
      </c>
      <c r="K74" s="2" t="s">
        <v>873</v>
      </c>
    </row>
    <row r="75" spans="1:11" ht="13.5" thickBot="1" x14ac:dyDescent="0.25">
      <c r="A75" s="2" t="s">
        <v>51</v>
      </c>
      <c r="B75" s="1" t="s">
        <v>50</v>
      </c>
      <c r="C75" s="2" t="s">
        <v>24</v>
      </c>
      <c r="D75" s="4">
        <v>6583</v>
      </c>
      <c r="E75" s="2" t="s">
        <v>1141</v>
      </c>
      <c r="F75" s="2" t="s">
        <v>1140</v>
      </c>
      <c r="G75" s="2" t="s">
        <v>1381</v>
      </c>
      <c r="H75" s="2" t="s">
        <v>873</v>
      </c>
      <c r="I75" s="2" t="s">
        <v>1247</v>
      </c>
      <c r="J75" s="2" t="s">
        <v>891</v>
      </c>
      <c r="K75" s="78" t="s">
        <v>872</v>
      </c>
    </row>
    <row r="76" spans="1:11" ht="13.5" thickBot="1" x14ac:dyDescent="0.25">
      <c r="A76" s="2" t="s">
        <v>62</v>
      </c>
      <c r="B76" s="1" t="s">
        <v>61</v>
      </c>
      <c r="C76" s="2" t="s">
        <v>24</v>
      </c>
      <c r="D76" s="4">
        <v>5379</v>
      </c>
      <c r="E76" s="2" t="s">
        <v>1147</v>
      </c>
      <c r="F76" s="2" t="s">
        <v>1146</v>
      </c>
      <c r="G76" s="2" t="s">
        <v>1388</v>
      </c>
      <c r="H76" s="2" t="s">
        <v>872</v>
      </c>
      <c r="I76" s="2" t="s">
        <v>1247</v>
      </c>
      <c r="J76" s="2" t="s">
        <v>1389</v>
      </c>
      <c r="K76" s="2" t="s">
        <v>873</v>
      </c>
    </row>
    <row r="77" spans="1:11" ht="13.5" thickBot="1" x14ac:dyDescent="0.25">
      <c r="A77" s="2" t="s">
        <v>66</v>
      </c>
      <c r="B77" s="1" t="s">
        <v>65</v>
      </c>
      <c r="C77" s="2" t="s">
        <v>24</v>
      </c>
      <c r="D77" s="4">
        <v>4265</v>
      </c>
      <c r="E77" s="2" t="s">
        <v>1148</v>
      </c>
      <c r="F77" s="2" t="s">
        <v>1129</v>
      </c>
      <c r="G77" s="2" t="s">
        <v>1391</v>
      </c>
      <c r="H77" s="2" t="s">
        <v>872</v>
      </c>
      <c r="I77" s="2" t="s">
        <v>1247</v>
      </c>
      <c r="J77" s="2" t="s">
        <v>1392</v>
      </c>
      <c r="K77" s="2" t="s">
        <v>872</v>
      </c>
    </row>
    <row r="78" spans="1:11" ht="13.5" thickBot="1" x14ac:dyDescent="0.25">
      <c r="A78" s="2" t="s">
        <v>78</v>
      </c>
      <c r="B78" s="1" t="s">
        <v>77</v>
      </c>
      <c r="C78" s="2" t="s">
        <v>24</v>
      </c>
      <c r="D78" s="4">
        <v>6621</v>
      </c>
      <c r="E78" s="2" t="s">
        <v>1398</v>
      </c>
      <c r="F78" s="2" t="s">
        <v>1150</v>
      </c>
      <c r="G78" s="2" t="s">
        <v>1368</v>
      </c>
      <c r="H78" s="2" t="s">
        <v>872</v>
      </c>
      <c r="I78" s="78" t="s">
        <v>1247</v>
      </c>
      <c r="J78" s="78" t="s">
        <v>1399</v>
      </c>
      <c r="K78" s="2" t="s">
        <v>13</v>
      </c>
    </row>
    <row r="79" spans="1:11" ht="13.5" thickBot="1" x14ac:dyDescent="0.25">
      <c r="A79" s="2" t="s">
        <v>82</v>
      </c>
      <c r="B79" s="1" t="s">
        <v>81</v>
      </c>
      <c r="C79" s="2" t="s">
        <v>24</v>
      </c>
      <c r="D79" s="4">
        <v>4075</v>
      </c>
      <c r="E79" s="2" t="s">
        <v>1401</v>
      </c>
      <c r="F79" s="2" t="s">
        <v>1151</v>
      </c>
      <c r="G79" s="2" t="s">
        <v>1375</v>
      </c>
      <c r="H79" s="2" t="s">
        <v>873</v>
      </c>
      <c r="I79" s="169" t="s">
        <v>16</v>
      </c>
      <c r="J79" s="2" t="s">
        <v>1139</v>
      </c>
      <c r="K79" s="2" t="s">
        <v>872</v>
      </c>
    </row>
    <row r="80" spans="1:11" ht="13.5" thickBot="1" x14ac:dyDescent="0.25">
      <c r="A80" s="2" t="s">
        <v>106</v>
      </c>
      <c r="B80" s="1" t="s">
        <v>105</v>
      </c>
      <c r="C80" s="2" t="s">
        <v>24</v>
      </c>
      <c r="D80" s="4">
        <v>5414</v>
      </c>
      <c r="E80" s="2" t="s">
        <v>1416</v>
      </c>
      <c r="F80" s="2" t="s">
        <v>1160</v>
      </c>
      <c r="G80" s="2" t="s">
        <v>1370</v>
      </c>
      <c r="H80" s="2" t="s">
        <v>872</v>
      </c>
      <c r="I80" s="78" t="s">
        <v>1247</v>
      </c>
      <c r="J80" s="78" t="s">
        <v>1417</v>
      </c>
      <c r="K80" s="2" t="s">
        <v>872</v>
      </c>
    </row>
    <row r="81" spans="1:11" ht="13.5" thickBot="1" x14ac:dyDescent="0.25">
      <c r="A81" s="2" t="s">
        <v>126</v>
      </c>
      <c r="B81" s="1" t="s">
        <v>125</v>
      </c>
      <c r="C81" s="2" t="s">
        <v>24</v>
      </c>
      <c r="D81" s="4">
        <v>6296</v>
      </c>
      <c r="E81" s="2" t="s">
        <v>1427</v>
      </c>
      <c r="F81" s="2" t="s">
        <v>1157</v>
      </c>
      <c r="G81" s="2" t="s">
        <v>1377</v>
      </c>
      <c r="H81" s="2" t="s">
        <v>872</v>
      </c>
      <c r="I81" s="78" t="s">
        <v>1247</v>
      </c>
      <c r="J81" s="78" t="s">
        <v>1428</v>
      </c>
      <c r="K81" s="2" t="s">
        <v>872</v>
      </c>
    </row>
    <row r="82" spans="1:11" ht="13.5" thickBot="1" x14ac:dyDescent="0.25">
      <c r="A82" s="2" t="s">
        <v>132</v>
      </c>
      <c r="B82" s="1" t="s">
        <v>131</v>
      </c>
      <c r="C82" s="2" t="s">
        <v>24</v>
      </c>
      <c r="D82" s="4">
        <v>4005</v>
      </c>
      <c r="E82" s="2" t="s">
        <v>1432</v>
      </c>
      <c r="F82" s="2" t="s">
        <v>1127</v>
      </c>
      <c r="G82" s="2" t="s">
        <v>1368</v>
      </c>
      <c r="H82" s="2" t="s">
        <v>873</v>
      </c>
      <c r="I82" s="169" t="s">
        <v>16</v>
      </c>
      <c r="J82" s="169" t="s">
        <v>16</v>
      </c>
      <c r="K82" s="78" t="s">
        <v>872</v>
      </c>
    </row>
    <row r="83" spans="1:11" ht="13.5" thickBot="1" x14ac:dyDescent="0.25">
      <c r="A83" s="2" t="s">
        <v>146</v>
      </c>
      <c r="B83" s="1" t="s">
        <v>145</v>
      </c>
      <c r="C83" s="2" t="s">
        <v>24</v>
      </c>
      <c r="D83" s="4">
        <v>4191</v>
      </c>
      <c r="E83" s="2" t="s">
        <v>1174</v>
      </c>
      <c r="F83" s="2" t="s">
        <v>1173</v>
      </c>
      <c r="G83" s="2" t="s">
        <v>1365</v>
      </c>
      <c r="H83" s="2" t="s">
        <v>872</v>
      </c>
      <c r="I83" s="2" t="s">
        <v>1247</v>
      </c>
      <c r="J83" s="2" t="s">
        <v>892</v>
      </c>
      <c r="K83" s="2" t="s">
        <v>872</v>
      </c>
    </row>
    <row r="84" spans="1:11" ht="13.5" thickBot="1" x14ac:dyDescent="0.25">
      <c r="A84" s="2" t="s">
        <v>188</v>
      </c>
      <c r="B84" s="1" t="s">
        <v>187</v>
      </c>
      <c r="C84" s="2" t="s">
        <v>24</v>
      </c>
      <c r="D84" s="4">
        <v>4622</v>
      </c>
      <c r="E84" s="2" t="s">
        <v>1464</v>
      </c>
      <c r="F84" s="2" t="s">
        <v>1187</v>
      </c>
      <c r="G84" s="2" t="s">
        <v>1381</v>
      </c>
      <c r="H84" s="2" t="s">
        <v>873</v>
      </c>
      <c r="I84" s="169" t="s">
        <v>16</v>
      </c>
      <c r="J84" s="169" t="s">
        <v>16</v>
      </c>
      <c r="K84" s="2" t="s">
        <v>872</v>
      </c>
    </row>
    <row r="85" spans="1:11" ht="13.5" thickBot="1" x14ac:dyDescent="0.25">
      <c r="A85" s="2" t="s">
        <v>202</v>
      </c>
      <c r="B85" s="1" t="s">
        <v>201</v>
      </c>
      <c r="C85" s="2" t="s">
        <v>24</v>
      </c>
      <c r="D85" s="4">
        <v>4986</v>
      </c>
      <c r="E85" s="2" t="s">
        <v>1192</v>
      </c>
      <c r="F85" s="2" t="s">
        <v>1167</v>
      </c>
      <c r="G85" s="2" t="s">
        <v>1365</v>
      </c>
      <c r="H85" s="2" t="s">
        <v>873</v>
      </c>
      <c r="I85" s="169" t="s">
        <v>16</v>
      </c>
      <c r="J85" s="169" t="s">
        <v>16</v>
      </c>
      <c r="K85" s="2" t="s">
        <v>872</v>
      </c>
    </row>
    <row r="86" spans="1:11" ht="13.5" thickBot="1" x14ac:dyDescent="0.25">
      <c r="A86" s="2" t="s">
        <v>225</v>
      </c>
      <c r="B86" s="1" t="s">
        <v>224</v>
      </c>
      <c r="C86" s="2" t="s">
        <v>24</v>
      </c>
      <c r="D86" s="4">
        <v>4514</v>
      </c>
      <c r="E86" s="2" t="s">
        <v>1483</v>
      </c>
      <c r="F86" s="2" t="s">
        <v>1127</v>
      </c>
      <c r="G86" s="2" t="s">
        <v>1368</v>
      </c>
      <c r="H86" s="2" t="s">
        <v>873</v>
      </c>
      <c r="I86" s="2" t="s">
        <v>1247</v>
      </c>
      <c r="J86" s="2" t="s">
        <v>1145</v>
      </c>
      <c r="K86" s="2" t="s">
        <v>13</v>
      </c>
    </row>
    <row r="87" spans="1:11" ht="13.5" thickBot="1" x14ac:dyDescent="0.25">
      <c r="A87" s="2" t="s">
        <v>241</v>
      </c>
      <c r="B87" s="1" t="s">
        <v>240</v>
      </c>
      <c r="C87" s="2" t="s">
        <v>24</v>
      </c>
      <c r="D87" s="4">
        <v>6838</v>
      </c>
      <c r="E87" s="2" t="s">
        <v>1495</v>
      </c>
      <c r="F87" s="2" t="s">
        <v>1155</v>
      </c>
      <c r="G87" s="2" t="s">
        <v>1365</v>
      </c>
      <c r="H87" s="2" t="s">
        <v>873</v>
      </c>
      <c r="I87" s="169" t="s">
        <v>16</v>
      </c>
      <c r="J87" s="169" t="s">
        <v>16</v>
      </c>
      <c r="K87" s="2" t="s">
        <v>13</v>
      </c>
    </row>
    <row r="88" spans="1:11" ht="13.5" thickBot="1" x14ac:dyDescent="0.25">
      <c r="A88" s="2" t="s">
        <v>247</v>
      </c>
      <c r="B88" s="1" t="s">
        <v>246</v>
      </c>
      <c r="C88" s="2" t="s">
        <v>24</v>
      </c>
      <c r="D88" s="4">
        <v>4869</v>
      </c>
      <c r="E88" s="2" t="s">
        <v>1498</v>
      </c>
      <c r="F88" s="2" t="s">
        <v>1200</v>
      </c>
      <c r="G88" s="2" t="s">
        <v>1365</v>
      </c>
      <c r="H88" s="2" t="s">
        <v>872</v>
      </c>
      <c r="I88" s="2" t="s">
        <v>1247</v>
      </c>
      <c r="J88" s="2" t="s">
        <v>893</v>
      </c>
      <c r="K88" s="2" t="s">
        <v>1145</v>
      </c>
    </row>
    <row r="89" spans="1:11" ht="13.5" thickBot="1" x14ac:dyDescent="0.25">
      <c r="A89" s="2" t="s">
        <v>249</v>
      </c>
      <c r="B89" s="1" t="s">
        <v>248</v>
      </c>
      <c r="C89" s="2" t="s">
        <v>24</v>
      </c>
      <c r="D89" s="4">
        <v>4768</v>
      </c>
      <c r="E89" s="2" t="s">
        <v>1205</v>
      </c>
      <c r="F89" s="2" t="s">
        <v>1140</v>
      </c>
      <c r="G89" s="2" t="s">
        <v>1381</v>
      </c>
      <c r="H89" s="2" t="s">
        <v>873</v>
      </c>
      <c r="I89" s="169" t="s">
        <v>16</v>
      </c>
      <c r="J89" s="2" t="s">
        <v>891</v>
      </c>
      <c r="K89" s="2" t="s">
        <v>873</v>
      </c>
    </row>
    <row r="90" spans="1:11" ht="13.5" thickBot="1" x14ac:dyDescent="0.25">
      <c r="A90" s="2" t="s">
        <v>263</v>
      </c>
      <c r="B90" s="1" t="s">
        <v>262</v>
      </c>
      <c r="C90" s="2" t="s">
        <v>24</v>
      </c>
      <c r="D90" s="4">
        <v>5432</v>
      </c>
      <c r="E90" s="2" t="s">
        <v>1206</v>
      </c>
      <c r="F90" s="2" t="s">
        <v>1132</v>
      </c>
      <c r="G90" s="2" t="s">
        <v>1373</v>
      </c>
      <c r="H90" s="2" t="s">
        <v>872</v>
      </c>
      <c r="I90" s="2" t="s">
        <v>1247</v>
      </c>
      <c r="J90" s="2" t="s">
        <v>901</v>
      </c>
      <c r="K90" s="2" t="s">
        <v>872</v>
      </c>
    </row>
    <row r="91" spans="1:11" ht="13.5" thickBot="1" x14ac:dyDescent="0.25">
      <c r="A91" s="2" t="s">
        <v>293</v>
      </c>
      <c r="B91" s="1" t="s">
        <v>292</v>
      </c>
      <c r="C91" s="2" t="s">
        <v>24</v>
      </c>
      <c r="D91" s="4">
        <v>6164</v>
      </c>
      <c r="E91" s="2" t="s">
        <v>1520</v>
      </c>
      <c r="F91" s="2" t="s">
        <v>1213</v>
      </c>
      <c r="G91" s="2" t="s">
        <v>1370</v>
      </c>
      <c r="H91" s="2" t="s">
        <v>873</v>
      </c>
      <c r="I91" s="169" t="s">
        <v>16</v>
      </c>
      <c r="J91" s="2" t="s">
        <v>891</v>
      </c>
      <c r="K91" s="2" t="s">
        <v>13</v>
      </c>
    </row>
    <row r="92" spans="1:11" ht="13.5" thickBot="1" x14ac:dyDescent="0.25">
      <c r="A92" s="2" t="s">
        <v>303</v>
      </c>
      <c r="B92" s="1" t="s">
        <v>302</v>
      </c>
      <c r="C92" s="2" t="s">
        <v>24</v>
      </c>
      <c r="D92" s="4">
        <v>5641</v>
      </c>
      <c r="E92" s="2" t="s">
        <v>1525</v>
      </c>
      <c r="F92" s="2" t="s">
        <v>1200</v>
      </c>
      <c r="G92" s="2" t="s">
        <v>1018</v>
      </c>
      <c r="H92" s="2" t="s">
        <v>873</v>
      </c>
      <c r="I92" s="169" t="s">
        <v>16</v>
      </c>
      <c r="J92" s="169" t="s">
        <v>16</v>
      </c>
      <c r="K92" s="169" t="s">
        <v>16</v>
      </c>
    </row>
    <row r="93" spans="1:11" ht="13.5" thickBot="1" x14ac:dyDescent="0.25">
      <c r="A93" s="2" t="s">
        <v>347</v>
      </c>
      <c r="B93" s="1" t="s">
        <v>346</v>
      </c>
      <c r="C93" s="2" t="s">
        <v>24</v>
      </c>
      <c r="D93" s="4">
        <v>6831</v>
      </c>
      <c r="E93" s="2" t="s">
        <v>1550</v>
      </c>
      <c r="F93" s="2" t="s">
        <v>1171</v>
      </c>
      <c r="G93" s="2" t="s">
        <v>1370</v>
      </c>
      <c r="H93" s="2" t="s">
        <v>873</v>
      </c>
      <c r="I93" s="169" t="s">
        <v>16</v>
      </c>
      <c r="J93" s="169" t="s">
        <v>16</v>
      </c>
      <c r="K93" s="169" t="s">
        <v>16</v>
      </c>
    </row>
    <row r="94" spans="1:11" ht="13.5" thickBot="1" x14ac:dyDescent="0.25">
      <c r="A94" s="2" t="s">
        <v>349</v>
      </c>
      <c r="B94" s="1" t="s">
        <v>348</v>
      </c>
      <c r="C94" s="2" t="s">
        <v>24</v>
      </c>
      <c r="D94" s="4">
        <v>6119</v>
      </c>
      <c r="E94" s="2" t="s">
        <v>1551</v>
      </c>
      <c r="F94" s="2" t="s">
        <v>1150</v>
      </c>
      <c r="G94" s="2" t="s">
        <v>1368</v>
      </c>
      <c r="H94" s="2" t="s">
        <v>872</v>
      </c>
      <c r="I94" s="2" t="s">
        <v>1247</v>
      </c>
      <c r="J94" s="2" t="s">
        <v>1552</v>
      </c>
      <c r="K94" s="2" t="s">
        <v>872</v>
      </c>
    </row>
    <row r="95" spans="1:11" ht="13.5" thickBot="1" x14ac:dyDescent="0.25">
      <c r="A95" s="2" t="s">
        <v>359</v>
      </c>
      <c r="B95" s="1" t="s">
        <v>358</v>
      </c>
      <c r="C95" s="2" t="s">
        <v>24</v>
      </c>
      <c r="D95" s="4">
        <v>6582</v>
      </c>
      <c r="E95" s="2" t="s">
        <v>1558</v>
      </c>
      <c r="F95" s="2" t="s">
        <v>1229</v>
      </c>
      <c r="G95" s="2" t="s">
        <v>1377</v>
      </c>
      <c r="H95" s="2" t="s">
        <v>873</v>
      </c>
      <c r="I95" s="2" t="s">
        <v>1247</v>
      </c>
      <c r="J95" s="2" t="s">
        <v>891</v>
      </c>
      <c r="K95" s="2" t="s">
        <v>872</v>
      </c>
    </row>
    <row r="96" spans="1:11" ht="13.5" thickBot="1" x14ac:dyDescent="0.25">
      <c r="A96" s="2" t="s">
        <v>369</v>
      </c>
      <c r="B96" s="1" t="s">
        <v>368</v>
      </c>
      <c r="C96" s="2" t="s">
        <v>24</v>
      </c>
      <c r="D96" s="4">
        <v>5933</v>
      </c>
      <c r="E96" s="2" t="s">
        <v>1565</v>
      </c>
      <c r="F96" s="2" t="s">
        <v>1195</v>
      </c>
      <c r="G96" s="2" t="s">
        <v>1018</v>
      </c>
      <c r="H96" s="2" t="s">
        <v>872</v>
      </c>
      <c r="I96" s="2" t="s">
        <v>1247</v>
      </c>
      <c r="J96" s="2" t="s">
        <v>1566</v>
      </c>
      <c r="K96" s="2" t="s">
        <v>13</v>
      </c>
    </row>
    <row r="97" spans="1:11" ht="13.5" thickBot="1" x14ac:dyDescent="0.25">
      <c r="A97" s="2" t="s">
        <v>377</v>
      </c>
      <c r="B97" s="1" t="s">
        <v>376</v>
      </c>
      <c r="C97" s="2" t="s">
        <v>24</v>
      </c>
      <c r="D97" s="4">
        <v>4220</v>
      </c>
      <c r="E97" s="2" t="s">
        <v>1568</v>
      </c>
      <c r="F97" s="2" t="s">
        <v>1178</v>
      </c>
      <c r="G97" s="2" t="s">
        <v>1018</v>
      </c>
      <c r="H97" s="2" t="s">
        <v>872</v>
      </c>
      <c r="I97" s="78" t="s">
        <v>1247</v>
      </c>
      <c r="J97" s="169" t="s">
        <v>16</v>
      </c>
      <c r="K97" s="2" t="s">
        <v>872</v>
      </c>
    </row>
    <row r="98" spans="1:11" ht="13.5" thickBot="1" x14ac:dyDescent="0.25">
      <c r="A98" s="2" t="s">
        <v>381</v>
      </c>
      <c r="B98" s="1" t="s">
        <v>380</v>
      </c>
      <c r="C98" s="2" t="s">
        <v>24</v>
      </c>
      <c r="D98" s="4">
        <v>4610</v>
      </c>
      <c r="E98" s="2" t="s">
        <v>1233</v>
      </c>
      <c r="F98" s="2" t="s">
        <v>1133</v>
      </c>
      <c r="G98" s="2" t="s">
        <v>1018</v>
      </c>
      <c r="H98" s="2" t="s">
        <v>872</v>
      </c>
      <c r="I98" s="2" t="s">
        <v>1247</v>
      </c>
      <c r="J98" s="2" t="s">
        <v>1569</v>
      </c>
      <c r="K98" s="2" t="s">
        <v>13</v>
      </c>
    </row>
    <row r="99" spans="1:11" ht="13.5" thickBot="1" x14ac:dyDescent="0.25">
      <c r="A99" s="2" t="s">
        <v>387</v>
      </c>
      <c r="B99" s="1" t="s">
        <v>386</v>
      </c>
      <c r="C99" s="2" t="s">
        <v>24</v>
      </c>
      <c r="D99" s="4">
        <v>5531</v>
      </c>
      <c r="E99" s="2" t="s">
        <v>1572</v>
      </c>
      <c r="F99" s="2" t="s">
        <v>1138</v>
      </c>
      <c r="G99" s="2" t="s">
        <v>1368</v>
      </c>
      <c r="H99" s="2" t="s">
        <v>873</v>
      </c>
      <c r="I99" s="78" t="s">
        <v>1473</v>
      </c>
      <c r="J99" s="169" t="s">
        <v>16</v>
      </c>
      <c r="K99" s="78" t="s">
        <v>872</v>
      </c>
    </row>
    <row r="100" spans="1:11" ht="13.5" thickBot="1" x14ac:dyDescent="0.25">
      <c r="A100" s="2" t="s">
        <v>391</v>
      </c>
      <c r="B100" s="1" t="s">
        <v>390</v>
      </c>
      <c r="C100" s="2" t="s">
        <v>24</v>
      </c>
      <c r="D100" s="4">
        <v>5107</v>
      </c>
      <c r="E100" s="2" t="s">
        <v>1235</v>
      </c>
      <c r="F100" s="2" t="s">
        <v>1126</v>
      </c>
      <c r="G100" s="2" t="s">
        <v>1365</v>
      </c>
      <c r="H100" s="2" t="s">
        <v>872</v>
      </c>
      <c r="I100" s="2" t="s">
        <v>1247</v>
      </c>
      <c r="J100" s="2" t="s">
        <v>1575</v>
      </c>
      <c r="K100" s="2" t="s">
        <v>872</v>
      </c>
    </row>
    <row r="101" spans="1:11" ht="13.5" thickBot="1" x14ac:dyDescent="0.25">
      <c r="A101" s="2" t="s">
        <v>397</v>
      </c>
      <c r="B101" s="1" t="s">
        <v>396</v>
      </c>
      <c r="C101" s="2" t="s">
        <v>24</v>
      </c>
      <c r="D101" s="4">
        <v>5784</v>
      </c>
      <c r="E101" s="2" t="s">
        <v>1579</v>
      </c>
      <c r="F101" s="2" t="s">
        <v>1210</v>
      </c>
      <c r="G101" s="2" t="s">
        <v>1373</v>
      </c>
      <c r="H101" s="2" t="s">
        <v>873</v>
      </c>
      <c r="I101" s="169" t="s">
        <v>16</v>
      </c>
      <c r="J101" s="2" t="s">
        <v>891</v>
      </c>
      <c r="K101" s="2" t="s">
        <v>13</v>
      </c>
    </row>
    <row r="102" spans="1:11" ht="13.5" thickBot="1" x14ac:dyDescent="0.25">
      <c r="A102" s="2" t="s">
        <v>403</v>
      </c>
      <c r="B102" s="1" t="s">
        <v>402</v>
      </c>
      <c r="C102" s="2" t="s">
        <v>24</v>
      </c>
      <c r="D102" s="4">
        <v>5713</v>
      </c>
      <c r="E102" s="2" t="s">
        <v>1237</v>
      </c>
      <c r="F102" s="2" t="s">
        <v>1160</v>
      </c>
      <c r="G102" s="2" t="s">
        <v>1370</v>
      </c>
      <c r="H102" s="2" t="s">
        <v>872</v>
      </c>
      <c r="I102" s="2" t="s">
        <v>1247</v>
      </c>
      <c r="J102" s="2" t="s">
        <v>1581</v>
      </c>
      <c r="K102" s="2" t="s">
        <v>872</v>
      </c>
    </row>
    <row r="103" spans="1:11" ht="13.5" thickBot="1" x14ac:dyDescent="0.25">
      <c r="A103" s="2" t="s">
        <v>407</v>
      </c>
      <c r="B103" s="1" t="s">
        <v>406</v>
      </c>
      <c r="C103" s="2" t="s">
        <v>24</v>
      </c>
      <c r="D103" s="4">
        <v>6443</v>
      </c>
      <c r="E103" s="2" t="s">
        <v>1238</v>
      </c>
      <c r="F103" s="2" t="s">
        <v>1133</v>
      </c>
      <c r="G103" s="2" t="s">
        <v>1377</v>
      </c>
      <c r="H103" s="2" t="s">
        <v>873</v>
      </c>
      <c r="I103" s="2" t="s">
        <v>1247</v>
      </c>
      <c r="J103" s="2" t="s">
        <v>891</v>
      </c>
      <c r="K103" s="2" t="s">
        <v>872</v>
      </c>
    </row>
    <row r="104" spans="1:11" ht="13.5" thickBot="1" x14ac:dyDescent="0.25">
      <c r="A104" s="2" t="s">
        <v>411</v>
      </c>
      <c r="B104" s="1" t="s">
        <v>410</v>
      </c>
      <c r="C104" s="2" t="s">
        <v>24</v>
      </c>
      <c r="D104" s="4">
        <v>4080</v>
      </c>
      <c r="E104" s="2" t="s">
        <v>1240</v>
      </c>
      <c r="F104" s="2" t="s">
        <v>1166</v>
      </c>
      <c r="G104" s="2" t="s">
        <v>1368</v>
      </c>
      <c r="H104" s="2" t="s">
        <v>873</v>
      </c>
      <c r="I104" s="169" t="s">
        <v>16</v>
      </c>
      <c r="J104" s="169" t="s">
        <v>16</v>
      </c>
      <c r="K104" s="2" t="s">
        <v>872</v>
      </c>
    </row>
    <row r="105" spans="1:11" ht="13.5" thickBot="1" x14ac:dyDescent="0.25">
      <c r="A105" s="2" t="s">
        <v>413</v>
      </c>
      <c r="B105" s="1" t="s">
        <v>412</v>
      </c>
      <c r="C105" s="2" t="s">
        <v>24</v>
      </c>
      <c r="D105" s="4">
        <v>5210</v>
      </c>
      <c r="E105" s="2" t="s">
        <v>1584</v>
      </c>
      <c r="F105" s="2" t="s">
        <v>1173</v>
      </c>
      <c r="G105" s="2" t="s">
        <v>1365</v>
      </c>
      <c r="H105" s="2" t="s">
        <v>872</v>
      </c>
      <c r="I105" s="78" t="s">
        <v>1247</v>
      </c>
      <c r="J105" s="78" t="s">
        <v>1407</v>
      </c>
      <c r="K105" s="2" t="s">
        <v>872</v>
      </c>
    </row>
    <row r="106" spans="1:11" ht="13.5" thickBot="1" x14ac:dyDescent="0.25">
      <c r="A106" s="2" t="s">
        <v>415</v>
      </c>
      <c r="B106" s="1" t="s">
        <v>414</v>
      </c>
      <c r="C106" s="2" t="s">
        <v>24</v>
      </c>
      <c r="D106" s="4">
        <v>6997</v>
      </c>
      <c r="E106" s="2" t="s">
        <v>1585</v>
      </c>
      <c r="F106" s="2" t="s">
        <v>1154</v>
      </c>
      <c r="G106" s="2" t="s">
        <v>1373</v>
      </c>
      <c r="H106" s="2" t="s">
        <v>872</v>
      </c>
      <c r="I106" s="2" t="s">
        <v>1247</v>
      </c>
      <c r="J106" s="2" t="s">
        <v>1586</v>
      </c>
      <c r="K106" s="2" t="s">
        <v>872</v>
      </c>
    </row>
    <row r="107" spans="1:11" ht="13.5" thickBot="1" x14ac:dyDescent="0.25">
      <c r="A107" s="2" t="s">
        <v>429</v>
      </c>
      <c r="B107" s="1" t="s">
        <v>428</v>
      </c>
      <c r="C107" s="2" t="s">
        <v>24</v>
      </c>
      <c r="D107" s="4">
        <v>4168</v>
      </c>
      <c r="E107" s="2" t="s">
        <v>1592</v>
      </c>
      <c r="F107" s="2" t="s">
        <v>1143</v>
      </c>
      <c r="G107" s="2" t="s">
        <v>1018</v>
      </c>
      <c r="H107" s="2" t="s">
        <v>873</v>
      </c>
      <c r="I107" s="2" t="s">
        <v>1247</v>
      </c>
      <c r="J107" s="2" t="s">
        <v>1593</v>
      </c>
      <c r="K107" s="2" t="s">
        <v>872</v>
      </c>
    </row>
    <row r="108" spans="1:11" ht="13.5" thickBot="1" x14ac:dyDescent="0.25">
      <c r="A108" s="2" t="s">
        <v>441</v>
      </c>
      <c r="B108" s="1" t="s">
        <v>440</v>
      </c>
      <c r="C108" s="2" t="s">
        <v>24</v>
      </c>
      <c r="D108" s="4">
        <v>4934</v>
      </c>
      <c r="E108" s="2" t="s">
        <v>1599</v>
      </c>
      <c r="F108" s="2" t="s">
        <v>1133</v>
      </c>
      <c r="G108" s="2" t="s">
        <v>1018</v>
      </c>
      <c r="H108" s="2" t="s">
        <v>872</v>
      </c>
      <c r="I108" s="78" t="s">
        <v>1247</v>
      </c>
      <c r="J108" s="2" t="s">
        <v>1600</v>
      </c>
      <c r="K108" s="2" t="s">
        <v>13</v>
      </c>
    </row>
    <row r="109" spans="1:11" ht="13.5" thickBot="1" x14ac:dyDescent="0.25">
      <c r="A109" s="2" t="s">
        <v>443</v>
      </c>
      <c r="B109" s="1" t="s">
        <v>442</v>
      </c>
      <c r="C109" s="2" t="s">
        <v>24</v>
      </c>
      <c r="D109" s="4">
        <v>5857</v>
      </c>
      <c r="E109" s="2" t="s">
        <v>1245</v>
      </c>
      <c r="F109" s="2" t="s">
        <v>1222</v>
      </c>
      <c r="G109" s="2" t="s">
        <v>1375</v>
      </c>
      <c r="H109" s="2" t="s">
        <v>873</v>
      </c>
      <c r="I109" s="169" t="s">
        <v>16</v>
      </c>
      <c r="J109" s="169" t="s">
        <v>16</v>
      </c>
      <c r="K109" s="2" t="s">
        <v>872</v>
      </c>
    </row>
    <row r="110" spans="1:11" ht="13.5" thickBot="1" x14ac:dyDescent="0.25">
      <c r="A110" s="2" t="s">
        <v>465</v>
      </c>
      <c r="B110" s="1" t="s">
        <v>464</v>
      </c>
      <c r="C110" s="2" t="s">
        <v>24</v>
      </c>
      <c r="D110" s="4">
        <v>4141</v>
      </c>
      <c r="E110" s="2" t="s">
        <v>1609</v>
      </c>
      <c r="F110" s="2" t="s">
        <v>1182</v>
      </c>
      <c r="G110" s="2" t="s">
        <v>1375</v>
      </c>
      <c r="H110" s="2" t="s">
        <v>873</v>
      </c>
      <c r="I110" s="2" t="s">
        <v>1247</v>
      </c>
      <c r="J110" s="169" t="s">
        <v>16</v>
      </c>
      <c r="K110" s="2" t="s">
        <v>13</v>
      </c>
    </row>
    <row r="111" spans="1:11" ht="13.5" thickBot="1" x14ac:dyDescent="0.25">
      <c r="A111" s="2" t="s">
        <v>472</v>
      </c>
      <c r="B111" s="1" t="s">
        <v>471</v>
      </c>
      <c r="C111" s="2" t="s">
        <v>24</v>
      </c>
      <c r="D111" s="4">
        <v>4197</v>
      </c>
      <c r="E111" s="2" t="s">
        <v>1198</v>
      </c>
      <c r="F111" s="2" t="s">
        <v>1207</v>
      </c>
      <c r="G111" s="2" t="s">
        <v>1375</v>
      </c>
      <c r="H111" s="2" t="s">
        <v>872</v>
      </c>
      <c r="I111" s="2" t="s">
        <v>1247</v>
      </c>
      <c r="J111" s="2" t="s">
        <v>1611</v>
      </c>
      <c r="K111" s="2" t="s">
        <v>872</v>
      </c>
    </row>
    <row r="112" spans="1:11" ht="13.5" thickBot="1" x14ac:dyDescent="0.25">
      <c r="A112" s="2" t="s">
        <v>478</v>
      </c>
      <c r="B112" s="1" t="s">
        <v>477</v>
      </c>
      <c r="C112" s="2" t="s">
        <v>24</v>
      </c>
      <c r="D112" s="4">
        <v>5068</v>
      </c>
      <c r="E112" s="2" t="s">
        <v>1615</v>
      </c>
      <c r="F112" s="2" t="s">
        <v>1128</v>
      </c>
      <c r="G112" s="2" t="s">
        <v>1373</v>
      </c>
      <c r="H112" s="2" t="s">
        <v>872</v>
      </c>
      <c r="I112" s="2" t="s">
        <v>1247</v>
      </c>
      <c r="J112" s="2" t="s">
        <v>1616</v>
      </c>
      <c r="K112" s="2" t="s">
        <v>872</v>
      </c>
    </row>
    <row r="113" spans="1:11" ht="13.5" thickBot="1" x14ac:dyDescent="0.25">
      <c r="A113" s="2" t="s">
        <v>482</v>
      </c>
      <c r="B113" s="1" t="s">
        <v>481</v>
      </c>
      <c r="C113" s="2" t="s">
        <v>24</v>
      </c>
      <c r="D113" s="4">
        <v>4968</v>
      </c>
      <c r="E113" s="2" t="s">
        <v>1252</v>
      </c>
      <c r="F113" s="2" t="s">
        <v>1132</v>
      </c>
      <c r="G113" s="2" t="s">
        <v>1375</v>
      </c>
      <c r="H113" s="2" t="s">
        <v>872</v>
      </c>
      <c r="I113" s="78" t="s">
        <v>1247</v>
      </c>
      <c r="J113" s="2" t="s">
        <v>1618</v>
      </c>
      <c r="K113" s="2" t="s">
        <v>872</v>
      </c>
    </row>
    <row r="114" spans="1:11" ht="13.5" thickBot="1" x14ac:dyDescent="0.25">
      <c r="A114" s="2" t="s">
        <v>494</v>
      </c>
      <c r="B114" s="1" t="s">
        <v>493</v>
      </c>
      <c r="C114" s="2" t="s">
        <v>24</v>
      </c>
      <c r="D114" s="4">
        <v>4101</v>
      </c>
      <c r="E114" s="2" t="s">
        <v>1256</v>
      </c>
      <c r="F114" s="2" t="s">
        <v>1179</v>
      </c>
      <c r="G114" s="2" t="s">
        <v>1377</v>
      </c>
      <c r="H114" s="2" t="s">
        <v>872</v>
      </c>
      <c r="I114" s="2" t="s">
        <v>1473</v>
      </c>
      <c r="J114" s="2" t="s">
        <v>1622</v>
      </c>
      <c r="K114" s="2" t="s">
        <v>872</v>
      </c>
    </row>
    <row r="115" spans="1:11" ht="13.5" thickBot="1" x14ac:dyDescent="0.25">
      <c r="A115" s="2" t="s">
        <v>496</v>
      </c>
      <c r="B115" s="1" t="s">
        <v>495</v>
      </c>
      <c r="C115" s="2" t="s">
        <v>24</v>
      </c>
      <c r="D115" s="4">
        <v>5241</v>
      </c>
      <c r="E115" s="2" t="s">
        <v>1623</v>
      </c>
      <c r="F115" s="2" t="s">
        <v>1127</v>
      </c>
      <c r="G115" s="2" t="s">
        <v>1368</v>
      </c>
      <c r="H115" s="2" t="s">
        <v>872</v>
      </c>
      <c r="I115" s="78" t="s">
        <v>1473</v>
      </c>
      <c r="J115" s="2" t="s">
        <v>1407</v>
      </c>
      <c r="K115" s="2" t="s">
        <v>872</v>
      </c>
    </row>
    <row r="116" spans="1:11" ht="13.5" thickBot="1" x14ac:dyDescent="0.25">
      <c r="A116" s="2" t="s">
        <v>504</v>
      </c>
      <c r="B116" s="1" t="s">
        <v>503</v>
      </c>
      <c r="C116" s="2" t="s">
        <v>24</v>
      </c>
      <c r="D116" s="4">
        <v>5160</v>
      </c>
      <c r="E116" s="2" t="s">
        <v>1629</v>
      </c>
      <c r="F116" s="2" t="s">
        <v>1166</v>
      </c>
      <c r="G116" s="2" t="s">
        <v>1368</v>
      </c>
      <c r="H116" s="2" t="s">
        <v>873</v>
      </c>
      <c r="I116" s="2" t="s">
        <v>1247</v>
      </c>
      <c r="J116" s="169" t="s">
        <v>16</v>
      </c>
      <c r="K116" s="2" t="s">
        <v>872</v>
      </c>
    </row>
    <row r="117" spans="1:11" ht="13.5" thickBot="1" x14ac:dyDescent="0.25">
      <c r="A117" s="2" t="s">
        <v>506</v>
      </c>
      <c r="B117" s="1" t="s">
        <v>505</v>
      </c>
      <c r="C117" s="2" t="s">
        <v>24</v>
      </c>
      <c r="D117" s="4">
        <v>5841</v>
      </c>
      <c r="E117" s="2" t="s">
        <v>1630</v>
      </c>
      <c r="F117" s="2" t="s">
        <v>1209</v>
      </c>
      <c r="G117" s="2" t="s">
        <v>1375</v>
      </c>
      <c r="H117" s="2" t="s">
        <v>873</v>
      </c>
      <c r="I117" s="169" t="s">
        <v>16</v>
      </c>
      <c r="J117" s="169" t="s">
        <v>16</v>
      </c>
      <c r="K117" s="2" t="s">
        <v>13</v>
      </c>
    </row>
    <row r="118" spans="1:11" ht="13.5" thickBot="1" x14ac:dyDescent="0.25">
      <c r="A118" s="2" t="s">
        <v>512</v>
      </c>
      <c r="B118" s="1" t="s">
        <v>511</v>
      </c>
      <c r="C118" s="2" t="s">
        <v>24</v>
      </c>
      <c r="D118" s="4">
        <v>4730</v>
      </c>
      <c r="E118" s="2" t="s">
        <v>1260</v>
      </c>
      <c r="F118" s="2" t="s">
        <v>1167</v>
      </c>
      <c r="G118" s="2" t="s">
        <v>1365</v>
      </c>
      <c r="H118" s="2" t="s">
        <v>873</v>
      </c>
      <c r="I118" s="2" t="s">
        <v>1247</v>
      </c>
      <c r="J118" s="169" t="s">
        <v>16</v>
      </c>
      <c r="K118" s="2" t="s">
        <v>13</v>
      </c>
    </row>
    <row r="119" spans="1:11" ht="13.5" thickBot="1" x14ac:dyDescent="0.25">
      <c r="A119" s="2" t="s">
        <v>530</v>
      </c>
      <c r="B119" s="1" t="s">
        <v>529</v>
      </c>
      <c r="C119" s="2" t="s">
        <v>24</v>
      </c>
      <c r="D119" s="4">
        <v>5072</v>
      </c>
      <c r="E119" s="2" t="s">
        <v>1267</v>
      </c>
      <c r="F119" s="2" t="s">
        <v>1127</v>
      </c>
      <c r="G119" s="2" t="s">
        <v>1368</v>
      </c>
      <c r="H119" s="2" t="s">
        <v>873</v>
      </c>
      <c r="I119" s="169" t="s">
        <v>16</v>
      </c>
      <c r="J119" s="169" t="s">
        <v>16</v>
      </c>
      <c r="K119" s="169" t="s">
        <v>16</v>
      </c>
    </row>
    <row r="120" spans="1:11" ht="13.5" thickBot="1" x14ac:dyDescent="0.25">
      <c r="A120" s="2" t="s">
        <v>532</v>
      </c>
      <c r="B120" s="1" t="s">
        <v>531</v>
      </c>
      <c r="C120" s="2" t="s">
        <v>24</v>
      </c>
      <c r="D120" s="4">
        <v>6634</v>
      </c>
      <c r="E120" s="2" t="s">
        <v>1151</v>
      </c>
      <c r="F120" s="2" t="s">
        <v>1151</v>
      </c>
      <c r="G120" s="2" t="s">
        <v>1375</v>
      </c>
      <c r="H120" s="2" t="s">
        <v>872</v>
      </c>
      <c r="I120" s="2" t="s">
        <v>1247</v>
      </c>
      <c r="J120" s="2" t="s">
        <v>1641</v>
      </c>
      <c r="K120" s="2" t="s">
        <v>872</v>
      </c>
    </row>
    <row r="121" spans="1:11" ht="13.5" thickBot="1" x14ac:dyDescent="0.25">
      <c r="A121" s="2" t="s">
        <v>544</v>
      </c>
      <c r="B121" s="1" t="s">
        <v>543</v>
      </c>
      <c r="C121" s="2" t="s">
        <v>24</v>
      </c>
      <c r="D121" s="4">
        <v>5302</v>
      </c>
      <c r="E121" s="2" t="s">
        <v>1269</v>
      </c>
      <c r="F121" s="2" t="s">
        <v>1157</v>
      </c>
      <c r="G121" s="2" t="s">
        <v>1377</v>
      </c>
      <c r="H121" s="2" t="s">
        <v>872</v>
      </c>
      <c r="I121" s="2" t="s">
        <v>1247</v>
      </c>
      <c r="J121" s="2" t="s">
        <v>1649</v>
      </c>
      <c r="K121" s="2" t="s">
        <v>872</v>
      </c>
    </row>
    <row r="122" spans="1:11" ht="13.5" thickBot="1" x14ac:dyDescent="0.25">
      <c r="A122" s="2" t="s">
        <v>546</v>
      </c>
      <c r="B122" s="1" t="s">
        <v>545</v>
      </c>
      <c r="C122" s="2" t="s">
        <v>24</v>
      </c>
      <c r="D122" s="4">
        <v>6834</v>
      </c>
      <c r="E122" s="2" t="s">
        <v>1195</v>
      </c>
      <c r="F122" s="2" t="s">
        <v>1195</v>
      </c>
      <c r="G122" s="2" t="s">
        <v>1018</v>
      </c>
      <c r="H122" s="2" t="s">
        <v>872</v>
      </c>
      <c r="I122" s="2" t="s">
        <v>1247</v>
      </c>
      <c r="J122" s="2" t="s">
        <v>1650</v>
      </c>
      <c r="K122" s="2" t="s">
        <v>872</v>
      </c>
    </row>
    <row r="123" spans="1:11" ht="13.5" thickBot="1" x14ac:dyDescent="0.25">
      <c r="A123" s="2" t="s">
        <v>550</v>
      </c>
      <c r="B123" s="1" t="s">
        <v>549</v>
      </c>
      <c r="C123" s="2" t="s">
        <v>24</v>
      </c>
      <c r="D123" s="4">
        <v>4469</v>
      </c>
      <c r="E123" s="2" t="s">
        <v>1651</v>
      </c>
      <c r="F123" s="2" t="s">
        <v>1173</v>
      </c>
      <c r="G123" s="2" t="s">
        <v>1365</v>
      </c>
      <c r="H123" s="2" t="s">
        <v>872</v>
      </c>
      <c r="I123" s="78" t="s">
        <v>1247</v>
      </c>
      <c r="J123" s="78" t="s">
        <v>1407</v>
      </c>
      <c r="K123" s="78" t="s">
        <v>872</v>
      </c>
    </row>
    <row r="124" spans="1:11" ht="13.5" thickBot="1" x14ac:dyDescent="0.25">
      <c r="A124" s="2" t="s">
        <v>558</v>
      </c>
      <c r="B124" s="1" t="s">
        <v>557</v>
      </c>
      <c r="C124" s="2" t="s">
        <v>24</v>
      </c>
      <c r="D124" s="4">
        <v>6174</v>
      </c>
      <c r="E124" s="2" t="s">
        <v>1655</v>
      </c>
      <c r="F124" s="2" t="s">
        <v>1167</v>
      </c>
      <c r="G124" s="2" t="s">
        <v>1365</v>
      </c>
      <c r="H124" s="2" t="s">
        <v>873</v>
      </c>
      <c r="I124" s="169" t="s">
        <v>16</v>
      </c>
      <c r="J124" s="169" t="s">
        <v>16</v>
      </c>
      <c r="K124" s="2" t="s">
        <v>872</v>
      </c>
    </row>
    <row r="125" spans="1:11" ht="13.5" thickBot="1" x14ac:dyDescent="0.25">
      <c r="A125" s="2" t="s">
        <v>578</v>
      </c>
      <c r="B125" s="1" t="s">
        <v>577</v>
      </c>
      <c r="C125" s="2" t="s">
        <v>24</v>
      </c>
      <c r="D125" s="4">
        <v>5305</v>
      </c>
      <c r="E125" s="2" t="s">
        <v>1275</v>
      </c>
      <c r="F125" s="2" t="s">
        <v>1152</v>
      </c>
      <c r="G125" s="2" t="s">
        <v>1368</v>
      </c>
      <c r="H125" s="2" t="s">
        <v>873</v>
      </c>
      <c r="I125" s="169" t="s">
        <v>16</v>
      </c>
      <c r="J125" s="169" t="s">
        <v>16</v>
      </c>
      <c r="K125" s="2" t="s">
        <v>872</v>
      </c>
    </row>
    <row r="126" spans="1:11" ht="13.5" thickBot="1" x14ac:dyDescent="0.25">
      <c r="A126" s="2" t="s">
        <v>584</v>
      </c>
      <c r="B126" s="1" t="s">
        <v>583</v>
      </c>
      <c r="C126" s="2" t="s">
        <v>24</v>
      </c>
      <c r="D126" s="4">
        <v>6341</v>
      </c>
      <c r="E126" s="2" t="s">
        <v>1669</v>
      </c>
      <c r="F126" s="2" t="s">
        <v>1182</v>
      </c>
      <c r="G126" s="2" t="s">
        <v>1375</v>
      </c>
      <c r="H126" s="2" t="s">
        <v>873</v>
      </c>
      <c r="I126" s="2" t="s">
        <v>1247</v>
      </c>
      <c r="J126" s="78" t="s">
        <v>1670</v>
      </c>
      <c r="K126" s="2" t="s">
        <v>13</v>
      </c>
    </row>
    <row r="127" spans="1:11" ht="13.5" thickBot="1" x14ac:dyDescent="0.25">
      <c r="A127" s="2" t="s">
        <v>590</v>
      </c>
      <c r="B127" s="1" t="s">
        <v>589</v>
      </c>
      <c r="C127" s="2" t="s">
        <v>24</v>
      </c>
      <c r="D127" s="4">
        <v>5433</v>
      </c>
      <c r="E127" s="2" t="s">
        <v>1673</v>
      </c>
      <c r="F127" s="2" t="s">
        <v>1210</v>
      </c>
      <c r="G127" s="2" t="s">
        <v>1373</v>
      </c>
      <c r="H127" s="2" t="s">
        <v>873</v>
      </c>
      <c r="I127" s="169" t="s">
        <v>16</v>
      </c>
      <c r="J127" s="169" t="s">
        <v>16</v>
      </c>
      <c r="K127" s="2" t="s">
        <v>13</v>
      </c>
    </row>
    <row r="128" spans="1:11" ht="13.5" thickBot="1" x14ac:dyDescent="0.25">
      <c r="A128" s="2" t="s">
        <v>602</v>
      </c>
      <c r="B128" s="1" t="s">
        <v>601</v>
      </c>
      <c r="C128" s="2" t="s">
        <v>24</v>
      </c>
      <c r="D128" s="4">
        <v>6654</v>
      </c>
      <c r="E128" s="2" t="s">
        <v>1678</v>
      </c>
      <c r="F128" s="2" t="s">
        <v>1150</v>
      </c>
      <c r="G128" s="2" t="s">
        <v>1368</v>
      </c>
      <c r="H128" s="2" t="s">
        <v>872</v>
      </c>
      <c r="I128" s="2" t="s">
        <v>1247</v>
      </c>
      <c r="J128" s="78" t="s">
        <v>1679</v>
      </c>
      <c r="K128" s="2" t="s">
        <v>872</v>
      </c>
    </row>
    <row r="129" spans="1:11" ht="13.5" thickBot="1" x14ac:dyDescent="0.25">
      <c r="A129" s="2" t="s">
        <v>606</v>
      </c>
      <c r="B129" s="1" t="s">
        <v>605</v>
      </c>
      <c r="C129" s="2" t="s">
        <v>24</v>
      </c>
      <c r="D129" s="4">
        <v>4105</v>
      </c>
      <c r="E129" s="2" t="s">
        <v>1280</v>
      </c>
      <c r="F129" s="2" t="s">
        <v>1173</v>
      </c>
      <c r="G129" s="2" t="s">
        <v>1365</v>
      </c>
      <c r="H129" s="2" t="s">
        <v>872</v>
      </c>
      <c r="I129" s="2" t="s">
        <v>1247</v>
      </c>
      <c r="J129" s="2" t="s">
        <v>1461</v>
      </c>
      <c r="K129" s="2" t="s">
        <v>872</v>
      </c>
    </row>
    <row r="130" spans="1:11" ht="13.5" thickBot="1" x14ac:dyDescent="0.25">
      <c r="A130" s="2" t="s">
        <v>620</v>
      </c>
      <c r="B130" s="1" t="s">
        <v>619</v>
      </c>
      <c r="C130" s="2" t="s">
        <v>24</v>
      </c>
      <c r="D130" s="4">
        <v>5413</v>
      </c>
      <c r="E130" s="2" t="s">
        <v>1686</v>
      </c>
      <c r="F130" s="2" t="s">
        <v>1155</v>
      </c>
      <c r="G130" s="2" t="s">
        <v>1365</v>
      </c>
      <c r="H130" s="2" t="s">
        <v>873</v>
      </c>
      <c r="I130" s="2" t="s">
        <v>1247</v>
      </c>
      <c r="J130" s="169" t="s">
        <v>16</v>
      </c>
      <c r="K130" s="2" t="s">
        <v>13</v>
      </c>
    </row>
    <row r="131" spans="1:11" ht="13.5" thickBot="1" x14ac:dyDescent="0.25">
      <c r="A131" s="2" t="s">
        <v>626</v>
      </c>
      <c r="B131" s="1" t="s">
        <v>625</v>
      </c>
      <c r="C131" s="2" t="s">
        <v>24</v>
      </c>
      <c r="D131" s="4">
        <v>6847</v>
      </c>
      <c r="E131" s="2" t="s">
        <v>1688</v>
      </c>
      <c r="F131" s="2" t="s">
        <v>1200</v>
      </c>
      <c r="G131" s="2" t="s">
        <v>1365</v>
      </c>
      <c r="H131" s="2" t="s">
        <v>872</v>
      </c>
      <c r="I131" s="2" t="s">
        <v>1247</v>
      </c>
      <c r="J131" s="2" t="s">
        <v>1689</v>
      </c>
      <c r="K131" s="2" t="s">
        <v>872</v>
      </c>
    </row>
    <row r="132" spans="1:11" ht="13.5" thickBot="1" x14ac:dyDescent="0.25">
      <c r="A132" s="2" t="s">
        <v>628</v>
      </c>
      <c r="B132" s="1" t="s">
        <v>627</v>
      </c>
      <c r="C132" s="2" t="s">
        <v>24</v>
      </c>
      <c r="D132" s="4">
        <v>6240</v>
      </c>
      <c r="E132" s="2" t="s">
        <v>1690</v>
      </c>
      <c r="F132" s="2" t="s">
        <v>1164</v>
      </c>
      <c r="G132" s="2" t="s">
        <v>1368</v>
      </c>
      <c r="H132" s="2" t="s">
        <v>872</v>
      </c>
      <c r="I132" s="78" t="s">
        <v>1247</v>
      </c>
      <c r="J132" s="78" t="s">
        <v>1691</v>
      </c>
      <c r="K132" s="78" t="s">
        <v>872</v>
      </c>
    </row>
    <row r="133" spans="1:11" ht="13.5" thickBot="1" x14ac:dyDescent="0.25">
      <c r="A133" s="2" t="s">
        <v>634</v>
      </c>
      <c r="B133" s="1" t="s">
        <v>633</v>
      </c>
      <c r="C133" s="2" t="s">
        <v>24</v>
      </c>
      <c r="D133" s="4">
        <v>5376</v>
      </c>
      <c r="E133" s="2" t="s">
        <v>1286</v>
      </c>
      <c r="F133" s="2" t="s">
        <v>1173</v>
      </c>
      <c r="G133" s="2" t="s">
        <v>1365</v>
      </c>
      <c r="H133" s="2" t="s">
        <v>872</v>
      </c>
      <c r="I133" s="2" t="s">
        <v>1247</v>
      </c>
      <c r="J133" s="2" t="s">
        <v>1693</v>
      </c>
      <c r="K133" s="2" t="s">
        <v>872</v>
      </c>
    </row>
    <row r="134" spans="1:11" ht="13.5" thickBot="1" x14ac:dyDescent="0.25">
      <c r="A134" s="2" t="s">
        <v>640</v>
      </c>
      <c r="B134" s="1" t="s">
        <v>639</v>
      </c>
      <c r="C134" s="2" t="s">
        <v>24</v>
      </c>
      <c r="D134" s="4">
        <v>5523</v>
      </c>
      <c r="E134" s="2" t="s">
        <v>1696</v>
      </c>
      <c r="F134" s="2" t="s">
        <v>1166</v>
      </c>
      <c r="G134" s="2" t="s">
        <v>1368</v>
      </c>
      <c r="H134" s="2" t="s">
        <v>872</v>
      </c>
      <c r="I134" s="2" t="s">
        <v>1247</v>
      </c>
      <c r="J134" s="2" t="s">
        <v>1697</v>
      </c>
      <c r="K134" s="2" t="s">
        <v>872</v>
      </c>
    </row>
    <row r="135" spans="1:11" ht="13.5" thickBot="1" x14ac:dyDescent="0.25">
      <c r="A135" s="2" t="s">
        <v>654</v>
      </c>
      <c r="B135" s="1" t="s">
        <v>653</v>
      </c>
      <c r="C135" s="2" t="s">
        <v>24</v>
      </c>
      <c r="D135" s="4">
        <v>4659</v>
      </c>
      <c r="E135" s="2" t="s">
        <v>1290</v>
      </c>
      <c r="F135" s="2" t="s">
        <v>1164</v>
      </c>
      <c r="G135" s="2" t="s">
        <v>1368</v>
      </c>
      <c r="H135" s="2" t="s">
        <v>872</v>
      </c>
      <c r="I135" s="2" t="s">
        <v>1247</v>
      </c>
      <c r="J135" s="2" t="s">
        <v>1434</v>
      </c>
      <c r="K135" s="2" t="s">
        <v>13</v>
      </c>
    </row>
    <row r="136" spans="1:11" ht="13.5" thickBot="1" x14ac:dyDescent="0.25">
      <c r="A136" s="2" t="s">
        <v>666</v>
      </c>
      <c r="B136" s="1" t="s">
        <v>665</v>
      </c>
      <c r="C136" s="2" t="s">
        <v>24</v>
      </c>
      <c r="D136" s="4">
        <v>6295</v>
      </c>
      <c r="E136" s="2" t="s">
        <v>1234</v>
      </c>
      <c r="F136" s="2" t="s">
        <v>1234</v>
      </c>
      <c r="G136" s="2" t="s">
        <v>1370</v>
      </c>
      <c r="H136" s="2" t="s">
        <v>873</v>
      </c>
      <c r="I136" s="169" t="s">
        <v>16</v>
      </c>
      <c r="J136" s="78" t="s">
        <v>891</v>
      </c>
      <c r="K136" s="2" t="s">
        <v>13</v>
      </c>
    </row>
    <row r="137" spans="1:11" ht="13.5" thickBot="1" x14ac:dyDescent="0.25">
      <c r="A137" s="2" t="s">
        <v>682</v>
      </c>
      <c r="B137" s="1" t="s">
        <v>681</v>
      </c>
      <c r="C137" s="2" t="s">
        <v>24</v>
      </c>
      <c r="D137" s="4">
        <v>4434</v>
      </c>
      <c r="E137" s="2" t="s">
        <v>1717</v>
      </c>
      <c r="F137" s="2" t="s">
        <v>1251</v>
      </c>
      <c r="G137" s="2" t="s">
        <v>1370</v>
      </c>
      <c r="H137" s="2" t="s">
        <v>872</v>
      </c>
      <c r="I137" s="78" t="s">
        <v>1247</v>
      </c>
      <c r="J137" s="78" t="s">
        <v>1718</v>
      </c>
      <c r="K137" s="2" t="s">
        <v>872</v>
      </c>
    </row>
    <row r="138" spans="1:11" ht="13.5" thickBot="1" x14ac:dyDescent="0.25">
      <c r="A138" s="2" t="s">
        <v>692</v>
      </c>
      <c r="B138" s="1" t="s">
        <v>691</v>
      </c>
      <c r="C138" s="2" t="s">
        <v>24</v>
      </c>
      <c r="D138" s="4">
        <v>4375</v>
      </c>
      <c r="E138" s="2" t="s">
        <v>1724</v>
      </c>
      <c r="F138" s="2" t="s">
        <v>1127</v>
      </c>
      <c r="G138" s="2" t="s">
        <v>1368</v>
      </c>
      <c r="H138" s="2" t="s">
        <v>873</v>
      </c>
      <c r="I138" s="78" t="s">
        <v>1247</v>
      </c>
      <c r="J138" s="169" t="s">
        <v>16</v>
      </c>
      <c r="K138" s="2" t="s">
        <v>872</v>
      </c>
    </row>
    <row r="139" spans="1:11" ht="13.5" thickBot="1" x14ac:dyDescent="0.25">
      <c r="A139" s="2" t="s">
        <v>696</v>
      </c>
      <c r="B139" s="1" t="s">
        <v>695</v>
      </c>
      <c r="C139" s="2" t="s">
        <v>24</v>
      </c>
      <c r="D139" s="4">
        <v>5101</v>
      </c>
      <c r="E139" s="2" t="s">
        <v>1726</v>
      </c>
      <c r="F139" s="2" t="s">
        <v>1133</v>
      </c>
      <c r="G139" s="2" t="s">
        <v>1018</v>
      </c>
      <c r="H139" s="2" t="s">
        <v>872</v>
      </c>
      <c r="I139" s="2" t="s">
        <v>1247</v>
      </c>
      <c r="J139" s="2" t="s">
        <v>1727</v>
      </c>
      <c r="K139" s="2" t="s">
        <v>1145</v>
      </c>
    </row>
    <row r="140" spans="1:11" ht="13.5" thickBot="1" x14ac:dyDescent="0.25">
      <c r="A140" s="2" t="s">
        <v>702</v>
      </c>
      <c r="B140" s="1" t="s">
        <v>701</v>
      </c>
      <c r="C140" s="2" t="s">
        <v>24</v>
      </c>
      <c r="D140" s="4">
        <v>4038</v>
      </c>
      <c r="E140" s="2" t="s">
        <v>1293</v>
      </c>
      <c r="F140" s="2" t="s">
        <v>1150</v>
      </c>
      <c r="G140" s="2" t="s">
        <v>1368</v>
      </c>
      <c r="H140" s="2" t="s">
        <v>873</v>
      </c>
      <c r="I140" s="169" t="s">
        <v>16</v>
      </c>
      <c r="J140" s="78" t="s">
        <v>891</v>
      </c>
      <c r="K140" s="2" t="s">
        <v>872</v>
      </c>
    </row>
    <row r="141" spans="1:11" ht="13.5" thickBot="1" x14ac:dyDescent="0.25">
      <c r="A141" s="2" t="s">
        <v>710</v>
      </c>
      <c r="B141" s="1" t="s">
        <v>709</v>
      </c>
      <c r="C141" s="2" t="s">
        <v>24</v>
      </c>
      <c r="D141" s="4">
        <v>5635</v>
      </c>
      <c r="E141" s="2" t="s">
        <v>1733</v>
      </c>
      <c r="F141" s="2" t="s">
        <v>1186</v>
      </c>
      <c r="G141" s="2" t="s">
        <v>1368</v>
      </c>
      <c r="H141" s="2" t="s">
        <v>872</v>
      </c>
      <c r="I141" s="2" t="s">
        <v>1247</v>
      </c>
      <c r="J141" s="2" t="s">
        <v>1734</v>
      </c>
      <c r="K141" s="2" t="s">
        <v>872</v>
      </c>
    </row>
    <row r="142" spans="1:11" ht="13.5" thickBot="1" x14ac:dyDescent="0.25">
      <c r="A142" s="2" t="s">
        <v>732</v>
      </c>
      <c r="B142" s="1" t="s">
        <v>731</v>
      </c>
      <c r="C142" s="2" t="s">
        <v>24</v>
      </c>
      <c r="D142" s="4">
        <v>4046</v>
      </c>
      <c r="E142" s="2" t="s">
        <v>1742</v>
      </c>
      <c r="F142" s="2" t="s">
        <v>1126</v>
      </c>
      <c r="G142" s="2" t="s">
        <v>1365</v>
      </c>
      <c r="H142" s="2" t="s">
        <v>872</v>
      </c>
      <c r="I142" s="2" t="s">
        <v>1247</v>
      </c>
      <c r="J142" s="2" t="s">
        <v>1384</v>
      </c>
      <c r="K142" s="2" t="s">
        <v>13</v>
      </c>
    </row>
    <row r="143" spans="1:11" ht="13.5" thickBot="1" x14ac:dyDescent="0.25">
      <c r="A143" s="2" t="s">
        <v>744</v>
      </c>
      <c r="B143" s="1" t="s">
        <v>743</v>
      </c>
      <c r="C143" s="2" t="s">
        <v>24</v>
      </c>
      <c r="D143" s="4">
        <v>5479</v>
      </c>
      <c r="E143" s="2" t="s">
        <v>1302</v>
      </c>
      <c r="F143" s="2" t="s">
        <v>1222</v>
      </c>
      <c r="G143" s="2" t="s">
        <v>1373</v>
      </c>
      <c r="H143" s="2" t="s">
        <v>873</v>
      </c>
      <c r="I143" s="169" t="s">
        <v>16</v>
      </c>
      <c r="J143" s="169" t="s">
        <v>16</v>
      </c>
      <c r="K143" s="169" t="s">
        <v>16</v>
      </c>
    </row>
    <row r="144" spans="1:11" ht="13.5" thickBot="1" x14ac:dyDescent="0.25">
      <c r="A144" s="2" t="s">
        <v>753</v>
      </c>
      <c r="B144" s="1" t="s">
        <v>752</v>
      </c>
      <c r="C144" s="2" t="s">
        <v>24</v>
      </c>
      <c r="D144" s="4">
        <v>6680</v>
      </c>
      <c r="E144" s="2" t="s">
        <v>1754</v>
      </c>
      <c r="F144" s="2" t="s">
        <v>1164</v>
      </c>
      <c r="G144" s="2" t="s">
        <v>1368</v>
      </c>
      <c r="H144" s="2" t="s">
        <v>873</v>
      </c>
      <c r="I144" s="169" t="s">
        <v>16</v>
      </c>
      <c r="J144" s="2" t="s">
        <v>891</v>
      </c>
      <c r="K144" s="2" t="s">
        <v>872</v>
      </c>
    </row>
    <row r="145" spans="1:11" ht="13.5" thickBot="1" x14ac:dyDescent="0.25">
      <c r="A145" s="2" t="s">
        <v>761</v>
      </c>
      <c r="B145" s="1" t="s">
        <v>760</v>
      </c>
      <c r="C145" s="2" t="s">
        <v>24</v>
      </c>
      <c r="D145" s="4">
        <v>6033</v>
      </c>
      <c r="E145" s="2" t="s">
        <v>1306</v>
      </c>
      <c r="F145" s="2" t="s">
        <v>1164</v>
      </c>
      <c r="G145" s="2" t="s">
        <v>1368</v>
      </c>
      <c r="H145" s="2" t="s">
        <v>872</v>
      </c>
      <c r="I145" s="2" t="s">
        <v>1247</v>
      </c>
      <c r="J145" s="2" t="s">
        <v>1407</v>
      </c>
      <c r="K145" s="2" t="s">
        <v>13</v>
      </c>
    </row>
    <row r="146" spans="1:11" ht="13.5" thickBot="1" x14ac:dyDescent="0.25">
      <c r="A146" s="2" t="s">
        <v>769</v>
      </c>
      <c r="B146" s="1" t="s">
        <v>768</v>
      </c>
      <c r="C146" s="2" t="s">
        <v>24</v>
      </c>
      <c r="D146" s="4">
        <v>4576</v>
      </c>
      <c r="E146" s="2" t="s">
        <v>1307</v>
      </c>
      <c r="F146" s="2" t="s">
        <v>1157</v>
      </c>
      <c r="G146" s="2" t="s">
        <v>1377</v>
      </c>
      <c r="H146" s="2" t="s">
        <v>872</v>
      </c>
      <c r="I146" s="2" t="s">
        <v>1247</v>
      </c>
      <c r="J146" s="2" t="s">
        <v>1622</v>
      </c>
      <c r="K146" s="2" t="s">
        <v>872</v>
      </c>
    </row>
    <row r="147" spans="1:11" ht="13.5" thickBot="1" x14ac:dyDescent="0.25">
      <c r="A147" s="2" t="s">
        <v>783</v>
      </c>
      <c r="B147" s="1" t="s">
        <v>782</v>
      </c>
      <c r="C147" s="2" t="s">
        <v>24</v>
      </c>
      <c r="D147" s="4">
        <v>4757</v>
      </c>
      <c r="E147" s="2" t="s">
        <v>1765</v>
      </c>
      <c r="F147" s="2" t="s">
        <v>1146</v>
      </c>
      <c r="G147" s="2" t="s">
        <v>1388</v>
      </c>
      <c r="H147" s="2" t="s">
        <v>872</v>
      </c>
      <c r="I147" s="78" t="s">
        <v>1247</v>
      </c>
      <c r="J147" s="78" t="s">
        <v>1716</v>
      </c>
      <c r="K147" s="2" t="s">
        <v>13</v>
      </c>
    </row>
    <row r="148" spans="1:11" ht="13.5" thickBot="1" x14ac:dyDescent="0.25">
      <c r="A148" s="2" t="s">
        <v>789</v>
      </c>
      <c r="B148" s="1" t="s">
        <v>788</v>
      </c>
      <c r="C148" s="2" t="s">
        <v>24</v>
      </c>
      <c r="D148" s="4">
        <v>4614</v>
      </c>
      <c r="E148" s="2" t="s">
        <v>1310</v>
      </c>
      <c r="F148" s="2" t="s">
        <v>1190</v>
      </c>
      <c r="G148" s="2" t="s">
        <v>1381</v>
      </c>
      <c r="H148" s="2" t="s">
        <v>873</v>
      </c>
      <c r="I148" s="2" t="s">
        <v>1247</v>
      </c>
      <c r="J148" s="2" t="s">
        <v>891</v>
      </c>
      <c r="K148" s="169" t="s">
        <v>16</v>
      </c>
    </row>
    <row r="149" spans="1:11" ht="13.5" thickBot="1" x14ac:dyDescent="0.25">
      <c r="A149" s="2" t="s">
        <v>801</v>
      </c>
      <c r="B149" s="1" t="s">
        <v>800</v>
      </c>
      <c r="C149" s="2" t="s">
        <v>24</v>
      </c>
      <c r="D149" s="4">
        <v>6999</v>
      </c>
      <c r="E149" s="2" t="s">
        <v>1772</v>
      </c>
      <c r="F149" s="2" t="s">
        <v>1125</v>
      </c>
      <c r="G149" s="2" t="s">
        <v>1362</v>
      </c>
      <c r="H149" s="2" t="s">
        <v>873</v>
      </c>
      <c r="I149" s="169" t="s">
        <v>16</v>
      </c>
      <c r="J149" s="2" t="s">
        <v>13</v>
      </c>
      <c r="K149" s="78" t="s">
        <v>13</v>
      </c>
    </row>
    <row r="150" spans="1:11" ht="13.5" thickBot="1" x14ac:dyDescent="0.25">
      <c r="A150" s="2" t="s">
        <v>811</v>
      </c>
      <c r="B150" s="1" t="s">
        <v>810</v>
      </c>
      <c r="C150" s="2" t="s">
        <v>24</v>
      </c>
      <c r="D150" s="4">
        <v>4837</v>
      </c>
      <c r="E150" s="2" t="s">
        <v>1312</v>
      </c>
      <c r="F150" s="2" t="s">
        <v>1157</v>
      </c>
      <c r="G150" s="2" t="s">
        <v>1377</v>
      </c>
      <c r="H150" s="2" t="s">
        <v>872</v>
      </c>
      <c r="I150" s="2" t="s">
        <v>1247</v>
      </c>
      <c r="J150" s="2" t="s">
        <v>896</v>
      </c>
      <c r="K150" s="2" t="s">
        <v>13</v>
      </c>
    </row>
    <row r="151" spans="1:11" ht="13.5" thickBot="1" x14ac:dyDescent="0.25">
      <c r="A151" s="2" t="s">
        <v>829</v>
      </c>
      <c r="B151" s="1" t="s">
        <v>828</v>
      </c>
      <c r="C151" s="2" t="s">
        <v>24</v>
      </c>
      <c r="D151" s="4">
        <v>5240</v>
      </c>
      <c r="E151" s="2" t="s">
        <v>1315</v>
      </c>
      <c r="F151" s="2" t="s">
        <v>1167</v>
      </c>
      <c r="G151" s="2" t="s">
        <v>1365</v>
      </c>
      <c r="H151" s="2" t="s">
        <v>872</v>
      </c>
      <c r="I151" s="2" t="s">
        <v>1247</v>
      </c>
      <c r="J151" s="2" t="s">
        <v>1529</v>
      </c>
      <c r="K151" s="2" t="s">
        <v>872</v>
      </c>
    </row>
    <row r="152" spans="1:11" ht="13.5" thickBot="1" x14ac:dyDescent="0.25">
      <c r="A152" s="2" t="s">
        <v>31</v>
      </c>
      <c r="B152" s="1" t="s">
        <v>30</v>
      </c>
      <c r="C152" s="2" t="s">
        <v>32</v>
      </c>
      <c r="D152" s="4">
        <v>7410</v>
      </c>
      <c r="E152" s="2" t="s">
        <v>1367</v>
      </c>
      <c r="F152" s="2" t="s">
        <v>1127</v>
      </c>
      <c r="G152" s="2" t="s">
        <v>1368</v>
      </c>
      <c r="H152" s="2" t="s">
        <v>873</v>
      </c>
      <c r="I152" s="169" t="s">
        <v>16</v>
      </c>
      <c r="J152" s="169" t="s">
        <v>16</v>
      </c>
      <c r="K152" s="169" t="s">
        <v>16</v>
      </c>
    </row>
    <row r="153" spans="1:11" ht="13.5" thickBot="1" x14ac:dyDescent="0.25">
      <c r="A153" s="2" t="s">
        <v>34</v>
      </c>
      <c r="B153" s="1" t="s">
        <v>33</v>
      </c>
      <c r="C153" s="2" t="s">
        <v>32</v>
      </c>
      <c r="D153" s="4">
        <v>11600</v>
      </c>
      <c r="E153" s="2" t="s">
        <v>1369</v>
      </c>
      <c r="F153" s="2" t="s">
        <v>1128</v>
      </c>
      <c r="G153" s="2" t="s">
        <v>1370</v>
      </c>
      <c r="H153" s="2" t="s">
        <v>872</v>
      </c>
      <c r="I153" s="2" t="s">
        <v>1247</v>
      </c>
      <c r="J153" s="2" t="s">
        <v>1371</v>
      </c>
      <c r="K153" s="2" t="s">
        <v>872</v>
      </c>
    </row>
    <row r="154" spans="1:11" ht="13.5" thickBot="1" x14ac:dyDescent="0.25">
      <c r="A154" s="2" t="s">
        <v>36</v>
      </c>
      <c r="B154" s="1" t="s">
        <v>35</v>
      </c>
      <c r="C154" s="2" t="s">
        <v>32</v>
      </c>
      <c r="D154" s="4">
        <v>11569</v>
      </c>
      <c r="E154" s="2" t="s">
        <v>1372</v>
      </c>
      <c r="F154" s="2" t="s">
        <v>1129</v>
      </c>
      <c r="G154" s="2" t="s">
        <v>1365</v>
      </c>
      <c r="H154" s="2" t="s">
        <v>872</v>
      </c>
      <c r="I154" s="78" t="s">
        <v>1247</v>
      </c>
      <c r="J154" s="78" t="s">
        <v>897</v>
      </c>
      <c r="K154" s="78" t="s">
        <v>13</v>
      </c>
    </row>
    <row r="155" spans="1:11" ht="13.5" thickBot="1" x14ac:dyDescent="0.25">
      <c r="A155" s="2" t="s">
        <v>38</v>
      </c>
      <c r="B155" s="1" t="s">
        <v>37</v>
      </c>
      <c r="C155" s="2" t="s">
        <v>32</v>
      </c>
      <c r="D155" s="4">
        <v>9706</v>
      </c>
      <c r="E155" s="2" t="s">
        <v>1131</v>
      </c>
      <c r="F155" s="2" t="s">
        <v>1130</v>
      </c>
      <c r="G155" s="2" t="s">
        <v>1373</v>
      </c>
      <c r="H155" s="2" t="s">
        <v>873</v>
      </c>
      <c r="I155" s="2" t="s">
        <v>1247</v>
      </c>
      <c r="J155" s="169" t="s">
        <v>16</v>
      </c>
      <c r="K155" s="2" t="s">
        <v>13</v>
      </c>
    </row>
    <row r="156" spans="1:11" ht="13.5" thickBot="1" x14ac:dyDescent="0.25">
      <c r="A156" s="2" t="s">
        <v>49</v>
      </c>
      <c r="B156" s="1" t="s">
        <v>48</v>
      </c>
      <c r="C156" s="2" t="s">
        <v>32</v>
      </c>
      <c r="D156" s="4">
        <v>11902</v>
      </c>
      <c r="E156" s="2" t="s">
        <v>1379</v>
      </c>
      <c r="F156" s="2" t="s">
        <v>1138</v>
      </c>
      <c r="G156" s="2" t="s">
        <v>1368</v>
      </c>
      <c r="H156" s="2" t="s">
        <v>872</v>
      </c>
      <c r="I156" s="2" t="s">
        <v>1247</v>
      </c>
      <c r="J156" s="2" t="s">
        <v>1380</v>
      </c>
      <c r="K156" s="2" t="s">
        <v>872</v>
      </c>
    </row>
    <row r="157" spans="1:11" ht="13.5" thickBot="1" x14ac:dyDescent="0.25">
      <c r="A157" s="2" t="s">
        <v>57</v>
      </c>
      <c r="B157" s="1" t="s">
        <v>56</v>
      </c>
      <c r="C157" s="2" t="s">
        <v>32</v>
      </c>
      <c r="D157" s="4">
        <v>11000</v>
      </c>
      <c r="E157" s="2" t="s">
        <v>1383</v>
      </c>
      <c r="F157" s="2" t="s">
        <v>1143</v>
      </c>
      <c r="G157" s="2" t="s">
        <v>1018</v>
      </c>
      <c r="H157" s="2" t="s">
        <v>872</v>
      </c>
      <c r="I157" s="2" t="s">
        <v>1247</v>
      </c>
      <c r="J157" s="2" t="s">
        <v>1384</v>
      </c>
      <c r="K157" s="2" t="s">
        <v>872</v>
      </c>
    </row>
    <row r="158" spans="1:11" ht="13.5" thickBot="1" x14ac:dyDescent="0.25">
      <c r="A158" s="2" t="s">
        <v>74</v>
      </c>
      <c r="B158" s="1" t="s">
        <v>73</v>
      </c>
      <c r="C158" s="2" t="s">
        <v>32</v>
      </c>
      <c r="D158" s="4">
        <v>7172</v>
      </c>
      <c r="E158" s="2" t="s">
        <v>1394</v>
      </c>
      <c r="F158" s="2" t="s">
        <v>1149</v>
      </c>
      <c r="G158" s="2" t="s">
        <v>1377</v>
      </c>
      <c r="H158" s="2" t="s">
        <v>872</v>
      </c>
      <c r="I158" s="2" t="s">
        <v>1247</v>
      </c>
      <c r="J158" s="2" t="s">
        <v>1395</v>
      </c>
      <c r="K158" s="2" t="s">
        <v>872</v>
      </c>
    </row>
    <row r="159" spans="1:11" ht="13.5" thickBot="1" x14ac:dyDescent="0.25">
      <c r="A159" s="2" t="s">
        <v>84</v>
      </c>
      <c r="B159" s="1" t="s">
        <v>83</v>
      </c>
      <c r="C159" s="2" t="s">
        <v>32</v>
      </c>
      <c r="D159" s="4">
        <v>11598</v>
      </c>
      <c r="E159" s="2" t="s">
        <v>1402</v>
      </c>
      <c r="F159" s="2" t="s">
        <v>1152</v>
      </c>
      <c r="G159" s="2" t="s">
        <v>1403</v>
      </c>
      <c r="H159" s="2" t="s">
        <v>873</v>
      </c>
      <c r="I159" s="169" t="s">
        <v>16</v>
      </c>
      <c r="J159" s="169" t="s">
        <v>16</v>
      </c>
      <c r="K159" s="2" t="s">
        <v>872</v>
      </c>
    </row>
    <row r="160" spans="1:11" ht="13.5" thickBot="1" x14ac:dyDescent="0.25">
      <c r="A160" s="2" t="s">
        <v>104</v>
      </c>
      <c r="B160" s="1" t="s">
        <v>103</v>
      </c>
      <c r="C160" s="2" t="s">
        <v>32</v>
      </c>
      <c r="D160" s="4">
        <v>9197</v>
      </c>
      <c r="E160" s="2" t="s">
        <v>1414</v>
      </c>
      <c r="F160" s="2" t="s">
        <v>1157</v>
      </c>
      <c r="G160" s="2" t="s">
        <v>1377</v>
      </c>
      <c r="H160" s="2" t="s">
        <v>872</v>
      </c>
      <c r="I160" s="2" t="s">
        <v>1247</v>
      </c>
      <c r="J160" s="2" t="s">
        <v>1415</v>
      </c>
      <c r="K160" s="2" t="s">
        <v>13</v>
      </c>
    </row>
    <row r="161" spans="1:11" ht="13.5" thickBot="1" x14ac:dyDescent="0.25">
      <c r="A161" s="2" t="s">
        <v>112</v>
      </c>
      <c r="B161" s="1" t="s">
        <v>111</v>
      </c>
      <c r="C161" s="2" t="s">
        <v>32</v>
      </c>
      <c r="D161" s="4">
        <v>11825</v>
      </c>
      <c r="E161" s="2" t="s">
        <v>1421</v>
      </c>
      <c r="F161" s="2" t="s">
        <v>1125</v>
      </c>
      <c r="G161" s="2" t="s">
        <v>1362</v>
      </c>
      <c r="H161" s="2" t="s">
        <v>872</v>
      </c>
      <c r="I161" s="2" t="s">
        <v>1247</v>
      </c>
      <c r="J161" s="2" t="s">
        <v>894</v>
      </c>
      <c r="K161" s="2" t="s">
        <v>13</v>
      </c>
    </row>
    <row r="162" spans="1:11" ht="13.5" thickBot="1" x14ac:dyDescent="0.25">
      <c r="A162" s="2" t="s">
        <v>116</v>
      </c>
      <c r="B162" s="1" t="s">
        <v>115</v>
      </c>
      <c r="C162" s="2" t="s">
        <v>32</v>
      </c>
      <c r="D162" s="4">
        <v>7226</v>
      </c>
      <c r="E162" s="2" t="s">
        <v>1423</v>
      </c>
      <c r="F162" s="2" t="s">
        <v>1154</v>
      </c>
      <c r="G162" s="2" t="s">
        <v>1373</v>
      </c>
      <c r="H162" s="2" t="s">
        <v>872</v>
      </c>
      <c r="I162" s="2" t="s">
        <v>1247</v>
      </c>
      <c r="J162" s="2" t="s">
        <v>897</v>
      </c>
      <c r="K162" s="169" t="s">
        <v>16</v>
      </c>
    </row>
    <row r="163" spans="1:11" ht="13.5" thickBot="1" x14ac:dyDescent="0.25">
      <c r="A163" s="2" t="s">
        <v>134</v>
      </c>
      <c r="B163" s="1" t="s">
        <v>133</v>
      </c>
      <c r="C163" s="2" t="s">
        <v>32</v>
      </c>
      <c r="D163" s="4">
        <v>10090</v>
      </c>
      <c r="E163" s="2" t="s">
        <v>1433</v>
      </c>
      <c r="F163" s="2" t="s">
        <v>1157</v>
      </c>
      <c r="G163" s="2" t="s">
        <v>1377</v>
      </c>
      <c r="H163" s="2" t="s">
        <v>872</v>
      </c>
      <c r="I163" s="2" t="s">
        <v>1247</v>
      </c>
      <c r="J163" s="2" t="s">
        <v>1434</v>
      </c>
      <c r="K163" s="78" t="s">
        <v>872</v>
      </c>
    </row>
    <row r="164" spans="1:11" ht="13.5" thickBot="1" x14ac:dyDescent="0.25">
      <c r="A164" s="2" t="s">
        <v>136</v>
      </c>
      <c r="B164" s="1" t="s">
        <v>135</v>
      </c>
      <c r="C164" s="2" t="s">
        <v>32</v>
      </c>
      <c r="D164" s="4">
        <v>9705</v>
      </c>
      <c r="E164" s="2" t="s">
        <v>1435</v>
      </c>
      <c r="F164" s="2" t="s">
        <v>1166</v>
      </c>
      <c r="G164" s="2" t="s">
        <v>1368</v>
      </c>
      <c r="H164" s="2" t="s">
        <v>873</v>
      </c>
      <c r="I164" s="169" t="s">
        <v>16</v>
      </c>
      <c r="J164" s="169" t="s">
        <v>16</v>
      </c>
      <c r="K164" s="169" t="s">
        <v>16</v>
      </c>
    </row>
    <row r="165" spans="1:11" ht="13.5" thickBot="1" x14ac:dyDescent="0.25">
      <c r="A165" s="2" t="s">
        <v>144</v>
      </c>
      <c r="B165" s="1" t="s">
        <v>143</v>
      </c>
      <c r="C165" s="2" t="s">
        <v>32</v>
      </c>
      <c r="D165" s="4">
        <v>8692</v>
      </c>
      <c r="E165" s="2" t="s">
        <v>1172</v>
      </c>
      <c r="F165" s="2" t="s">
        <v>1171</v>
      </c>
      <c r="G165" s="2" t="s">
        <v>1370</v>
      </c>
      <c r="H165" s="2" t="s">
        <v>872</v>
      </c>
      <c r="I165" s="2" t="s">
        <v>1247</v>
      </c>
      <c r="J165" s="169" t="s">
        <v>16</v>
      </c>
      <c r="K165" s="2" t="s">
        <v>13</v>
      </c>
    </row>
    <row r="166" spans="1:11" ht="13.5" thickBot="1" x14ac:dyDescent="0.25">
      <c r="A166" s="2" t="s">
        <v>152</v>
      </c>
      <c r="B166" s="1" t="s">
        <v>151</v>
      </c>
      <c r="C166" s="2" t="s">
        <v>32</v>
      </c>
      <c r="D166" s="4">
        <v>11833</v>
      </c>
      <c r="E166" s="2" t="s">
        <v>1439</v>
      </c>
      <c r="F166" s="2" t="s">
        <v>1166</v>
      </c>
      <c r="G166" s="2" t="s">
        <v>1368</v>
      </c>
      <c r="H166" s="2" t="s">
        <v>872</v>
      </c>
      <c r="I166" s="2" t="s">
        <v>1247</v>
      </c>
      <c r="J166" s="2" t="s">
        <v>1440</v>
      </c>
      <c r="K166" s="2" t="s">
        <v>872</v>
      </c>
    </row>
    <row r="167" spans="1:11" ht="13.5" thickBot="1" x14ac:dyDescent="0.25">
      <c r="A167" s="2" t="s">
        <v>156</v>
      </c>
      <c r="B167" s="1" t="s">
        <v>155</v>
      </c>
      <c r="C167" s="2" t="s">
        <v>32</v>
      </c>
      <c r="D167" s="4">
        <v>10857</v>
      </c>
      <c r="E167" s="2" t="s">
        <v>1442</v>
      </c>
      <c r="F167" s="2" t="s">
        <v>1178</v>
      </c>
      <c r="G167" s="2" t="s">
        <v>1018</v>
      </c>
      <c r="H167" s="2" t="s">
        <v>872</v>
      </c>
      <c r="I167" s="2" t="s">
        <v>1247</v>
      </c>
      <c r="J167" s="2" t="s">
        <v>1443</v>
      </c>
      <c r="K167" s="2" t="s">
        <v>872</v>
      </c>
    </row>
    <row r="168" spans="1:11" ht="13.5" thickBot="1" x14ac:dyDescent="0.25">
      <c r="A168" s="2" t="s">
        <v>160</v>
      </c>
      <c r="B168" s="1" t="s">
        <v>159</v>
      </c>
      <c r="C168" s="2" t="s">
        <v>32</v>
      </c>
      <c r="D168" s="4">
        <v>9483</v>
      </c>
      <c r="E168" s="2" t="s">
        <v>1446</v>
      </c>
      <c r="F168" s="2" t="s">
        <v>1180</v>
      </c>
      <c r="G168" s="2" t="s">
        <v>1018</v>
      </c>
      <c r="H168" s="2" t="s">
        <v>873</v>
      </c>
      <c r="I168" s="2" t="s">
        <v>1247</v>
      </c>
      <c r="J168" s="2" t="s">
        <v>891</v>
      </c>
      <c r="K168" s="2" t="s">
        <v>872</v>
      </c>
    </row>
    <row r="169" spans="1:11" ht="13.5" thickBot="1" x14ac:dyDescent="0.25">
      <c r="A169" s="2" t="s">
        <v>162</v>
      </c>
      <c r="B169" s="1" t="s">
        <v>161</v>
      </c>
      <c r="C169" s="2" t="s">
        <v>32</v>
      </c>
      <c r="D169" s="4">
        <v>8257</v>
      </c>
      <c r="E169" s="2" t="s">
        <v>1447</v>
      </c>
      <c r="F169" s="2" t="s">
        <v>1146</v>
      </c>
      <c r="G169" s="2" t="s">
        <v>1388</v>
      </c>
      <c r="H169" s="2" t="s">
        <v>872</v>
      </c>
      <c r="I169" s="2" t="s">
        <v>1247</v>
      </c>
      <c r="J169" s="78" t="s">
        <v>1410</v>
      </c>
      <c r="K169" s="2" t="s">
        <v>13</v>
      </c>
    </row>
    <row r="170" spans="1:11" ht="13.5" thickBot="1" x14ac:dyDescent="0.25">
      <c r="A170" s="2" t="s">
        <v>168</v>
      </c>
      <c r="B170" s="1" t="s">
        <v>167</v>
      </c>
      <c r="C170" s="2" t="s">
        <v>32</v>
      </c>
      <c r="D170" s="4">
        <v>9810</v>
      </c>
      <c r="E170" s="2" t="s">
        <v>1154</v>
      </c>
      <c r="F170" s="2" t="s">
        <v>1154</v>
      </c>
      <c r="G170" s="2" t="s">
        <v>1373</v>
      </c>
      <c r="H170" s="2" t="s">
        <v>872</v>
      </c>
      <c r="I170" s="2" t="s">
        <v>1247</v>
      </c>
      <c r="J170" s="78" t="s">
        <v>1451</v>
      </c>
      <c r="K170" s="2" t="s">
        <v>872</v>
      </c>
    </row>
    <row r="171" spans="1:11" ht="13.5" thickBot="1" x14ac:dyDescent="0.25">
      <c r="A171" s="2" t="s">
        <v>204</v>
      </c>
      <c r="B171" s="1" t="s">
        <v>203</v>
      </c>
      <c r="C171" s="2" t="s">
        <v>32</v>
      </c>
      <c r="D171" s="4">
        <v>11862</v>
      </c>
      <c r="E171" s="2" t="s">
        <v>1471</v>
      </c>
      <c r="F171" s="2" t="s">
        <v>1136</v>
      </c>
      <c r="G171" s="2" t="s">
        <v>1018</v>
      </c>
      <c r="H171" s="2" t="s">
        <v>872</v>
      </c>
      <c r="I171" s="2" t="s">
        <v>1247</v>
      </c>
      <c r="J171" s="2" t="s">
        <v>895</v>
      </c>
      <c r="K171" s="2" t="s">
        <v>13</v>
      </c>
    </row>
    <row r="172" spans="1:11" ht="13.5" thickBot="1" x14ac:dyDescent="0.25">
      <c r="A172" s="2" t="s">
        <v>229</v>
      </c>
      <c r="B172" s="1" t="s">
        <v>228</v>
      </c>
      <c r="C172" s="2" t="s">
        <v>32</v>
      </c>
      <c r="D172" s="4">
        <v>10021</v>
      </c>
      <c r="E172" s="2" t="s">
        <v>1484</v>
      </c>
      <c r="F172" s="2" t="s">
        <v>1200</v>
      </c>
      <c r="G172" s="2" t="s">
        <v>1365</v>
      </c>
      <c r="H172" s="2" t="s">
        <v>872</v>
      </c>
      <c r="I172" s="78" t="s">
        <v>1247</v>
      </c>
      <c r="J172" s="78" t="s">
        <v>1485</v>
      </c>
      <c r="K172" s="78" t="s">
        <v>13</v>
      </c>
    </row>
    <row r="173" spans="1:11" ht="13.5" thickBot="1" x14ac:dyDescent="0.25">
      <c r="A173" s="2" t="s">
        <v>243</v>
      </c>
      <c r="B173" s="1" t="s">
        <v>242</v>
      </c>
      <c r="C173" s="2" t="s">
        <v>32</v>
      </c>
      <c r="D173" s="4">
        <v>7439</v>
      </c>
      <c r="E173" s="2" t="s">
        <v>1204</v>
      </c>
      <c r="F173" s="2" t="s">
        <v>1133</v>
      </c>
      <c r="G173" s="2" t="s">
        <v>1018</v>
      </c>
      <c r="H173" s="2" t="s">
        <v>873</v>
      </c>
      <c r="I173" s="169" t="s">
        <v>16</v>
      </c>
      <c r="J173" s="169" t="s">
        <v>16</v>
      </c>
      <c r="K173" s="2" t="s">
        <v>13</v>
      </c>
    </row>
    <row r="174" spans="1:11" ht="13.5" thickBot="1" x14ac:dyDescent="0.25">
      <c r="A174" s="2" t="s">
        <v>257</v>
      </c>
      <c r="B174" s="1" t="s">
        <v>256</v>
      </c>
      <c r="C174" s="2" t="s">
        <v>32</v>
      </c>
      <c r="D174" s="4">
        <v>7392</v>
      </c>
      <c r="E174" s="2" t="s">
        <v>1505</v>
      </c>
      <c r="F174" s="2" t="s">
        <v>1157</v>
      </c>
      <c r="G174" s="2" t="s">
        <v>1377</v>
      </c>
      <c r="H174" s="2" t="s">
        <v>872</v>
      </c>
      <c r="I174" s="2" t="s">
        <v>1247</v>
      </c>
      <c r="J174" s="78" t="s">
        <v>896</v>
      </c>
      <c r="K174" s="2" t="s">
        <v>13</v>
      </c>
    </row>
    <row r="175" spans="1:11" ht="13.5" thickBot="1" x14ac:dyDescent="0.25">
      <c r="A175" s="2" t="s">
        <v>261</v>
      </c>
      <c r="B175" s="1" t="s">
        <v>260</v>
      </c>
      <c r="C175" s="2" t="s">
        <v>32</v>
      </c>
      <c r="D175" s="4">
        <v>9512</v>
      </c>
      <c r="E175" s="2" t="s">
        <v>1506</v>
      </c>
      <c r="F175" s="2" t="s">
        <v>1134</v>
      </c>
      <c r="G175" s="2" t="s">
        <v>1362</v>
      </c>
      <c r="H175" s="2" t="s">
        <v>873</v>
      </c>
      <c r="I175" s="169" t="s">
        <v>16</v>
      </c>
      <c r="J175" s="2" t="s">
        <v>1436</v>
      </c>
      <c r="K175" s="2" t="s">
        <v>1145</v>
      </c>
    </row>
    <row r="176" spans="1:11" ht="13.5" thickBot="1" x14ac:dyDescent="0.25">
      <c r="A176" s="2" t="s">
        <v>273</v>
      </c>
      <c r="B176" s="1" t="s">
        <v>272</v>
      </c>
      <c r="C176" s="2" t="s">
        <v>32</v>
      </c>
      <c r="D176" s="4">
        <v>7717</v>
      </c>
      <c r="E176" s="2" t="s">
        <v>1511</v>
      </c>
      <c r="F176" s="2" t="s">
        <v>1207</v>
      </c>
      <c r="G176" s="2" t="s">
        <v>1375</v>
      </c>
      <c r="H176" s="2" t="s">
        <v>873</v>
      </c>
      <c r="I176" s="2" t="s">
        <v>1473</v>
      </c>
      <c r="J176" s="169" t="s">
        <v>16</v>
      </c>
      <c r="K176" s="2" t="s">
        <v>872</v>
      </c>
    </row>
    <row r="177" spans="1:11" ht="13.5" thickBot="1" x14ac:dyDescent="0.25">
      <c r="A177" s="2" t="s">
        <v>297</v>
      </c>
      <c r="B177" s="1" t="s">
        <v>296</v>
      </c>
      <c r="C177" s="2" t="s">
        <v>32</v>
      </c>
      <c r="D177" s="4">
        <v>7824</v>
      </c>
      <c r="E177" s="2" t="s">
        <v>1214</v>
      </c>
      <c r="F177" s="2" t="s">
        <v>1164</v>
      </c>
      <c r="G177" s="2" t="s">
        <v>1368</v>
      </c>
      <c r="H177" s="2" t="s">
        <v>872</v>
      </c>
      <c r="I177" s="2" t="s">
        <v>1247</v>
      </c>
      <c r="J177" s="78" t="s">
        <v>1410</v>
      </c>
      <c r="K177" s="2" t="s">
        <v>13</v>
      </c>
    </row>
    <row r="178" spans="1:11" ht="13.5" thickBot="1" x14ac:dyDescent="0.25">
      <c r="A178" s="2" t="s">
        <v>309</v>
      </c>
      <c r="B178" s="1" t="s">
        <v>308</v>
      </c>
      <c r="C178" s="2" t="s">
        <v>32</v>
      </c>
      <c r="D178" s="4">
        <v>9476</v>
      </c>
      <c r="E178" s="2" t="s">
        <v>1528</v>
      </c>
      <c r="F178" s="2" t="s">
        <v>1149</v>
      </c>
      <c r="G178" s="2" t="s">
        <v>1377</v>
      </c>
      <c r="H178" s="2" t="s">
        <v>872</v>
      </c>
      <c r="I178" s="2" t="s">
        <v>1247</v>
      </c>
      <c r="J178" s="2" t="s">
        <v>1529</v>
      </c>
      <c r="K178" s="2" t="s">
        <v>872</v>
      </c>
    </row>
    <row r="179" spans="1:11" ht="13.5" thickBot="1" x14ac:dyDescent="0.25">
      <c r="A179" s="2" t="s">
        <v>315</v>
      </c>
      <c r="B179" s="1" t="s">
        <v>314</v>
      </c>
      <c r="C179" s="2" t="s">
        <v>32</v>
      </c>
      <c r="D179" s="4">
        <v>10983</v>
      </c>
      <c r="E179" s="2" t="s">
        <v>1531</v>
      </c>
      <c r="F179" s="2" t="s">
        <v>1136</v>
      </c>
      <c r="G179" s="2" t="s">
        <v>1018</v>
      </c>
      <c r="H179" s="2" t="s">
        <v>873</v>
      </c>
      <c r="I179" s="169" t="s">
        <v>16</v>
      </c>
      <c r="J179" s="169" t="s">
        <v>16</v>
      </c>
      <c r="K179" s="2" t="s">
        <v>872</v>
      </c>
    </row>
    <row r="180" spans="1:11" ht="13.5" thickBot="1" x14ac:dyDescent="0.25">
      <c r="A180" s="2" t="s">
        <v>323</v>
      </c>
      <c r="B180" s="1" t="s">
        <v>322</v>
      </c>
      <c r="C180" s="2" t="s">
        <v>32</v>
      </c>
      <c r="D180" s="4">
        <v>11239</v>
      </c>
      <c r="E180" s="2" t="s">
        <v>1534</v>
      </c>
      <c r="F180" s="2" t="s">
        <v>1199</v>
      </c>
      <c r="G180" s="2" t="s">
        <v>1370</v>
      </c>
      <c r="H180" s="2" t="s">
        <v>872</v>
      </c>
      <c r="I180" s="2" t="s">
        <v>1247</v>
      </c>
      <c r="J180" s="2" t="s">
        <v>1535</v>
      </c>
      <c r="K180" s="2" t="s">
        <v>872</v>
      </c>
    </row>
    <row r="181" spans="1:11" ht="13.5" thickBot="1" x14ac:dyDescent="0.25">
      <c r="A181" s="2" t="s">
        <v>337</v>
      </c>
      <c r="B181" s="1" t="s">
        <v>336</v>
      </c>
      <c r="C181" s="2" t="s">
        <v>32</v>
      </c>
      <c r="D181" s="4">
        <v>8875</v>
      </c>
      <c r="E181" s="2" t="s">
        <v>1545</v>
      </c>
      <c r="F181" s="2" t="s">
        <v>1195</v>
      </c>
      <c r="G181" s="2" t="s">
        <v>1018</v>
      </c>
      <c r="H181" s="2" t="s">
        <v>872</v>
      </c>
      <c r="I181" s="78" t="s">
        <v>1247</v>
      </c>
      <c r="J181" s="78" t="s">
        <v>1546</v>
      </c>
      <c r="K181" s="169" t="s">
        <v>16</v>
      </c>
    </row>
    <row r="182" spans="1:11" ht="13.5" thickBot="1" x14ac:dyDescent="0.25">
      <c r="A182" s="2" t="s">
        <v>357</v>
      </c>
      <c r="B182" s="1" t="s">
        <v>356</v>
      </c>
      <c r="C182" s="2" t="s">
        <v>32</v>
      </c>
      <c r="D182" s="4">
        <v>8133</v>
      </c>
      <c r="E182" s="2" t="s">
        <v>1557</v>
      </c>
      <c r="F182" s="2" t="s">
        <v>1228</v>
      </c>
      <c r="G182" s="2" t="s">
        <v>1375</v>
      </c>
      <c r="H182" s="2" t="s">
        <v>873</v>
      </c>
      <c r="I182" s="169" t="s">
        <v>16</v>
      </c>
      <c r="J182" s="169" t="s">
        <v>16</v>
      </c>
      <c r="K182" s="2" t="s">
        <v>872</v>
      </c>
    </row>
    <row r="183" spans="1:11" ht="13.5" thickBot="1" x14ac:dyDescent="0.25">
      <c r="A183" s="2" t="s">
        <v>365</v>
      </c>
      <c r="B183" s="1" t="s">
        <v>364</v>
      </c>
      <c r="C183" s="2" t="s">
        <v>32</v>
      </c>
      <c r="D183" s="4">
        <v>7135</v>
      </c>
      <c r="E183" s="2" t="s">
        <v>1562</v>
      </c>
      <c r="F183" s="2" t="s">
        <v>1133</v>
      </c>
      <c r="G183" s="2" t="s">
        <v>1018</v>
      </c>
      <c r="H183" s="2" t="s">
        <v>872</v>
      </c>
      <c r="I183" s="78" t="s">
        <v>1247</v>
      </c>
      <c r="J183" s="78" t="s">
        <v>1384</v>
      </c>
      <c r="K183" s="169" t="s">
        <v>16</v>
      </c>
    </row>
    <row r="184" spans="1:11" ht="13.5" thickBot="1" x14ac:dyDescent="0.25">
      <c r="A184" s="2" t="s">
        <v>373</v>
      </c>
      <c r="B184" s="1" t="s">
        <v>372</v>
      </c>
      <c r="C184" s="2" t="s">
        <v>32</v>
      </c>
      <c r="D184" s="4">
        <v>11870</v>
      </c>
      <c r="E184" s="2" t="s">
        <v>1173</v>
      </c>
      <c r="F184" s="2" t="s">
        <v>1173</v>
      </c>
      <c r="G184" s="2" t="s">
        <v>1365</v>
      </c>
      <c r="H184" s="2" t="s">
        <v>872</v>
      </c>
      <c r="I184" s="2" t="s">
        <v>1247</v>
      </c>
      <c r="J184" s="2" t="s">
        <v>1567</v>
      </c>
      <c r="K184" s="2" t="s">
        <v>872</v>
      </c>
    </row>
    <row r="185" spans="1:11" ht="13.5" thickBot="1" x14ac:dyDescent="0.25">
      <c r="A185" s="2" t="s">
        <v>393</v>
      </c>
      <c r="B185" s="1" t="s">
        <v>392</v>
      </c>
      <c r="C185" s="2" t="s">
        <v>32</v>
      </c>
      <c r="D185" s="4">
        <v>8764</v>
      </c>
      <c r="E185" s="2" t="s">
        <v>1576</v>
      </c>
      <c r="F185" s="2" t="s">
        <v>1125</v>
      </c>
      <c r="G185" s="2" t="s">
        <v>1362</v>
      </c>
      <c r="H185" s="2" t="s">
        <v>873</v>
      </c>
      <c r="I185" s="2" t="s">
        <v>1247</v>
      </c>
      <c r="J185" s="169" t="s">
        <v>16</v>
      </c>
      <c r="K185" s="2" t="s">
        <v>872</v>
      </c>
    </row>
    <row r="186" spans="1:11" ht="13.5" thickBot="1" x14ac:dyDescent="0.25">
      <c r="A186" s="2" t="s">
        <v>425</v>
      </c>
      <c r="B186" s="1" t="s">
        <v>424</v>
      </c>
      <c r="C186" s="2" t="s">
        <v>32</v>
      </c>
      <c r="D186" s="4">
        <v>9555</v>
      </c>
      <c r="E186" s="2" t="s">
        <v>1590</v>
      </c>
      <c r="F186" s="2" t="s">
        <v>1190</v>
      </c>
      <c r="G186" s="2" t="s">
        <v>1381</v>
      </c>
      <c r="H186" s="2" t="s">
        <v>873</v>
      </c>
      <c r="I186" s="169" t="s">
        <v>16</v>
      </c>
      <c r="J186" s="169" t="s">
        <v>16</v>
      </c>
      <c r="K186" s="2" t="s">
        <v>872</v>
      </c>
    </row>
    <row r="187" spans="1:11" ht="13.5" thickBot="1" x14ac:dyDescent="0.25">
      <c r="A187" s="2" t="s">
        <v>423</v>
      </c>
      <c r="B187" s="1" t="s">
        <v>422</v>
      </c>
      <c r="C187" s="2" t="s">
        <v>32</v>
      </c>
      <c r="D187" s="4">
        <v>9533</v>
      </c>
      <c r="E187" s="2" t="s">
        <v>1243</v>
      </c>
      <c r="F187" s="2" t="s">
        <v>1242</v>
      </c>
      <c r="G187" s="2" t="s">
        <v>1370</v>
      </c>
      <c r="H187" s="2" t="s">
        <v>873</v>
      </c>
      <c r="I187" s="169" t="s">
        <v>16</v>
      </c>
      <c r="J187" s="169" t="s">
        <v>16</v>
      </c>
      <c r="K187" s="2" t="s">
        <v>872</v>
      </c>
    </row>
    <row r="188" spans="1:11" ht="13.5" thickBot="1" x14ac:dyDescent="0.25">
      <c r="A188" s="2" t="s">
        <v>447</v>
      </c>
      <c r="B188" s="1" t="s">
        <v>446</v>
      </c>
      <c r="C188" s="2" t="s">
        <v>32</v>
      </c>
      <c r="D188" s="4">
        <v>10470</v>
      </c>
      <c r="E188" s="2" t="s">
        <v>1602</v>
      </c>
      <c r="F188" s="2" t="s">
        <v>1146</v>
      </c>
      <c r="G188" s="2" t="s">
        <v>1388</v>
      </c>
      <c r="H188" s="2" t="s">
        <v>872</v>
      </c>
      <c r="I188" s="2" t="s">
        <v>1247</v>
      </c>
      <c r="J188" s="2" t="s">
        <v>1502</v>
      </c>
      <c r="K188" s="2" t="s">
        <v>13</v>
      </c>
    </row>
    <row r="189" spans="1:11" ht="13.5" thickBot="1" x14ac:dyDescent="0.25">
      <c r="A189" s="2" t="s">
        <v>461</v>
      </c>
      <c r="B189" s="1" t="s">
        <v>460</v>
      </c>
      <c r="C189" s="2" t="s">
        <v>32</v>
      </c>
      <c r="D189" s="4">
        <v>11581</v>
      </c>
      <c r="E189" s="2" t="s">
        <v>1289</v>
      </c>
      <c r="F189" s="2" t="s">
        <v>1146</v>
      </c>
      <c r="G189" s="2" t="s">
        <v>1388</v>
      </c>
      <c r="H189" s="2" t="s">
        <v>872</v>
      </c>
      <c r="I189" s="2" t="s">
        <v>1247</v>
      </c>
      <c r="J189" s="2" t="s">
        <v>1541</v>
      </c>
      <c r="K189" s="2" t="s">
        <v>13</v>
      </c>
    </row>
    <row r="190" spans="1:11" ht="13.5" thickBot="1" x14ac:dyDescent="0.25">
      <c r="A190" s="2" t="s">
        <v>484</v>
      </c>
      <c r="B190" s="1" t="s">
        <v>483</v>
      </c>
      <c r="C190" s="2" t="s">
        <v>32</v>
      </c>
      <c r="D190" s="4">
        <v>7312</v>
      </c>
      <c r="E190" s="2" t="s">
        <v>1253</v>
      </c>
      <c r="F190" s="2" t="s">
        <v>1144</v>
      </c>
      <c r="G190" s="2" t="s">
        <v>1362</v>
      </c>
      <c r="H190" s="2" t="s">
        <v>872</v>
      </c>
      <c r="I190" s="78" t="s">
        <v>1247</v>
      </c>
      <c r="J190" s="2" t="s">
        <v>1619</v>
      </c>
      <c r="K190" s="2" t="s">
        <v>13</v>
      </c>
    </row>
    <row r="191" spans="1:11" ht="13.5" thickBot="1" x14ac:dyDescent="0.25">
      <c r="A191" s="2" t="s">
        <v>490</v>
      </c>
      <c r="B191" s="1" t="s">
        <v>489</v>
      </c>
      <c r="C191" s="2" t="s">
        <v>32</v>
      </c>
      <c r="D191" s="4">
        <v>8344</v>
      </c>
      <c r="E191" s="2" t="s">
        <v>1620</v>
      </c>
      <c r="F191" s="2" t="s">
        <v>1255</v>
      </c>
      <c r="G191" s="2" t="s">
        <v>1370</v>
      </c>
      <c r="H191" s="2" t="s">
        <v>873</v>
      </c>
      <c r="I191" s="2" t="s">
        <v>1247</v>
      </c>
      <c r="J191" s="169" t="s">
        <v>16</v>
      </c>
      <c r="K191" s="2" t="s">
        <v>872</v>
      </c>
    </row>
    <row r="192" spans="1:11" ht="13.5" thickBot="1" x14ac:dyDescent="0.25">
      <c r="A192" s="2" t="s">
        <v>510</v>
      </c>
      <c r="B192" s="1" t="s">
        <v>509</v>
      </c>
      <c r="C192" s="2" t="s">
        <v>32</v>
      </c>
      <c r="D192" s="4">
        <v>10715</v>
      </c>
      <c r="E192" s="2" t="s">
        <v>1632</v>
      </c>
      <c r="F192" s="2" t="s">
        <v>1134</v>
      </c>
      <c r="G192" s="2" t="s">
        <v>1362</v>
      </c>
      <c r="H192" s="2" t="s">
        <v>873</v>
      </c>
      <c r="I192" s="169" t="s">
        <v>16</v>
      </c>
      <c r="J192" s="169" t="s">
        <v>16</v>
      </c>
      <c r="K192" s="2" t="s">
        <v>13</v>
      </c>
    </row>
    <row r="193" spans="1:11" ht="13.5" thickBot="1" x14ac:dyDescent="0.25">
      <c r="A193" s="2" t="s">
        <v>522</v>
      </c>
      <c r="B193" s="1" t="s">
        <v>521</v>
      </c>
      <c r="C193" s="2" t="s">
        <v>32</v>
      </c>
      <c r="D193" s="4">
        <v>7424</v>
      </c>
      <c r="E193" s="2" t="s">
        <v>1265</v>
      </c>
      <c r="F193" s="2" t="s">
        <v>1166</v>
      </c>
      <c r="G193" s="2" t="s">
        <v>1368</v>
      </c>
      <c r="H193" s="2" t="s">
        <v>873</v>
      </c>
      <c r="I193" s="169" t="s">
        <v>16</v>
      </c>
      <c r="J193" s="78" t="s">
        <v>891</v>
      </c>
      <c r="K193" s="2" t="s">
        <v>13</v>
      </c>
    </row>
    <row r="194" spans="1:11" ht="13.5" thickBot="1" x14ac:dyDescent="0.25">
      <c r="A194" s="2" t="s">
        <v>528</v>
      </c>
      <c r="B194" s="1" t="s">
        <v>527</v>
      </c>
      <c r="C194" s="2" t="s">
        <v>32</v>
      </c>
      <c r="D194" s="4">
        <v>9765</v>
      </c>
      <c r="E194" s="2" t="s">
        <v>1640</v>
      </c>
      <c r="F194" s="2" t="s">
        <v>1266</v>
      </c>
      <c r="G194" s="2" t="s">
        <v>1373</v>
      </c>
      <c r="H194" s="2" t="s">
        <v>873</v>
      </c>
      <c r="I194" s="169" t="s">
        <v>16</v>
      </c>
      <c r="J194" s="169" t="s">
        <v>16</v>
      </c>
      <c r="K194" s="2" t="s">
        <v>13</v>
      </c>
    </row>
    <row r="195" spans="1:11" ht="13.5" thickBot="1" x14ac:dyDescent="0.25">
      <c r="A195" s="2" t="s">
        <v>538</v>
      </c>
      <c r="B195" s="1" t="s">
        <v>537</v>
      </c>
      <c r="C195" s="2" t="s">
        <v>32</v>
      </c>
      <c r="D195" s="4">
        <v>9623</v>
      </c>
      <c r="E195" s="2" t="s">
        <v>1645</v>
      </c>
      <c r="F195" s="2" t="s">
        <v>1268</v>
      </c>
      <c r="G195" s="2" t="s">
        <v>1370</v>
      </c>
      <c r="H195" s="2" t="s">
        <v>872</v>
      </c>
      <c r="I195" s="2" t="s">
        <v>1247</v>
      </c>
      <c r="J195" s="2" t="s">
        <v>1382</v>
      </c>
      <c r="K195" s="2" t="s">
        <v>872</v>
      </c>
    </row>
    <row r="196" spans="1:11" ht="13.5" thickBot="1" x14ac:dyDescent="0.25">
      <c r="A196" s="2" t="s">
        <v>542</v>
      </c>
      <c r="B196" s="1" t="s">
        <v>541</v>
      </c>
      <c r="C196" s="2" t="s">
        <v>32</v>
      </c>
      <c r="D196" s="4">
        <v>7656</v>
      </c>
      <c r="E196" s="2" t="s">
        <v>1647</v>
      </c>
      <c r="F196" s="2" t="s">
        <v>1213</v>
      </c>
      <c r="G196" s="2" t="s">
        <v>1370</v>
      </c>
      <c r="H196" s="2" t="s">
        <v>872</v>
      </c>
      <c r="I196" s="2" t="s">
        <v>1473</v>
      </c>
      <c r="J196" s="2" t="s">
        <v>1648</v>
      </c>
      <c r="K196" s="2" t="s">
        <v>872</v>
      </c>
    </row>
    <row r="197" spans="1:11" ht="13.5" thickBot="1" x14ac:dyDescent="0.25">
      <c r="A197" s="2" t="s">
        <v>554</v>
      </c>
      <c r="B197" s="1" t="s">
        <v>553</v>
      </c>
      <c r="C197" s="2" t="s">
        <v>32</v>
      </c>
      <c r="D197" s="4">
        <v>8354</v>
      </c>
      <c r="E197" s="2" t="s">
        <v>1653</v>
      </c>
      <c r="F197" s="2" t="s">
        <v>1144</v>
      </c>
      <c r="G197" s="2" t="s">
        <v>1362</v>
      </c>
      <c r="H197" s="2" t="s">
        <v>873</v>
      </c>
      <c r="I197" s="2" t="s">
        <v>1247</v>
      </c>
      <c r="J197" s="2" t="s">
        <v>891</v>
      </c>
      <c r="K197" s="2" t="s">
        <v>872</v>
      </c>
    </row>
    <row r="198" spans="1:11" ht="13.5" thickBot="1" x14ac:dyDescent="0.25">
      <c r="A198" s="2" t="s">
        <v>572</v>
      </c>
      <c r="B198" s="1" t="s">
        <v>571</v>
      </c>
      <c r="C198" s="2" t="s">
        <v>32</v>
      </c>
      <c r="D198" s="4">
        <v>8640</v>
      </c>
      <c r="E198" s="2" t="s">
        <v>1663</v>
      </c>
      <c r="F198" s="2" t="s">
        <v>1273</v>
      </c>
      <c r="G198" s="2" t="s">
        <v>1373</v>
      </c>
      <c r="H198" s="2" t="s">
        <v>873</v>
      </c>
      <c r="I198" s="2" t="s">
        <v>1247</v>
      </c>
      <c r="J198" s="2" t="s">
        <v>891</v>
      </c>
      <c r="K198" s="2" t="s">
        <v>1145</v>
      </c>
    </row>
    <row r="199" spans="1:11" ht="13.5" thickBot="1" x14ac:dyDescent="0.25">
      <c r="A199" s="2" t="s">
        <v>582</v>
      </c>
      <c r="B199" s="1" t="s">
        <v>581</v>
      </c>
      <c r="C199" s="2" t="s">
        <v>32</v>
      </c>
      <c r="D199" s="4">
        <v>9969</v>
      </c>
      <c r="E199" s="2" t="s">
        <v>1667</v>
      </c>
      <c r="F199" s="2" t="s">
        <v>1149</v>
      </c>
      <c r="G199" s="2" t="s">
        <v>1377</v>
      </c>
      <c r="H199" s="2" t="s">
        <v>872</v>
      </c>
      <c r="I199" s="2" t="s">
        <v>1247</v>
      </c>
      <c r="J199" s="78" t="s">
        <v>1668</v>
      </c>
      <c r="K199" s="2" t="s">
        <v>13</v>
      </c>
    </row>
    <row r="200" spans="1:11" ht="13.5" thickBot="1" x14ac:dyDescent="0.25">
      <c r="A200" s="2" t="s">
        <v>586</v>
      </c>
      <c r="B200" s="1" t="s">
        <v>585</v>
      </c>
      <c r="C200" s="2" t="s">
        <v>32</v>
      </c>
      <c r="D200" s="4">
        <v>7034</v>
      </c>
      <c r="E200" s="2" t="s">
        <v>1277</v>
      </c>
      <c r="F200" s="2" t="s">
        <v>1136</v>
      </c>
      <c r="G200" s="2" t="s">
        <v>1018</v>
      </c>
      <c r="H200" s="2" t="s">
        <v>872</v>
      </c>
      <c r="I200" s="78" t="s">
        <v>1247</v>
      </c>
      <c r="J200" s="2" t="s">
        <v>1671</v>
      </c>
      <c r="K200" s="2" t="s">
        <v>13</v>
      </c>
    </row>
    <row r="201" spans="1:11" ht="13.5" thickBot="1" x14ac:dyDescent="0.25">
      <c r="A201" s="2" t="s">
        <v>596</v>
      </c>
      <c r="B201" s="1" t="s">
        <v>595</v>
      </c>
      <c r="C201" s="2" t="s">
        <v>32</v>
      </c>
      <c r="D201" s="4">
        <v>8833</v>
      </c>
      <c r="E201" s="2" t="s">
        <v>1226</v>
      </c>
      <c r="F201" s="2" t="s">
        <v>1226</v>
      </c>
      <c r="G201" s="2" t="s">
        <v>1381</v>
      </c>
      <c r="H201" s="2" t="s">
        <v>872</v>
      </c>
      <c r="I201" s="2" t="s">
        <v>1247</v>
      </c>
      <c r="J201" s="2" t="s">
        <v>1516</v>
      </c>
      <c r="K201" s="2" t="s">
        <v>873</v>
      </c>
    </row>
    <row r="202" spans="1:11" ht="13.5" thickBot="1" x14ac:dyDescent="0.25">
      <c r="A202" s="2" t="s">
        <v>604</v>
      </c>
      <c r="B202" s="1" t="s">
        <v>603</v>
      </c>
      <c r="C202" s="2" t="s">
        <v>32</v>
      </c>
      <c r="D202" s="4">
        <v>11503</v>
      </c>
      <c r="E202" s="2" t="s">
        <v>1680</v>
      </c>
      <c r="F202" s="2" t="s">
        <v>1165</v>
      </c>
      <c r="G202" s="2" t="s">
        <v>1362</v>
      </c>
      <c r="H202" s="2" t="s">
        <v>873</v>
      </c>
      <c r="I202" s="169" t="s">
        <v>16</v>
      </c>
      <c r="J202" s="169" t="s">
        <v>16</v>
      </c>
      <c r="K202" s="169" t="s">
        <v>16</v>
      </c>
    </row>
    <row r="203" spans="1:11" ht="13.5" thickBot="1" x14ac:dyDescent="0.25">
      <c r="A203" s="2" t="s">
        <v>630</v>
      </c>
      <c r="B203" s="1" t="s">
        <v>629</v>
      </c>
      <c r="C203" s="2" t="s">
        <v>32</v>
      </c>
      <c r="D203" s="4">
        <v>8891</v>
      </c>
      <c r="E203" s="2" t="s">
        <v>1692</v>
      </c>
      <c r="F203" s="2" t="s">
        <v>1166</v>
      </c>
      <c r="G203" s="2" t="s">
        <v>1368</v>
      </c>
      <c r="H203" s="2" t="s">
        <v>873</v>
      </c>
      <c r="I203" s="2" t="s">
        <v>1247</v>
      </c>
      <c r="J203" s="169" t="s">
        <v>16</v>
      </c>
      <c r="K203" s="2" t="s">
        <v>872</v>
      </c>
    </row>
    <row r="204" spans="1:11" ht="13.5" thickBot="1" x14ac:dyDescent="0.25">
      <c r="A204" s="2" t="s">
        <v>638</v>
      </c>
      <c r="B204" s="1" t="s">
        <v>637</v>
      </c>
      <c r="C204" s="2" t="s">
        <v>32</v>
      </c>
      <c r="D204" s="4">
        <v>8543</v>
      </c>
      <c r="E204" s="2" t="s">
        <v>1695</v>
      </c>
      <c r="F204" s="2" t="s">
        <v>1207</v>
      </c>
      <c r="G204" s="2" t="s">
        <v>1375</v>
      </c>
      <c r="H204" s="2" t="s">
        <v>872</v>
      </c>
      <c r="I204" s="2" t="s">
        <v>1247</v>
      </c>
      <c r="J204" s="2" t="s">
        <v>1443</v>
      </c>
      <c r="K204" s="2" t="s">
        <v>872</v>
      </c>
    </row>
    <row r="205" spans="1:11" ht="13.5" thickBot="1" x14ac:dyDescent="0.25">
      <c r="A205" s="2" t="s">
        <v>646</v>
      </c>
      <c r="B205" s="1" t="s">
        <v>645</v>
      </c>
      <c r="C205" s="2" t="s">
        <v>32</v>
      </c>
      <c r="D205" s="4">
        <v>7580</v>
      </c>
      <c r="E205" s="2" t="s">
        <v>1284</v>
      </c>
      <c r="F205" s="2" t="s">
        <v>1149</v>
      </c>
      <c r="G205" s="2" t="s">
        <v>1377</v>
      </c>
      <c r="H205" s="2" t="s">
        <v>872</v>
      </c>
      <c r="I205" s="2" t="s">
        <v>1247</v>
      </c>
      <c r="J205" s="2" t="s">
        <v>1554</v>
      </c>
      <c r="K205" s="2" t="s">
        <v>873</v>
      </c>
    </row>
    <row r="206" spans="1:11" ht="13.5" thickBot="1" x14ac:dyDescent="0.25">
      <c r="A206" s="2" t="s">
        <v>656</v>
      </c>
      <c r="B206" s="1" t="s">
        <v>655</v>
      </c>
      <c r="C206" s="2" t="s">
        <v>32</v>
      </c>
      <c r="D206" s="4">
        <v>7903</v>
      </c>
      <c r="E206" s="2" t="s">
        <v>1701</v>
      </c>
      <c r="F206" s="2" t="s">
        <v>1134</v>
      </c>
      <c r="G206" s="2" t="s">
        <v>1362</v>
      </c>
      <c r="H206" s="2" t="s">
        <v>873</v>
      </c>
      <c r="I206" s="169" t="s">
        <v>16</v>
      </c>
      <c r="J206" s="169" t="s">
        <v>16</v>
      </c>
      <c r="K206" s="2" t="s">
        <v>13</v>
      </c>
    </row>
    <row r="207" spans="1:11" ht="13.5" thickBot="1" x14ac:dyDescent="0.25">
      <c r="A207" s="2" t="s">
        <v>674</v>
      </c>
      <c r="B207" s="1" t="s">
        <v>673</v>
      </c>
      <c r="C207" s="2" t="s">
        <v>32</v>
      </c>
      <c r="D207" s="4">
        <v>11480</v>
      </c>
      <c r="E207" s="2" t="s">
        <v>1538</v>
      </c>
      <c r="F207" s="2" t="s">
        <v>1140</v>
      </c>
      <c r="G207" s="2" t="s">
        <v>1381</v>
      </c>
      <c r="H207" s="2" t="s">
        <v>872</v>
      </c>
      <c r="I207" s="2" t="s">
        <v>1247</v>
      </c>
      <c r="J207" s="2" t="s">
        <v>1712</v>
      </c>
      <c r="K207" s="2" t="s">
        <v>13</v>
      </c>
    </row>
    <row r="208" spans="1:11" ht="13.5" thickBot="1" x14ac:dyDescent="0.25">
      <c r="A208" s="2" t="s">
        <v>676</v>
      </c>
      <c r="B208" s="1" t="s">
        <v>675</v>
      </c>
      <c r="C208" s="2" t="s">
        <v>32</v>
      </c>
      <c r="D208" s="4">
        <v>7798</v>
      </c>
      <c r="E208" s="2" t="s">
        <v>1291</v>
      </c>
      <c r="F208" s="2" t="s">
        <v>1164</v>
      </c>
      <c r="G208" s="2" t="s">
        <v>1368</v>
      </c>
      <c r="H208" s="2" t="s">
        <v>872</v>
      </c>
      <c r="I208" s="78" t="s">
        <v>1247</v>
      </c>
      <c r="J208" s="78" t="s">
        <v>1541</v>
      </c>
      <c r="K208" s="2" t="s">
        <v>13</v>
      </c>
    </row>
    <row r="209" spans="1:11" ht="13.5" thickBot="1" x14ac:dyDescent="0.25">
      <c r="A209" s="2" t="s">
        <v>684</v>
      </c>
      <c r="B209" s="1" t="s">
        <v>683</v>
      </c>
      <c r="C209" s="2" t="s">
        <v>32</v>
      </c>
      <c r="D209" s="4">
        <v>7357</v>
      </c>
      <c r="E209" s="2" t="s">
        <v>1719</v>
      </c>
      <c r="F209" s="2" t="s">
        <v>1133</v>
      </c>
      <c r="G209" s="2" t="s">
        <v>1018</v>
      </c>
      <c r="H209" s="2" t="s">
        <v>872</v>
      </c>
      <c r="I209" s="2" t="s">
        <v>1247</v>
      </c>
      <c r="J209" s="2" t="s">
        <v>1529</v>
      </c>
      <c r="K209" s="2" t="s">
        <v>872</v>
      </c>
    </row>
    <row r="210" spans="1:11" ht="13.5" thickBot="1" x14ac:dyDescent="0.25">
      <c r="A210" s="2" t="s">
        <v>690</v>
      </c>
      <c r="B210" s="1" t="s">
        <v>689</v>
      </c>
      <c r="C210" s="2" t="s">
        <v>32</v>
      </c>
      <c r="D210" s="4">
        <v>7103</v>
      </c>
      <c r="E210" s="2" t="s">
        <v>1723</v>
      </c>
      <c r="F210" s="2" t="s">
        <v>1127</v>
      </c>
      <c r="G210" s="2" t="s">
        <v>1368</v>
      </c>
      <c r="H210" s="2" t="s">
        <v>872</v>
      </c>
      <c r="I210" s="2" t="s">
        <v>1473</v>
      </c>
      <c r="J210" s="2" t="s">
        <v>896</v>
      </c>
      <c r="K210" s="2" t="s">
        <v>872</v>
      </c>
    </row>
    <row r="211" spans="1:11" ht="13.5" thickBot="1" x14ac:dyDescent="0.25">
      <c r="A211" s="2" t="s">
        <v>694</v>
      </c>
      <c r="B211" s="1" t="s">
        <v>693</v>
      </c>
      <c r="C211" s="2" t="s">
        <v>32</v>
      </c>
      <c r="D211" s="4">
        <v>10017</v>
      </c>
      <c r="E211" s="2" t="s">
        <v>1725</v>
      </c>
      <c r="F211" s="2" t="s">
        <v>1143</v>
      </c>
      <c r="G211" s="2" t="s">
        <v>1018</v>
      </c>
      <c r="H211" s="2" t="s">
        <v>873</v>
      </c>
      <c r="I211" s="2" t="s">
        <v>1247</v>
      </c>
      <c r="J211" s="169" t="s">
        <v>16</v>
      </c>
      <c r="K211" s="169" t="s">
        <v>16</v>
      </c>
    </row>
    <row r="212" spans="1:11" ht="13.5" thickBot="1" x14ac:dyDescent="0.25">
      <c r="A212" s="2" t="s">
        <v>700</v>
      </c>
      <c r="B212" s="1" t="s">
        <v>699</v>
      </c>
      <c r="C212" s="2" t="s">
        <v>32</v>
      </c>
      <c r="D212" s="4">
        <v>7272</v>
      </c>
      <c r="E212" s="2" t="s">
        <v>1729</v>
      </c>
      <c r="F212" s="2" t="s">
        <v>1126</v>
      </c>
      <c r="G212" s="2" t="s">
        <v>1365</v>
      </c>
      <c r="H212" s="2" t="s">
        <v>872</v>
      </c>
      <c r="I212" s="2" t="s">
        <v>1247</v>
      </c>
      <c r="J212" s="78" t="s">
        <v>895</v>
      </c>
      <c r="K212" s="2" t="s">
        <v>872</v>
      </c>
    </row>
    <row r="213" spans="1:11" ht="13.5" thickBot="1" x14ac:dyDescent="0.25">
      <c r="A213" s="2" t="s">
        <v>706</v>
      </c>
      <c r="B213" s="1" t="s">
        <v>705</v>
      </c>
      <c r="C213" s="2" t="s">
        <v>32</v>
      </c>
      <c r="D213" s="4">
        <v>11377</v>
      </c>
      <c r="E213" s="2" t="s">
        <v>1294</v>
      </c>
      <c r="F213" s="2" t="s">
        <v>1228</v>
      </c>
      <c r="G213" s="2" t="s">
        <v>1375</v>
      </c>
      <c r="H213" s="2" t="s">
        <v>872</v>
      </c>
      <c r="I213" s="78" t="s">
        <v>1247</v>
      </c>
      <c r="J213" s="78" t="s">
        <v>1731</v>
      </c>
      <c r="K213" s="78" t="s">
        <v>872</v>
      </c>
    </row>
    <row r="214" spans="1:11" ht="13.5" thickBot="1" x14ac:dyDescent="0.25">
      <c r="A214" s="2" t="s">
        <v>718</v>
      </c>
      <c r="B214" s="1" t="s">
        <v>717</v>
      </c>
      <c r="C214" s="2" t="s">
        <v>32</v>
      </c>
      <c r="D214" s="4">
        <v>8386</v>
      </c>
      <c r="E214" s="2" t="s">
        <v>1296</v>
      </c>
      <c r="F214" s="2" t="s">
        <v>1229</v>
      </c>
      <c r="G214" s="2" t="s">
        <v>1377</v>
      </c>
      <c r="H214" s="2" t="s">
        <v>872</v>
      </c>
      <c r="I214" s="78" t="s">
        <v>1247</v>
      </c>
      <c r="J214" s="78" t="s">
        <v>1739</v>
      </c>
      <c r="K214" s="2" t="s">
        <v>13</v>
      </c>
    </row>
    <row r="215" spans="1:11" ht="13.5" thickBot="1" x14ac:dyDescent="0.25">
      <c r="A215" s="2" t="s">
        <v>724</v>
      </c>
      <c r="B215" s="1" t="s">
        <v>723</v>
      </c>
      <c r="C215" s="2" t="s">
        <v>32</v>
      </c>
      <c r="D215" s="4">
        <v>9110</v>
      </c>
      <c r="E215" s="2" t="s">
        <v>1298</v>
      </c>
      <c r="F215" s="2" t="s">
        <v>1180</v>
      </c>
      <c r="G215" s="2" t="s">
        <v>1018</v>
      </c>
      <c r="H215" s="2" t="s">
        <v>872</v>
      </c>
      <c r="I215" s="2" t="s">
        <v>1247</v>
      </c>
      <c r="J215" s="2" t="s">
        <v>1622</v>
      </c>
      <c r="K215" s="2" t="s">
        <v>13</v>
      </c>
    </row>
    <row r="216" spans="1:11" ht="13.5" thickBot="1" x14ac:dyDescent="0.25">
      <c r="A216" s="2" t="s">
        <v>726</v>
      </c>
      <c r="B216" s="1" t="s">
        <v>725</v>
      </c>
      <c r="C216" s="2" t="s">
        <v>32</v>
      </c>
      <c r="D216" s="4">
        <v>9645</v>
      </c>
      <c r="E216" s="2" t="s">
        <v>1261</v>
      </c>
      <c r="F216" s="2" t="s">
        <v>1261</v>
      </c>
      <c r="G216" s="2" t="s">
        <v>1370</v>
      </c>
      <c r="H216" s="2" t="s">
        <v>872</v>
      </c>
      <c r="I216" s="2" t="s">
        <v>1247</v>
      </c>
      <c r="J216" s="2" t="s">
        <v>1740</v>
      </c>
      <c r="K216" s="2" t="s">
        <v>872</v>
      </c>
    </row>
    <row r="217" spans="1:11" ht="13.5" thickBot="1" x14ac:dyDescent="0.25">
      <c r="A217" s="2" t="s">
        <v>742</v>
      </c>
      <c r="B217" s="1" t="s">
        <v>741</v>
      </c>
      <c r="C217" s="2" t="s">
        <v>32</v>
      </c>
      <c r="D217" s="4">
        <v>9301</v>
      </c>
      <c r="E217" s="2" t="s">
        <v>1747</v>
      </c>
      <c r="F217" s="2" t="s">
        <v>1226</v>
      </c>
      <c r="G217" s="2" t="s">
        <v>1375</v>
      </c>
      <c r="H217" s="2" t="s">
        <v>872</v>
      </c>
      <c r="I217" s="2" t="s">
        <v>1247</v>
      </c>
      <c r="J217" s="2" t="s">
        <v>1748</v>
      </c>
      <c r="K217" s="2" t="s">
        <v>872</v>
      </c>
    </row>
    <row r="218" spans="1:11" ht="13.5" thickBot="1" x14ac:dyDescent="0.25">
      <c r="A218" s="2" t="s">
        <v>747</v>
      </c>
      <c r="B218" s="1" t="s">
        <v>746</v>
      </c>
      <c r="C218" s="2" t="s">
        <v>32</v>
      </c>
      <c r="D218" s="4">
        <v>7851</v>
      </c>
      <c r="E218" s="2" t="s">
        <v>1749</v>
      </c>
      <c r="F218" s="2" t="s">
        <v>1303</v>
      </c>
      <c r="G218" s="2" t="s">
        <v>1373</v>
      </c>
      <c r="H218" s="2" t="s">
        <v>872</v>
      </c>
      <c r="I218" s="2" t="s">
        <v>1247</v>
      </c>
      <c r="J218" s="2" t="s">
        <v>1750</v>
      </c>
      <c r="K218" s="2" t="s">
        <v>13</v>
      </c>
    </row>
    <row r="219" spans="1:11" ht="13.5" thickBot="1" x14ac:dyDescent="0.25">
      <c r="A219" s="2" t="s">
        <v>749</v>
      </c>
      <c r="B219" s="1" t="s">
        <v>748</v>
      </c>
      <c r="C219" s="2" t="s">
        <v>32</v>
      </c>
      <c r="D219" s="4">
        <v>10250</v>
      </c>
      <c r="E219" s="2" t="s">
        <v>1751</v>
      </c>
      <c r="F219" s="2" t="s">
        <v>1178</v>
      </c>
      <c r="G219" s="2" t="s">
        <v>1018</v>
      </c>
      <c r="H219" s="2" t="s">
        <v>872</v>
      </c>
      <c r="I219" s="2" t="s">
        <v>1247</v>
      </c>
      <c r="J219" s="2" t="s">
        <v>1752</v>
      </c>
      <c r="K219" s="2" t="s">
        <v>872</v>
      </c>
    </row>
    <row r="220" spans="1:11" ht="13.5" thickBot="1" x14ac:dyDescent="0.25">
      <c r="A220" s="2" t="s">
        <v>759</v>
      </c>
      <c r="B220" s="1" t="s">
        <v>758</v>
      </c>
      <c r="C220" s="2" t="s">
        <v>32</v>
      </c>
      <c r="D220" s="4">
        <v>10662</v>
      </c>
      <c r="E220" s="2" t="s">
        <v>1755</v>
      </c>
      <c r="F220" s="2" t="s">
        <v>1138</v>
      </c>
      <c r="G220" s="2" t="s">
        <v>1368</v>
      </c>
      <c r="H220" s="2" t="s">
        <v>873</v>
      </c>
      <c r="I220" s="169" t="s">
        <v>16</v>
      </c>
      <c r="J220" s="2" t="s">
        <v>1145</v>
      </c>
      <c r="K220" s="2" t="s">
        <v>872</v>
      </c>
    </row>
    <row r="221" spans="1:11" ht="13.5" thickBot="1" x14ac:dyDescent="0.25">
      <c r="A221" s="2" t="s">
        <v>763</v>
      </c>
      <c r="B221" s="1" t="s">
        <v>762</v>
      </c>
      <c r="C221" s="2" t="s">
        <v>32</v>
      </c>
      <c r="D221" s="4">
        <v>11985</v>
      </c>
      <c r="E221" s="2" t="s">
        <v>1164</v>
      </c>
      <c r="F221" s="2" t="s">
        <v>1164</v>
      </c>
      <c r="G221" s="2" t="s">
        <v>1368</v>
      </c>
      <c r="H221" s="2" t="s">
        <v>873</v>
      </c>
      <c r="I221" s="169" t="s">
        <v>16</v>
      </c>
      <c r="J221" s="169" t="s">
        <v>16</v>
      </c>
      <c r="K221" s="2" t="s">
        <v>13</v>
      </c>
    </row>
    <row r="222" spans="1:11" ht="13.5" thickBot="1" x14ac:dyDescent="0.25">
      <c r="A222" s="2" t="s">
        <v>765</v>
      </c>
      <c r="B222" s="1" t="s">
        <v>764</v>
      </c>
      <c r="C222" s="2" t="s">
        <v>32</v>
      </c>
      <c r="D222" s="4">
        <v>8147</v>
      </c>
      <c r="E222" s="2" t="s">
        <v>1756</v>
      </c>
      <c r="F222" s="2" t="s">
        <v>1138</v>
      </c>
      <c r="G222" s="2" t="s">
        <v>1368</v>
      </c>
      <c r="H222" s="2" t="s">
        <v>872</v>
      </c>
      <c r="I222" s="2" t="s">
        <v>1247</v>
      </c>
      <c r="J222" s="2" t="s">
        <v>895</v>
      </c>
      <c r="K222" s="2" t="s">
        <v>872</v>
      </c>
    </row>
    <row r="223" spans="1:11" ht="13.5" thickBot="1" x14ac:dyDescent="0.25">
      <c r="A223" s="2" t="s">
        <v>773</v>
      </c>
      <c r="B223" s="1" t="s">
        <v>772</v>
      </c>
      <c r="C223" s="2" t="s">
        <v>32</v>
      </c>
      <c r="D223" s="4">
        <v>9714</v>
      </c>
      <c r="E223" s="2" t="s">
        <v>1760</v>
      </c>
      <c r="F223" s="2" t="s">
        <v>1178</v>
      </c>
      <c r="G223" s="2" t="s">
        <v>1018</v>
      </c>
      <c r="H223" s="2" t="s">
        <v>872</v>
      </c>
      <c r="I223" s="2" t="s">
        <v>1247</v>
      </c>
      <c r="J223" s="78" t="s">
        <v>1470</v>
      </c>
      <c r="K223" s="2" t="s">
        <v>13</v>
      </c>
    </row>
    <row r="224" spans="1:11" ht="13.5" thickBot="1" x14ac:dyDescent="0.25">
      <c r="A224" s="2" t="s">
        <v>803</v>
      </c>
      <c r="B224" s="1" t="s">
        <v>802</v>
      </c>
      <c r="C224" s="2" t="s">
        <v>32</v>
      </c>
      <c r="D224" s="4">
        <v>9514</v>
      </c>
      <c r="E224" s="2" t="s">
        <v>1773</v>
      </c>
      <c r="F224" s="2" t="s">
        <v>1151</v>
      </c>
      <c r="G224" s="2" t="s">
        <v>1375</v>
      </c>
      <c r="H224" s="2" t="s">
        <v>873</v>
      </c>
      <c r="I224" s="78" t="s">
        <v>1247</v>
      </c>
      <c r="J224" s="169" t="s">
        <v>16</v>
      </c>
      <c r="K224" s="169" t="s">
        <v>16</v>
      </c>
    </row>
    <row r="225" spans="1:11" ht="13.5" thickBot="1" x14ac:dyDescent="0.25">
      <c r="A225" s="2" t="s">
        <v>817</v>
      </c>
      <c r="B225" s="1" t="s">
        <v>816</v>
      </c>
      <c r="C225" s="2" t="s">
        <v>32</v>
      </c>
      <c r="D225" s="4">
        <v>9138</v>
      </c>
      <c r="E225" s="2" t="s">
        <v>1777</v>
      </c>
      <c r="F225" s="2" t="s">
        <v>1272</v>
      </c>
      <c r="G225" s="2" t="s">
        <v>1368</v>
      </c>
      <c r="H225" s="2" t="s">
        <v>872</v>
      </c>
      <c r="I225" s="2" t="s">
        <v>1247</v>
      </c>
      <c r="J225" s="2" t="s">
        <v>1778</v>
      </c>
      <c r="K225" s="2" t="s">
        <v>13</v>
      </c>
    </row>
    <row r="226" spans="1:11" ht="13.5" thickBot="1" x14ac:dyDescent="0.25">
      <c r="A226" s="2" t="s">
        <v>819</v>
      </c>
      <c r="B226" s="1" t="s">
        <v>818</v>
      </c>
      <c r="C226" s="2" t="s">
        <v>32</v>
      </c>
      <c r="D226" s="4">
        <v>7370</v>
      </c>
      <c r="E226" s="2" t="s">
        <v>1779</v>
      </c>
      <c r="F226" s="2" t="s">
        <v>1196</v>
      </c>
      <c r="G226" s="2" t="s">
        <v>1370</v>
      </c>
      <c r="H226" s="2" t="s">
        <v>872</v>
      </c>
      <c r="I226" s="2" t="s">
        <v>1247</v>
      </c>
      <c r="J226" s="2" t="s">
        <v>901</v>
      </c>
      <c r="K226" s="169" t="s">
        <v>16</v>
      </c>
    </row>
    <row r="227" spans="1:11" ht="13.5" thickBot="1" x14ac:dyDescent="0.25">
      <c r="A227" s="2" t="s">
        <v>823</v>
      </c>
      <c r="B227" s="1" t="s">
        <v>822</v>
      </c>
      <c r="C227" s="2" t="s">
        <v>32</v>
      </c>
      <c r="D227" s="4">
        <v>8533</v>
      </c>
      <c r="E227" s="2" t="s">
        <v>1781</v>
      </c>
      <c r="F227" s="2" t="s">
        <v>1195</v>
      </c>
      <c r="G227" s="2" t="s">
        <v>1018</v>
      </c>
      <c r="H227" s="2" t="s">
        <v>872</v>
      </c>
      <c r="I227" s="2" t="s">
        <v>1247</v>
      </c>
      <c r="J227" s="2" t="s">
        <v>1782</v>
      </c>
      <c r="K227" s="2" t="s">
        <v>872</v>
      </c>
    </row>
    <row r="228" spans="1:11" ht="13.5" thickBot="1" x14ac:dyDescent="0.25">
      <c r="A228" s="2" t="s">
        <v>825</v>
      </c>
      <c r="B228" s="1" t="s">
        <v>824</v>
      </c>
      <c r="C228" s="2" t="s">
        <v>32</v>
      </c>
      <c r="D228" s="4">
        <v>11811</v>
      </c>
      <c r="E228" s="2" t="s">
        <v>1783</v>
      </c>
      <c r="F228" s="2" t="s">
        <v>1216</v>
      </c>
      <c r="G228" s="2" t="s">
        <v>1018</v>
      </c>
      <c r="H228" s="2" t="s">
        <v>872</v>
      </c>
      <c r="I228" s="2" t="s">
        <v>1247</v>
      </c>
      <c r="J228" s="2" t="s">
        <v>1784</v>
      </c>
      <c r="K228" s="2" t="s">
        <v>13</v>
      </c>
    </row>
    <row r="229" spans="1:11" ht="13.5" thickBot="1" x14ac:dyDescent="0.25">
      <c r="A229" s="2" t="s">
        <v>831</v>
      </c>
      <c r="B229" s="1" t="s">
        <v>830</v>
      </c>
      <c r="C229" s="2" t="s">
        <v>32</v>
      </c>
      <c r="D229" s="4">
        <v>10014</v>
      </c>
      <c r="E229" s="2" t="s">
        <v>1785</v>
      </c>
      <c r="F229" s="2" t="s">
        <v>1178</v>
      </c>
      <c r="G229" s="2" t="s">
        <v>1375</v>
      </c>
      <c r="H229" s="2" t="s">
        <v>873</v>
      </c>
      <c r="I229" s="2" t="s">
        <v>1473</v>
      </c>
      <c r="J229" s="2" t="s">
        <v>891</v>
      </c>
      <c r="K229" s="169" t="s">
        <v>16</v>
      </c>
    </row>
    <row r="230" spans="1:11" ht="13.5" thickBot="1" x14ac:dyDescent="0.25">
      <c r="A230" s="2" t="s">
        <v>26</v>
      </c>
      <c r="B230" s="1" t="s">
        <v>25</v>
      </c>
      <c r="C230" s="2" t="s">
        <v>29</v>
      </c>
      <c r="D230" s="4">
        <v>21133</v>
      </c>
      <c r="E230" s="2" t="s">
        <v>1364</v>
      </c>
      <c r="F230" s="2" t="s">
        <v>1126</v>
      </c>
      <c r="G230" s="2" t="s">
        <v>1365</v>
      </c>
      <c r="H230" s="2" t="s">
        <v>872</v>
      </c>
      <c r="I230" s="2" t="s">
        <v>1247</v>
      </c>
      <c r="J230" s="78" t="s">
        <v>1366</v>
      </c>
      <c r="K230" s="2" t="s">
        <v>13</v>
      </c>
    </row>
    <row r="231" spans="1:11" ht="13.5" thickBot="1" x14ac:dyDescent="0.25">
      <c r="A231" s="2" t="s">
        <v>42</v>
      </c>
      <c r="B231" s="1" t="s">
        <v>41</v>
      </c>
      <c r="C231" s="2" t="s">
        <v>29</v>
      </c>
      <c r="D231" s="4">
        <v>17401</v>
      </c>
      <c r="E231" s="2" t="s">
        <v>1133</v>
      </c>
      <c r="F231" s="2" t="s">
        <v>1133</v>
      </c>
      <c r="G231" s="2" t="s">
        <v>1377</v>
      </c>
      <c r="H231" s="2" t="s">
        <v>872</v>
      </c>
      <c r="I231" s="78" t="s">
        <v>1247</v>
      </c>
      <c r="J231" s="78" t="s">
        <v>898</v>
      </c>
      <c r="K231" s="2" t="s">
        <v>872</v>
      </c>
    </row>
    <row r="232" spans="1:11" ht="13.5" thickBot="1" x14ac:dyDescent="0.25">
      <c r="A232" s="2" t="s">
        <v>70</v>
      </c>
      <c r="B232" s="1" t="s">
        <v>69</v>
      </c>
      <c r="C232" s="2" t="s">
        <v>29</v>
      </c>
      <c r="D232" s="4">
        <v>21412</v>
      </c>
      <c r="E232" s="2" t="s">
        <v>1393</v>
      </c>
      <c r="F232" s="2" t="s">
        <v>1125</v>
      </c>
      <c r="G232" s="2" t="s">
        <v>1362</v>
      </c>
      <c r="H232" s="2" t="s">
        <v>873</v>
      </c>
      <c r="I232" s="169" t="s">
        <v>16</v>
      </c>
      <c r="J232" s="2" t="s">
        <v>891</v>
      </c>
      <c r="K232" s="2" t="s">
        <v>1145</v>
      </c>
    </row>
    <row r="233" spans="1:11" ht="13.5" thickBot="1" x14ac:dyDescent="0.25">
      <c r="A233" s="2" t="s">
        <v>76</v>
      </c>
      <c r="B233" s="1" t="s">
        <v>75</v>
      </c>
      <c r="C233" s="2" t="s">
        <v>29</v>
      </c>
      <c r="D233" s="4">
        <v>25883</v>
      </c>
      <c r="E233" s="2" t="s">
        <v>1396</v>
      </c>
      <c r="F233" s="2" t="s">
        <v>1134</v>
      </c>
      <c r="G233" s="2" t="s">
        <v>1362</v>
      </c>
      <c r="H233" s="2" t="s">
        <v>872</v>
      </c>
      <c r="I233" s="78" t="s">
        <v>1247</v>
      </c>
      <c r="J233" s="78" t="s">
        <v>1397</v>
      </c>
      <c r="K233" s="2" t="s">
        <v>1145</v>
      </c>
    </row>
    <row r="234" spans="1:11" ht="13.5" thickBot="1" x14ac:dyDescent="0.25">
      <c r="A234" s="2" t="s">
        <v>96</v>
      </c>
      <c r="B234" s="1" t="s">
        <v>95</v>
      </c>
      <c r="C234" s="2" t="s">
        <v>29</v>
      </c>
      <c r="D234" s="4">
        <v>24787</v>
      </c>
      <c r="E234" s="2" t="s">
        <v>1409</v>
      </c>
      <c r="F234" s="2" t="s">
        <v>1157</v>
      </c>
      <c r="G234" s="2" t="s">
        <v>1377</v>
      </c>
      <c r="H234" s="2" t="s">
        <v>872</v>
      </c>
      <c r="I234" s="2" t="s">
        <v>1247</v>
      </c>
      <c r="J234" s="78" t="s">
        <v>1410</v>
      </c>
      <c r="K234" s="2" t="s">
        <v>872</v>
      </c>
    </row>
    <row r="235" spans="1:11" ht="13.5" thickBot="1" x14ac:dyDescent="0.25">
      <c r="A235" s="2" t="s">
        <v>102</v>
      </c>
      <c r="B235" s="1" t="s">
        <v>101</v>
      </c>
      <c r="C235" s="2" t="s">
        <v>29</v>
      </c>
      <c r="D235" s="4">
        <v>14970</v>
      </c>
      <c r="E235" s="2" t="s">
        <v>1412</v>
      </c>
      <c r="F235" s="2" t="s">
        <v>1125</v>
      </c>
      <c r="G235" s="2" t="s">
        <v>1362</v>
      </c>
      <c r="H235" s="2" t="s">
        <v>872</v>
      </c>
      <c r="I235" s="2" t="s">
        <v>1247</v>
      </c>
      <c r="J235" s="2" t="s">
        <v>1413</v>
      </c>
      <c r="K235" s="2" t="s">
        <v>13</v>
      </c>
    </row>
    <row r="236" spans="1:11" ht="13.5" thickBot="1" x14ac:dyDescent="0.25">
      <c r="A236" s="2" t="s">
        <v>110</v>
      </c>
      <c r="B236" s="1" t="s">
        <v>109</v>
      </c>
      <c r="C236" s="2" t="s">
        <v>29</v>
      </c>
      <c r="D236" s="4">
        <v>20025</v>
      </c>
      <c r="E236" s="2" t="s">
        <v>1419</v>
      </c>
      <c r="F236" s="2" t="s">
        <v>1151</v>
      </c>
      <c r="G236" s="2" t="s">
        <v>1375</v>
      </c>
      <c r="H236" s="2" t="s">
        <v>872</v>
      </c>
      <c r="I236" s="78" t="s">
        <v>1247</v>
      </c>
      <c r="J236" s="78" t="s">
        <v>1420</v>
      </c>
      <c r="K236" s="2" t="s">
        <v>872</v>
      </c>
    </row>
    <row r="237" spans="1:11" ht="13.5" thickBot="1" x14ac:dyDescent="0.25">
      <c r="A237" s="2" t="s">
        <v>122</v>
      </c>
      <c r="B237" s="1" t="s">
        <v>121</v>
      </c>
      <c r="C237" s="2" t="s">
        <v>29</v>
      </c>
      <c r="D237" s="4">
        <v>15175</v>
      </c>
      <c r="E237" s="2" t="s">
        <v>1424</v>
      </c>
      <c r="F237" s="2" t="s">
        <v>1125</v>
      </c>
      <c r="G237" s="2" t="s">
        <v>1362</v>
      </c>
      <c r="H237" s="2" t="s">
        <v>872</v>
      </c>
      <c r="I237" s="2" t="s">
        <v>1247</v>
      </c>
      <c r="J237" s="2" t="s">
        <v>1425</v>
      </c>
      <c r="K237" s="2" t="s">
        <v>13</v>
      </c>
    </row>
    <row r="238" spans="1:11" ht="13.5" thickBot="1" x14ac:dyDescent="0.25">
      <c r="A238" s="2" t="s">
        <v>124</v>
      </c>
      <c r="B238" s="1" t="s">
        <v>123</v>
      </c>
      <c r="C238" s="2" t="s">
        <v>29</v>
      </c>
      <c r="D238" s="4">
        <v>12667</v>
      </c>
      <c r="E238" s="2" t="s">
        <v>1164</v>
      </c>
      <c r="F238" s="2" t="s">
        <v>1164</v>
      </c>
      <c r="G238" s="2" t="s">
        <v>1368</v>
      </c>
      <c r="H238" s="2" t="s">
        <v>872</v>
      </c>
      <c r="I238" s="2" t="s">
        <v>1247</v>
      </c>
      <c r="J238" s="2" t="s">
        <v>1426</v>
      </c>
      <c r="K238" s="2" t="s">
        <v>872</v>
      </c>
    </row>
    <row r="239" spans="1:11" ht="13.5" thickBot="1" x14ac:dyDescent="0.25">
      <c r="A239" s="2" t="s">
        <v>128</v>
      </c>
      <c r="B239" s="1" t="s">
        <v>127</v>
      </c>
      <c r="C239" s="2" t="s">
        <v>29</v>
      </c>
      <c r="D239" s="4">
        <v>21705</v>
      </c>
      <c r="E239" s="2" t="s">
        <v>1429</v>
      </c>
      <c r="F239" s="2" t="s">
        <v>1152</v>
      </c>
      <c r="G239" s="2" t="s">
        <v>1368</v>
      </c>
      <c r="H239" s="2" t="s">
        <v>872</v>
      </c>
      <c r="I239" s="78" t="s">
        <v>1247</v>
      </c>
      <c r="J239" s="2" t="s">
        <v>1430</v>
      </c>
      <c r="K239" s="2" t="s">
        <v>872</v>
      </c>
    </row>
    <row r="240" spans="1:11" ht="13.5" thickBot="1" x14ac:dyDescent="0.25">
      <c r="A240" s="2" t="s">
        <v>166</v>
      </c>
      <c r="B240" s="1" t="s">
        <v>165</v>
      </c>
      <c r="C240" s="2" t="s">
        <v>29</v>
      </c>
      <c r="D240" s="4">
        <v>15068</v>
      </c>
      <c r="E240" s="2" t="s">
        <v>1449</v>
      </c>
      <c r="F240" s="2" t="s">
        <v>1133</v>
      </c>
      <c r="G240" s="2" t="s">
        <v>1377</v>
      </c>
      <c r="H240" s="2" t="s">
        <v>872</v>
      </c>
      <c r="I240" s="78" t="s">
        <v>1247</v>
      </c>
      <c r="J240" s="78" t="s">
        <v>1450</v>
      </c>
      <c r="K240" s="78" t="s">
        <v>1145</v>
      </c>
    </row>
    <row r="241" spans="1:11" ht="13.5" thickBot="1" x14ac:dyDescent="0.25">
      <c r="A241" s="2" t="s">
        <v>170</v>
      </c>
      <c r="B241" s="1" t="s">
        <v>169</v>
      </c>
      <c r="C241" s="2" t="s">
        <v>29</v>
      </c>
      <c r="D241" s="4">
        <v>23157</v>
      </c>
      <c r="E241" s="2" t="s">
        <v>1452</v>
      </c>
      <c r="F241" s="2" t="s">
        <v>1155</v>
      </c>
      <c r="G241" s="2" t="s">
        <v>1365</v>
      </c>
      <c r="H241" s="2" t="s">
        <v>872</v>
      </c>
      <c r="I241" s="2" t="s">
        <v>1247</v>
      </c>
      <c r="J241" s="2" t="s">
        <v>1453</v>
      </c>
      <c r="K241" s="2" t="s">
        <v>872</v>
      </c>
    </row>
    <row r="242" spans="1:11" ht="13.5" thickBot="1" x14ac:dyDescent="0.25">
      <c r="A242" s="2" t="s">
        <v>174</v>
      </c>
      <c r="B242" s="1" t="s">
        <v>173</v>
      </c>
      <c r="C242" s="2" t="s">
        <v>29</v>
      </c>
      <c r="D242" s="4">
        <v>13894</v>
      </c>
      <c r="E242" s="2" t="s">
        <v>1184</v>
      </c>
      <c r="F242" s="2" t="s">
        <v>1184</v>
      </c>
      <c r="G242" s="2" t="s">
        <v>1373</v>
      </c>
      <c r="H242" s="2" t="s">
        <v>872</v>
      </c>
      <c r="I242" s="78" t="s">
        <v>1247</v>
      </c>
      <c r="J242" s="78" t="s">
        <v>1454</v>
      </c>
      <c r="K242" s="2" t="s">
        <v>13</v>
      </c>
    </row>
    <row r="243" spans="1:11" ht="13.5" thickBot="1" x14ac:dyDescent="0.25">
      <c r="A243" s="2" t="s">
        <v>176</v>
      </c>
      <c r="B243" s="1" t="s">
        <v>175</v>
      </c>
      <c r="C243" s="2" t="s">
        <v>29</v>
      </c>
      <c r="D243" s="4">
        <v>15010</v>
      </c>
      <c r="E243" s="2" t="s">
        <v>1455</v>
      </c>
      <c r="F243" s="2" t="s">
        <v>1144</v>
      </c>
      <c r="G243" s="2" t="s">
        <v>1362</v>
      </c>
      <c r="H243" s="2" t="s">
        <v>872</v>
      </c>
      <c r="I243" s="78" t="s">
        <v>1247</v>
      </c>
      <c r="J243" s="78" t="s">
        <v>1456</v>
      </c>
      <c r="K243" s="78" t="s">
        <v>13</v>
      </c>
    </row>
    <row r="244" spans="1:11" ht="13.5" thickBot="1" x14ac:dyDescent="0.25">
      <c r="A244" s="2" t="s">
        <v>190</v>
      </c>
      <c r="B244" s="1" t="s">
        <v>189</v>
      </c>
      <c r="C244" s="2" t="s">
        <v>29</v>
      </c>
      <c r="D244" s="4">
        <v>12982</v>
      </c>
      <c r="E244" s="2" t="s">
        <v>1188</v>
      </c>
      <c r="F244" s="2" t="s">
        <v>1157</v>
      </c>
      <c r="G244" s="2" t="s">
        <v>1377</v>
      </c>
      <c r="H244" s="2" t="s">
        <v>872</v>
      </c>
      <c r="I244" s="2" t="s">
        <v>1247</v>
      </c>
      <c r="J244" s="2" t="s">
        <v>1465</v>
      </c>
      <c r="K244" s="2" t="s">
        <v>872</v>
      </c>
    </row>
    <row r="245" spans="1:11" ht="13.5" thickBot="1" x14ac:dyDescent="0.25">
      <c r="A245" s="2" t="s">
        <v>200</v>
      </c>
      <c r="B245" s="1" t="s">
        <v>199</v>
      </c>
      <c r="C245" s="2" t="s">
        <v>29</v>
      </c>
      <c r="D245" s="4">
        <v>14854</v>
      </c>
      <c r="E245" s="2" t="s">
        <v>1191</v>
      </c>
      <c r="F245" s="2" t="s">
        <v>1149</v>
      </c>
      <c r="G245" s="2" t="s">
        <v>1377</v>
      </c>
      <c r="H245" s="2" t="s">
        <v>872</v>
      </c>
      <c r="I245" s="2" t="s">
        <v>1247</v>
      </c>
      <c r="J245" s="2" t="s">
        <v>1470</v>
      </c>
      <c r="K245" s="2" t="s">
        <v>13</v>
      </c>
    </row>
    <row r="246" spans="1:11" ht="13.5" thickBot="1" x14ac:dyDescent="0.25">
      <c r="A246" s="2" t="s">
        <v>206</v>
      </c>
      <c r="B246" s="1" t="s">
        <v>205</v>
      </c>
      <c r="C246" s="2" t="s">
        <v>29</v>
      </c>
      <c r="D246" s="4">
        <v>14074</v>
      </c>
      <c r="E246" s="2" t="s">
        <v>1472</v>
      </c>
      <c r="F246" s="2" t="s">
        <v>1193</v>
      </c>
      <c r="G246" s="2" t="s">
        <v>1370</v>
      </c>
      <c r="H246" s="2" t="s">
        <v>872</v>
      </c>
      <c r="I246" s="2" t="s">
        <v>1473</v>
      </c>
      <c r="J246" s="78" t="s">
        <v>1407</v>
      </c>
      <c r="K246" s="2" t="s">
        <v>13</v>
      </c>
    </row>
    <row r="247" spans="1:11" ht="13.5" thickBot="1" x14ac:dyDescent="0.25">
      <c r="A247" s="2" t="s">
        <v>235</v>
      </c>
      <c r="B247" s="1" t="s">
        <v>234</v>
      </c>
      <c r="C247" s="2" t="s">
        <v>29</v>
      </c>
      <c r="D247" s="4">
        <v>20542</v>
      </c>
      <c r="E247" s="2" t="s">
        <v>1202</v>
      </c>
      <c r="F247" s="2" t="s">
        <v>1152</v>
      </c>
      <c r="G247" s="2" t="s">
        <v>1365</v>
      </c>
      <c r="H247" s="2" t="s">
        <v>872</v>
      </c>
      <c r="I247" s="2" t="s">
        <v>1247</v>
      </c>
      <c r="J247" s="2" t="s">
        <v>1490</v>
      </c>
      <c r="K247" s="2" t="s">
        <v>13</v>
      </c>
    </row>
    <row r="248" spans="1:11" ht="13.5" thickBot="1" x14ac:dyDescent="0.25">
      <c r="A248" s="2" t="s">
        <v>237</v>
      </c>
      <c r="B248" s="1" t="s">
        <v>236</v>
      </c>
      <c r="C248" s="2" t="s">
        <v>29</v>
      </c>
      <c r="D248" s="4">
        <v>19591</v>
      </c>
      <c r="E248" s="2" t="s">
        <v>1491</v>
      </c>
      <c r="F248" s="2" t="s">
        <v>1144</v>
      </c>
      <c r="G248" s="2" t="s">
        <v>1362</v>
      </c>
      <c r="H248" s="2" t="s">
        <v>872</v>
      </c>
      <c r="I248" s="2" t="s">
        <v>1247</v>
      </c>
      <c r="J248" s="2" t="s">
        <v>1492</v>
      </c>
      <c r="K248" s="2" t="s">
        <v>13</v>
      </c>
    </row>
    <row r="249" spans="1:11" ht="13.5" thickBot="1" x14ac:dyDescent="0.25">
      <c r="A249" s="2" t="s">
        <v>245</v>
      </c>
      <c r="B249" s="1" t="s">
        <v>244</v>
      </c>
      <c r="C249" s="2" t="s">
        <v>29</v>
      </c>
      <c r="D249" s="4">
        <v>13306</v>
      </c>
      <c r="E249" s="2" t="s">
        <v>1496</v>
      </c>
      <c r="F249" s="2" t="s">
        <v>1179</v>
      </c>
      <c r="G249" s="2" t="s">
        <v>1377</v>
      </c>
      <c r="H249" s="2" t="s">
        <v>872</v>
      </c>
      <c r="I249" s="2" t="s">
        <v>1473</v>
      </c>
      <c r="J249" s="2" t="s">
        <v>1497</v>
      </c>
      <c r="K249" s="2" t="s">
        <v>872</v>
      </c>
    </row>
    <row r="250" spans="1:11" ht="13.5" thickBot="1" x14ac:dyDescent="0.25">
      <c r="A250" s="2" t="s">
        <v>255</v>
      </c>
      <c r="B250" s="1" t="s">
        <v>254</v>
      </c>
      <c r="C250" s="2" t="s">
        <v>29</v>
      </c>
      <c r="D250" s="4">
        <v>12670</v>
      </c>
      <c r="E250" s="2" t="s">
        <v>1503</v>
      </c>
      <c r="F250" s="2" t="s">
        <v>1155</v>
      </c>
      <c r="G250" s="2" t="s">
        <v>1365</v>
      </c>
      <c r="H250" s="2" t="s">
        <v>872</v>
      </c>
      <c r="I250" s="2" t="s">
        <v>1247</v>
      </c>
      <c r="J250" s="2" t="s">
        <v>1504</v>
      </c>
      <c r="K250" s="2" t="s">
        <v>872</v>
      </c>
    </row>
    <row r="251" spans="1:11" ht="13.5" thickBot="1" x14ac:dyDescent="0.25">
      <c r="A251" s="2" t="s">
        <v>271</v>
      </c>
      <c r="B251" s="1" t="s">
        <v>270</v>
      </c>
      <c r="C251" s="2" t="s">
        <v>29</v>
      </c>
      <c r="D251" s="4">
        <v>25830</v>
      </c>
      <c r="E251" s="2" t="s">
        <v>1509</v>
      </c>
      <c r="F251" s="2" t="s">
        <v>1199</v>
      </c>
      <c r="G251" s="2" t="s">
        <v>1370</v>
      </c>
      <c r="H251" s="2" t="s">
        <v>872</v>
      </c>
      <c r="I251" s="2" t="s">
        <v>1247</v>
      </c>
      <c r="J251" s="2" t="s">
        <v>1510</v>
      </c>
      <c r="K251" s="2" t="s">
        <v>872</v>
      </c>
    </row>
    <row r="252" spans="1:11" ht="13.5" thickBot="1" x14ac:dyDescent="0.25">
      <c r="A252" s="2" t="s">
        <v>279</v>
      </c>
      <c r="B252" s="1" t="s">
        <v>278</v>
      </c>
      <c r="C252" s="2" t="s">
        <v>29</v>
      </c>
      <c r="D252" s="4">
        <v>14230</v>
      </c>
      <c r="E252" s="2" t="s">
        <v>1513</v>
      </c>
      <c r="F252" s="2" t="s">
        <v>1133</v>
      </c>
      <c r="G252" s="2" t="s">
        <v>1018</v>
      </c>
      <c r="H252" s="2" t="s">
        <v>872</v>
      </c>
      <c r="I252" s="2" t="s">
        <v>1247</v>
      </c>
      <c r="J252" s="2" t="s">
        <v>1514</v>
      </c>
      <c r="K252" s="2" t="s">
        <v>872</v>
      </c>
    </row>
    <row r="253" spans="1:11" ht="13.5" thickBot="1" x14ac:dyDescent="0.25">
      <c r="A253" s="2" t="s">
        <v>281</v>
      </c>
      <c r="B253" s="1" t="s">
        <v>280</v>
      </c>
      <c r="C253" s="2" t="s">
        <v>29</v>
      </c>
      <c r="D253" s="4">
        <v>19900</v>
      </c>
      <c r="E253" s="2" t="s">
        <v>1515</v>
      </c>
      <c r="F253" s="2" t="s">
        <v>1125</v>
      </c>
      <c r="G253" s="2" t="s">
        <v>1362</v>
      </c>
      <c r="H253" s="2" t="s">
        <v>872</v>
      </c>
      <c r="I253" s="2" t="s">
        <v>1247</v>
      </c>
      <c r="J253" s="2" t="s">
        <v>1516</v>
      </c>
      <c r="K253" s="2" t="s">
        <v>872</v>
      </c>
    </row>
    <row r="254" spans="1:11" ht="13.5" thickBot="1" x14ac:dyDescent="0.25">
      <c r="A254" s="2" t="s">
        <v>285</v>
      </c>
      <c r="B254" s="1" t="s">
        <v>284</v>
      </c>
      <c r="C254" s="2" t="s">
        <v>29</v>
      </c>
      <c r="D254" s="4">
        <v>17626</v>
      </c>
      <c r="E254" s="2" t="s">
        <v>1517</v>
      </c>
      <c r="F254" s="2" t="s">
        <v>1178</v>
      </c>
      <c r="G254" s="2" t="s">
        <v>1018</v>
      </c>
      <c r="H254" s="2" t="s">
        <v>872</v>
      </c>
      <c r="I254" s="2" t="s">
        <v>1247</v>
      </c>
      <c r="J254" s="2" t="s">
        <v>1518</v>
      </c>
      <c r="K254" s="2" t="s">
        <v>13</v>
      </c>
    </row>
    <row r="255" spans="1:11" ht="13.5" thickBot="1" x14ac:dyDescent="0.25">
      <c r="A255" s="2" t="s">
        <v>287</v>
      </c>
      <c r="B255" s="1" t="s">
        <v>286</v>
      </c>
      <c r="C255" s="2" t="s">
        <v>29</v>
      </c>
      <c r="D255" s="4">
        <v>17823</v>
      </c>
      <c r="E255" s="2" t="s">
        <v>1519</v>
      </c>
      <c r="F255" s="2" t="s">
        <v>1134</v>
      </c>
      <c r="G255" s="2" t="s">
        <v>1362</v>
      </c>
      <c r="H255" s="2" t="s">
        <v>872</v>
      </c>
      <c r="I255" s="2" t="s">
        <v>1247</v>
      </c>
      <c r="J255" s="2" t="s">
        <v>1434</v>
      </c>
      <c r="K255" s="2" t="s">
        <v>872</v>
      </c>
    </row>
    <row r="256" spans="1:11" ht="13.5" thickBot="1" x14ac:dyDescent="0.25">
      <c r="A256" s="2" t="s">
        <v>295</v>
      </c>
      <c r="B256" s="1" t="s">
        <v>294</v>
      </c>
      <c r="C256" s="2" t="s">
        <v>29</v>
      </c>
      <c r="D256" s="4">
        <v>17068</v>
      </c>
      <c r="E256" s="2" t="s">
        <v>1521</v>
      </c>
      <c r="F256" s="2" t="s">
        <v>1165</v>
      </c>
      <c r="G256" s="2" t="s">
        <v>1362</v>
      </c>
      <c r="H256" s="2" t="s">
        <v>872</v>
      </c>
      <c r="I256" s="78" t="s">
        <v>1247</v>
      </c>
      <c r="J256" s="169" t="s">
        <v>16</v>
      </c>
      <c r="K256" s="2" t="s">
        <v>873</v>
      </c>
    </row>
    <row r="257" spans="1:11" ht="13.5" thickBot="1" x14ac:dyDescent="0.25">
      <c r="A257" s="2" t="s">
        <v>301</v>
      </c>
      <c r="B257" s="1" t="s">
        <v>300</v>
      </c>
      <c r="C257" s="2" t="s">
        <v>29</v>
      </c>
      <c r="D257" s="4">
        <v>14480</v>
      </c>
      <c r="E257" s="2" t="s">
        <v>1523</v>
      </c>
      <c r="F257" s="2" t="s">
        <v>1146</v>
      </c>
      <c r="G257" s="2" t="s">
        <v>1388</v>
      </c>
      <c r="H257" s="2" t="s">
        <v>872</v>
      </c>
      <c r="I257" s="78" t="s">
        <v>1247</v>
      </c>
      <c r="J257" s="78" t="s">
        <v>1524</v>
      </c>
      <c r="K257" s="2" t="s">
        <v>13</v>
      </c>
    </row>
    <row r="258" spans="1:11" ht="13.5" thickBot="1" x14ac:dyDescent="0.25">
      <c r="A258" s="2" t="s">
        <v>305</v>
      </c>
      <c r="B258" s="1" t="s">
        <v>304</v>
      </c>
      <c r="C258" s="2" t="s">
        <v>29</v>
      </c>
      <c r="D258" s="4">
        <v>13326</v>
      </c>
      <c r="E258" s="2" t="s">
        <v>1259</v>
      </c>
      <c r="F258" s="2" t="s">
        <v>1195</v>
      </c>
      <c r="G258" s="2" t="s">
        <v>1018</v>
      </c>
      <c r="H258" s="2" t="s">
        <v>872</v>
      </c>
      <c r="I258" s="2" t="s">
        <v>1247</v>
      </c>
      <c r="J258" s="2" t="s">
        <v>1526</v>
      </c>
      <c r="K258" s="2" t="s">
        <v>13</v>
      </c>
    </row>
    <row r="259" spans="1:11" ht="13.5" thickBot="1" x14ac:dyDescent="0.25">
      <c r="A259" s="2" t="s">
        <v>307</v>
      </c>
      <c r="B259" s="1" t="s">
        <v>306</v>
      </c>
      <c r="C259" s="2" t="s">
        <v>29</v>
      </c>
      <c r="D259" s="4">
        <v>13598</v>
      </c>
      <c r="E259" s="2" t="s">
        <v>1217</v>
      </c>
      <c r="F259" s="2" t="s">
        <v>1216</v>
      </c>
      <c r="G259" s="2" t="s">
        <v>1018</v>
      </c>
      <c r="H259" s="2" t="s">
        <v>872</v>
      </c>
      <c r="I259" s="2" t="s">
        <v>1473</v>
      </c>
      <c r="J259" s="2" t="s">
        <v>1527</v>
      </c>
      <c r="K259" s="2" t="s">
        <v>13</v>
      </c>
    </row>
    <row r="260" spans="1:11" ht="13.5" thickBot="1" x14ac:dyDescent="0.25">
      <c r="A260" s="2" t="s">
        <v>325</v>
      </c>
      <c r="B260" s="1" t="s">
        <v>324</v>
      </c>
      <c r="C260" s="2" t="s">
        <v>29</v>
      </c>
      <c r="D260" s="4">
        <v>25692</v>
      </c>
      <c r="E260" s="2" t="s">
        <v>1221</v>
      </c>
      <c r="F260" s="2" t="s">
        <v>1221</v>
      </c>
      <c r="G260" s="2" t="s">
        <v>1368</v>
      </c>
      <c r="H260" s="2" t="s">
        <v>872</v>
      </c>
      <c r="I260" s="2" t="s">
        <v>1247</v>
      </c>
      <c r="J260" s="78" t="s">
        <v>1536</v>
      </c>
      <c r="K260" s="2" t="s">
        <v>13</v>
      </c>
    </row>
    <row r="261" spans="1:11" ht="13.5" thickBot="1" x14ac:dyDescent="0.25">
      <c r="A261" s="2" t="s">
        <v>333</v>
      </c>
      <c r="B261" s="1" t="s">
        <v>332</v>
      </c>
      <c r="C261" s="2" t="s">
        <v>29</v>
      </c>
      <c r="D261" s="4">
        <v>15959</v>
      </c>
      <c r="E261" s="2" t="s">
        <v>1542</v>
      </c>
      <c r="F261" s="2" t="s">
        <v>1155</v>
      </c>
      <c r="G261" s="2" t="s">
        <v>1365</v>
      </c>
      <c r="H261" s="2" t="s">
        <v>873</v>
      </c>
      <c r="I261" s="169" t="s">
        <v>16</v>
      </c>
      <c r="J261" s="169" t="s">
        <v>16</v>
      </c>
      <c r="K261" s="2" t="s">
        <v>13</v>
      </c>
    </row>
    <row r="262" spans="1:11" ht="13.5" thickBot="1" x14ac:dyDescent="0.25">
      <c r="A262" s="2" t="s">
        <v>343</v>
      </c>
      <c r="B262" s="1" t="s">
        <v>342</v>
      </c>
      <c r="C262" s="2" t="s">
        <v>29</v>
      </c>
      <c r="D262" s="4">
        <v>21165</v>
      </c>
      <c r="E262" s="2" t="s">
        <v>1224</v>
      </c>
      <c r="F262" s="2" t="s">
        <v>1165</v>
      </c>
      <c r="G262" s="2" t="s">
        <v>1362</v>
      </c>
      <c r="H262" s="2" t="s">
        <v>873</v>
      </c>
      <c r="I262" s="169" t="s">
        <v>16</v>
      </c>
      <c r="J262" s="169" t="s">
        <v>16</v>
      </c>
      <c r="K262" s="169" t="s">
        <v>16</v>
      </c>
    </row>
    <row r="263" spans="1:11" ht="13.5" thickBot="1" x14ac:dyDescent="0.25">
      <c r="A263" s="2" t="s">
        <v>345</v>
      </c>
      <c r="B263" s="1" t="s">
        <v>344</v>
      </c>
      <c r="C263" s="2" t="s">
        <v>29</v>
      </c>
      <c r="D263" s="4">
        <v>22423</v>
      </c>
      <c r="E263" s="2" t="s">
        <v>1548</v>
      </c>
      <c r="F263" s="2" t="s">
        <v>1134</v>
      </c>
      <c r="G263" s="2" t="s">
        <v>1362</v>
      </c>
      <c r="H263" s="2" t="s">
        <v>872</v>
      </c>
      <c r="I263" s="78" t="s">
        <v>1247</v>
      </c>
      <c r="J263" s="78" t="s">
        <v>1549</v>
      </c>
      <c r="K263" s="2" t="s">
        <v>13</v>
      </c>
    </row>
    <row r="264" spans="1:11" ht="13.5" thickBot="1" x14ac:dyDescent="0.25">
      <c r="A264" s="2" t="s">
        <v>351</v>
      </c>
      <c r="B264" s="1" t="s">
        <v>350</v>
      </c>
      <c r="C264" s="2" t="s">
        <v>29</v>
      </c>
      <c r="D264" s="4">
        <v>14236</v>
      </c>
      <c r="E264" s="2" t="s">
        <v>1553</v>
      </c>
      <c r="F264" s="2" t="s">
        <v>1134</v>
      </c>
      <c r="G264" s="2" t="s">
        <v>1388</v>
      </c>
      <c r="H264" s="2" t="s">
        <v>872</v>
      </c>
      <c r="I264" s="2" t="s">
        <v>1247</v>
      </c>
      <c r="J264" s="2" t="s">
        <v>1554</v>
      </c>
      <c r="K264" s="2" t="s">
        <v>13</v>
      </c>
    </row>
    <row r="265" spans="1:11" ht="13.5" thickBot="1" x14ac:dyDescent="0.25">
      <c r="A265" s="2" t="s">
        <v>353</v>
      </c>
      <c r="B265" s="1" t="s">
        <v>352</v>
      </c>
      <c r="C265" s="2" t="s">
        <v>29</v>
      </c>
      <c r="D265" s="4">
        <v>12920</v>
      </c>
      <c r="E265" s="2" t="s">
        <v>1555</v>
      </c>
      <c r="F265" s="2" t="s">
        <v>1226</v>
      </c>
      <c r="G265" s="2" t="s">
        <v>1368</v>
      </c>
      <c r="H265" s="2" t="s">
        <v>872</v>
      </c>
      <c r="I265" s="2" t="s">
        <v>1247</v>
      </c>
      <c r="J265" s="2" t="s">
        <v>1482</v>
      </c>
      <c r="K265" s="2" t="s">
        <v>873</v>
      </c>
    </row>
    <row r="266" spans="1:11" ht="13.5" thickBot="1" x14ac:dyDescent="0.25">
      <c r="A266" s="2" t="s">
        <v>355</v>
      </c>
      <c r="B266" s="1" t="s">
        <v>354</v>
      </c>
      <c r="C266" s="2" t="s">
        <v>29</v>
      </c>
      <c r="D266" s="4">
        <v>24587</v>
      </c>
      <c r="E266" s="2" t="s">
        <v>1227</v>
      </c>
      <c r="F266" s="2" t="s">
        <v>1146</v>
      </c>
      <c r="G266" s="2" t="s">
        <v>1388</v>
      </c>
      <c r="H266" s="2" t="s">
        <v>872</v>
      </c>
      <c r="I266" s="2" t="s">
        <v>1247</v>
      </c>
      <c r="J266" s="2" t="s">
        <v>1556</v>
      </c>
      <c r="K266" s="2" t="s">
        <v>13</v>
      </c>
    </row>
    <row r="267" spans="1:11" ht="13.5" thickBot="1" x14ac:dyDescent="0.25">
      <c r="A267" s="2" t="s">
        <v>361</v>
      </c>
      <c r="B267" s="1" t="s">
        <v>360</v>
      </c>
      <c r="C267" s="2" t="s">
        <v>29</v>
      </c>
      <c r="D267" s="4">
        <v>13233</v>
      </c>
      <c r="E267" s="2" t="s">
        <v>1498</v>
      </c>
      <c r="F267" s="2" t="s">
        <v>1200</v>
      </c>
      <c r="G267" s="2" t="s">
        <v>1018</v>
      </c>
      <c r="H267" s="2" t="s">
        <v>872</v>
      </c>
      <c r="I267" s="78" t="s">
        <v>1247</v>
      </c>
      <c r="J267" s="78" t="s">
        <v>1559</v>
      </c>
      <c r="K267" s="2" t="s">
        <v>872</v>
      </c>
    </row>
    <row r="268" spans="1:11" ht="13.5" thickBot="1" x14ac:dyDescent="0.25">
      <c r="A268" s="2" t="s">
        <v>363</v>
      </c>
      <c r="B268" s="1" t="s">
        <v>362</v>
      </c>
      <c r="C268" s="2" t="s">
        <v>29</v>
      </c>
      <c r="D268" s="4">
        <v>16422</v>
      </c>
      <c r="E268" s="2" t="s">
        <v>1560</v>
      </c>
      <c r="F268" s="2" t="s">
        <v>1125</v>
      </c>
      <c r="G268" s="2" t="s">
        <v>1362</v>
      </c>
      <c r="H268" s="2" t="s">
        <v>872</v>
      </c>
      <c r="I268" s="78" t="s">
        <v>1247</v>
      </c>
      <c r="J268" s="2" t="s">
        <v>1561</v>
      </c>
      <c r="K268" s="2" t="s">
        <v>13</v>
      </c>
    </row>
    <row r="269" spans="1:11" ht="13.5" thickBot="1" x14ac:dyDescent="0.25">
      <c r="A269" s="2" t="s">
        <v>371</v>
      </c>
      <c r="B269" s="1" t="s">
        <v>370</v>
      </c>
      <c r="C269" s="2" t="s">
        <v>29</v>
      </c>
      <c r="D269" s="4">
        <v>19202</v>
      </c>
      <c r="E269" s="2" t="s">
        <v>1230</v>
      </c>
      <c r="F269" s="2" t="s">
        <v>1125</v>
      </c>
      <c r="G269" s="2" t="s">
        <v>1362</v>
      </c>
      <c r="H269" s="2" t="s">
        <v>872</v>
      </c>
      <c r="I269" s="2" t="s">
        <v>1247</v>
      </c>
      <c r="J269" s="2" t="s">
        <v>1516</v>
      </c>
      <c r="K269" s="2" t="s">
        <v>13</v>
      </c>
    </row>
    <row r="270" spans="1:11" ht="13.5" thickBot="1" x14ac:dyDescent="0.25">
      <c r="A270" s="2" t="s">
        <v>375</v>
      </c>
      <c r="B270" s="1" t="s">
        <v>374</v>
      </c>
      <c r="C270" s="2" t="s">
        <v>29</v>
      </c>
      <c r="D270" s="4">
        <v>23088</v>
      </c>
      <c r="E270" s="2" t="s">
        <v>1231</v>
      </c>
      <c r="F270" s="2" t="s">
        <v>1125</v>
      </c>
      <c r="G270" s="2" t="s">
        <v>1381</v>
      </c>
      <c r="H270" s="2" t="s">
        <v>872</v>
      </c>
      <c r="I270" s="2" t="s">
        <v>1247</v>
      </c>
      <c r="J270" s="2" t="s">
        <v>1485</v>
      </c>
      <c r="K270" s="2" t="s">
        <v>872</v>
      </c>
    </row>
    <row r="271" spans="1:11" ht="13.5" thickBot="1" x14ac:dyDescent="0.25">
      <c r="A271" s="2" t="s">
        <v>383</v>
      </c>
      <c r="B271" s="1" t="s">
        <v>382</v>
      </c>
      <c r="C271" s="2" t="s">
        <v>29</v>
      </c>
      <c r="D271" s="4">
        <v>15322</v>
      </c>
      <c r="E271" s="2" t="s">
        <v>1570</v>
      </c>
      <c r="F271" s="2" t="s">
        <v>1234</v>
      </c>
      <c r="G271" s="2" t="s">
        <v>1368</v>
      </c>
      <c r="H271" s="2" t="s">
        <v>873</v>
      </c>
      <c r="I271" s="169" t="s">
        <v>16</v>
      </c>
      <c r="J271" s="169" t="s">
        <v>16</v>
      </c>
      <c r="K271" s="169" t="s">
        <v>16</v>
      </c>
    </row>
    <row r="272" spans="1:11" ht="13.5" thickBot="1" x14ac:dyDescent="0.25">
      <c r="A272" s="2" t="s">
        <v>385</v>
      </c>
      <c r="B272" s="1" t="s">
        <v>384</v>
      </c>
      <c r="C272" s="2" t="s">
        <v>29</v>
      </c>
      <c r="D272" s="4">
        <v>22115</v>
      </c>
      <c r="E272" s="2" t="s">
        <v>1571</v>
      </c>
      <c r="F272" s="2" t="s">
        <v>1136</v>
      </c>
      <c r="G272" s="2" t="s">
        <v>1018</v>
      </c>
      <c r="H272" s="2" t="s">
        <v>872</v>
      </c>
      <c r="I272" s="2" t="s">
        <v>1247</v>
      </c>
      <c r="J272" s="2" t="s">
        <v>1561</v>
      </c>
      <c r="K272" s="2" t="s">
        <v>872</v>
      </c>
    </row>
    <row r="273" spans="1:11" ht="13.5" thickBot="1" x14ac:dyDescent="0.25">
      <c r="A273" s="2" t="s">
        <v>399</v>
      </c>
      <c r="B273" s="1" t="s">
        <v>398</v>
      </c>
      <c r="C273" s="2" t="s">
        <v>29</v>
      </c>
      <c r="D273" s="4">
        <v>21871</v>
      </c>
      <c r="E273" s="2" t="s">
        <v>1143</v>
      </c>
      <c r="F273" s="2" t="s">
        <v>1143</v>
      </c>
      <c r="G273" s="2" t="s">
        <v>1018</v>
      </c>
      <c r="H273" s="2" t="s">
        <v>872</v>
      </c>
      <c r="I273" s="78" t="s">
        <v>1247</v>
      </c>
      <c r="J273" s="78" t="s">
        <v>1529</v>
      </c>
      <c r="K273" s="2" t="s">
        <v>13</v>
      </c>
    </row>
    <row r="274" spans="1:11" ht="13.5" thickBot="1" x14ac:dyDescent="0.25">
      <c r="A274" s="2" t="s">
        <v>405</v>
      </c>
      <c r="B274" s="1" t="s">
        <v>404</v>
      </c>
      <c r="C274" s="2" t="s">
        <v>29</v>
      </c>
      <c r="D274" s="4">
        <v>13600</v>
      </c>
      <c r="E274" s="2" t="s">
        <v>1582</v>
      </c>
      <c r="F274" s="2" t="s">
        <v>1213</v>
      </c>
      <c r="G274" s="2" t="s">
        <v>1370</v>
      </c>
      <c r="H274" s="2" t="s">
        <v>873</v>
      </c>
      <c r="I274" s="169" t="s">
        <v>16</v>
      </c>
      <c r="J274" s="169" t="s">
        <v>16</v>
      </c>
      <c r="K274" s="2" t="s">
        <v>872</v>
      </c>
    </row>
    <row r="275" spans="1:11" ht="13.5" thickBot="1" x14ac:dyDescent="0.25">
      <c r="A275" s="2" t="s">
        <v>419</v>
      </c>
      <c r="B275" s="1" t="s">
        <v>418</v>
      </c>
      <c r="C275" s="2" t="s">
        <v>29</v>
      </c>
      <c r="D275" s="4">
        <v>17153</v>
      </c>
      <c r="E275" s="2" t="s">
        <v>1241</v>
      </c>
      <c r="F275" s="2" t="s">
        <v>1241</v>
      </c>
      <c r="G275" s="2" t="s">
        <v>1373</v>
      </c>
      <c r="H275" s="2" t="s">
        <v>873</v>
      </c>
      <c r="I275" s="169" t="s">
        <v>16</v>
      </c>
      <c r="J275" s="2" t="s">
        <v>1145</v>
      </c>
      <c r="K275" s="2" t="s">
        <v>13</v>
      </c>
    </row>
    <row r="276" spans="1:11" ht="13.5" thickBot="1" x14ac:dyDescent="0.25">
      <c r="A276" s="2" t="s">
        <v>437</v>
      </c>
      <c r="B276" s="1" t="s">
        <v>436</v>
      </c>
      <c r="C276" s="2" t="s">
        <v>29</v>
      </c>
      <c r="D276" s="4">
        <v>25369</v>
      </c>
      <c r="E276" s="2" t="s">
        <v>1597</v>
      </c>
      <c r="F276" s="2" t="s">
        <v>1134</v>
      </c>
      <c r="G276" s="2" t="s">
        <v>1362</v>
      </c>
      <c r="H276" s="2" t="s">
        <v>872</v>
      </c>
      <c r="I276" s="2" t="s">
        <v>1247</v>
      </c>
      <c r="J276" s="169" t="s">
        <v>16</v>
      </c>
      <c r="K276" s="2" t="s">
        <v>13</v>
      </c>
    </row>
    <row r="277" spans="1:11" ht="13.5" thickBot="1" x14ac:dyDescent="0.25">
      <c r="A277" s="2" t="s">
        <v>453</v>
      </c>
      <c r="B277" s="1" t="s">
        <v>452</v>
      </c>
      <c r="C277" s="2" t="s">
        <v>29</v>
      </c>
      <c r="D277" s="4">
        <v>22258</v>
      </c>
      <c r="E277" s="2" t="s">
        <v>1604</v>
      </c>
      <c r="F277" s="2" t="s">
        <v>1157</v>
      </c>
      <c r="G277" s="2" t="s">
        <v>1377</v>
      </c>
      <c r="H277" s="2" t="s">
        <v>872</v>
      </c>
      <c r="I277" s="2" t="s">
        <v>1247</v>
      </c>
      <c r="J277" s="2" t="s">
        <v>1605</v>
      </c>
      <c r="K277" s="2" t="s">
        <v>872</v>
      </c>
    </row>
    <row r="278" spans="1:11" ht="13.5" thickBot="1" x14ac:dyDescent="0.25">
      <c r="A278" s="2" t="s">
        <v>467</v>
      </c>
      <c r="B278" s="1" t="s">
        <v>466</v>
      </c>
      <c r="C278" s="2" t="s">
        <v>29</v>
      </c>
      <c r="D278" s="4">
        <v>14545</v>
      </c>
      <c r="E278" s="2" t="s">
        <v>1610</v>
      </c>
      <c r="F278" s="2" t="s">
        <v>1125</v>
      </c>
      <c r="G278" s="2" t="s">
        <v>1362</v>
      </c>
      <c r="H278" s="2" t="s">
        <v>873</v>
      </c>
      <c r="I278" s="169" t="s">
        <v>16</v>
      </c>
      <c r="J278" s="169" t="s">
        <v>16</v>
      </c>
      <c r="K278" s="169" t="s">
        <v>16</v>
      </c>
    </row>
    <row r="279" spans="1:11" ht="13.5" thickBot="1" x14ac:dyDescent="0.25">
      <c r="A279" s="2" t="s">
        <v>474</v>
      </c>
      <c r="B279" s="1" t="s">
        <v>473</v>
      </c>
      <c r="C279" s="2" t="s">
        <v>29</v>
      </c>
      <c r="D279" s="4">
        <v>13452</v>
      </c>
      <c r="E279" s="2" t="s">
        <v>1612</v>
      </c>
      <c r="F279" s="2" t="s">
        <v>1146</v>
      </c>
      <c r="G279" s="2" t="s">
        <v>1388</v>
      </c>
      <c r="H279" s="2" t="s">
        <v>872</v>
      </c>
      <c r="I279" s="78" t="s">
        <v>1247</v>
      </c>
      <c r="J279" s="78" t="s">
        <v>1613</v>
      </c>
      <c r="K279" s="78" t="s">
        <v>873</v>
      </c>
    </row>
    <row r="280" spans="1:11" ht="13.5" thickBot="1" x14ac:dyDescent="0.25">
      <c r="A280" s="2" t="s">
        <v>488</v>
      </c>
      <c r="B280" s="1" t="s">
        <v>487</v>
      </c>
      <c r="C280" s="2" t="s">
        <v>29</v>
      </c>
      <c r="D280" s="4">
        <v>22995</v>
      </c>
      <c r="E280" s="2" t="s">
        <v>1254</v>
      </c>
      <c r="F280" s="2" t="s">
        <v>1254</v>
      </c>
      <c r="G280" s="2" t="s">
        <v>1375</v>
      </c>
      <c r="H280" s="2" t="s">
        <v>872</v>
      </c>
      <c r="I280" s="2" t="s">
        <v>1247</v>
      </c>
      <c r="J280" s="2" t="s">
        <v>1583</v>
      </c>
      <c r="K280" s="2" t="s">
        <v>13</v>
      </c>
    </row>
    <row r="281" spans="1:11" ht="13.5" thickBot="1" x14ac:dyDescent="0.25">
      <c r="A281" s="2" t="s">
        <v>498</v>
      </c>
      <c r="B281" s="1" t="s">
        <v>497</v>
      </c>
      <c r="C281" s="2" t="s">
        <v>29</v>
      </c>
      <c r="D281" s="4">
        <v>14948</v>
      </c>
      <c r="E281" s="2" t="s">
        <v>1624</v>
      </c>
      <c r="F281" s="2" t="s">
        <v>1129</v>
      </c>
      <c r="G281" s="2" t="s">
        <v>1365</v>
      </c>
      <c r="H281" s="2" t="s">
        <v>872</v>
      </c>
      <c r="I281" s="2" t="s">
        <v>1247</v>
      </c>
      <c r="J281" s="2" t="s">
        <v>1625</v>
      </c>
      <c r="K281" s="2" t="s">
        <v>13</v>
      </c>
    </row>
    <row r="282" spans="1:11" ht="13.5" thickBot="1" x14ac:dyDescent="0.25">
      <c r="A282" s="2" t="s">
        <v>502</v>
      </c>
      <c r="B282" s="1" t="s">
        <v>501</v>
      </c>
      <c r="C282" s="2" t="s">
        <v>29</v>
      </c>
      <c r="D282" s="4">
        <v>18393</v>
      </c>
      <c r="E282" s="2" t="s">
        <v>1258</v>
      </c>
      <c r="F282" s="2" t="s">
        <v>1157</v>
      </c>
      <c r="G282" s="2" t="s">
        <v>1377</v>
      </c>
      <c r="H282" s="2" t="s">
        <v>872</v>
      </c>
      <c r="I282" s="78" t="s">
        <v>1247</v>
      </c>
      <c r="J282" s="2" t="s">
        <v>1628</v>
      </c>
      <c r="K282" s="2" t="s">
        <v>872</v>
      </c>
    </row>
    <row r="283" spans="1:11" ht="13.5" thickBot="1" x14ac:dyDescent="0.25">
      <c r="A283" s="2" t="s">
        <v>514</v>
      </c>
      <c r="B283" s="1" t="s">
        <v>513</v>
      </c>
      <c r="C283" s="2" t="s">
        <v>29</v>
      </c>
      <c r="D283" s="4">
        <v>14384</v>
      </c>
      <c r="E283" s="2" t="s">
        <v>1633</v>
      </c>
      <c r="F283" s="2" t="s">
        <v>1261</v>
      </c>
      <c r="G283" s="2" t="s">
        <v>1370</v>
      </c>
      <c r="H283" s="2" t="s">
        <v>872</v>
      </c>
      <c r="I283" s="2" t="s">
        <v>1247</v>
      </c>
      <c r="J283" s="2" t="s">
        <v>1634</v>
      </c>
      <c r="K283" s="2" t="s">
        <v>13</v>
      </c>
    </row>
    <row r="284" spans="1:11" ht="13.5" thickBot="1" x14ac:dyDescent="0.25">
      <c r="A284" s="2" t="s">
        <v>518</v>
      </c>
      <c r="B284" s="1" t="s">
        <v>517</v>
      </c>
      <c r="C284" s="2" t="s">
        <v>29</v>
      </c>
      <c r="D284" s="4">
        <v>17511</v>
      </c>
      <c r="E284" s="2" t="s">
        <v>1263</v>
      </c>
      <c r="F284" s="2" t="s">
        <v>1262</v>
      </c>
      <c r="G284" s="2" t="s">
        <v>1365</v>
      </c>
      <c r="H284" s="2" t="s">
        <v>872</v>
      </c>
      <c r="I284" s="2" t="s">
        <v>1247</v>
      </c>
      <c r="J284" s="2" t="s">
        <v>1636</v>
      </c>
      <c r="K284" s="2" t="s">
        <v>872</v>
      </c>
    </row>
    <row r="285" spans="1:11" ht="13.5" thickBot="1" x14ac:dyDescent="0.25">
      <c r="A285" s="2" t="s">
        <v>520</v>
      </c>
      <c r="B285" s="1" t="s">
        <v>519</v>
      </c>
      <c r="C285" s="2" t="s">
        <v>29</v>
      </c>
      <c r="D285" s="4">
        <v>15736</v>
      </c>
      <c r="E285" s="2" t="s">
        <v>1264</v>
      </c>
      <c r="F285" s="2" t="s">
        <v>1125</v>
      </c>
      <c r="G285" s="2" t="s">
        <v>1362</v>
      </c>
      <c r="H285" s="2" t="s">
        <v>872</v>
      </c>
      <c r="I285" s="2" t="s">
        <v>1247</v>
      </c>
      <c r="J285" s="2" t="s">
        <v>1637</v>
      </c>
      <c r="K285" s="2" t="s">
        <v>13</v>
      </c>
    </row>
    <row r="286" spans="1:11" ht="13.5" thickBot="1" x14ac:dyDescent="0.25">
      <c r="A286" s="2" t="s">
        <v>524</v>
      </c>
      <c r="B286" s="1" t="s">
        <v>523</v>
      </c>
      <c r="C286" s="2" t="s">
        <v>29</v>
      </c>
      <c r="D286" s="4">
        <v>13097</v>
      </c>
      <c r="E286" s="2" t="s">
        <v>1638</v>
      </c>
      <c r="F286" s="2" t="s">
        <v>1209</v>
      </c>
      <c r="G286" s="2" t="s">
        <v>1639</v>
      </c>
      <c r="H286" s="2" t="s">
        <v>873</v>
      </c>
      <c r="I286" s="169" t="s">
        <v>16</v>
      </c>
      <c r="J286" s="169" t="s">
        <v>16</v>
      </c>
      <c r="K286" s="169" t="s">
        <v>16</v>
      </c>
    </row>
    <row r="287" spans="1:11" ht="13.5" thickBot="1" x14ac:dyDescent="0.25">
      <c r="A287" s="2" t="s">
        <v>534</v>
      </c>
      <c r="B287" s="1" t="s">
        <v>533</v>
      </c>
      <c r="C287" s="2" t="s">
        <v>29</v>
      </c>
      <c r="D287" s="4">
        <v>22857</v>
      </c>
      <c r="E287" s="2" t="s">
        <v>1642</v>
      </c>
      <c r="F287" s="2" t="s">
        <v>1146</v>
      </c>
      <c r="G287" s="2" t="s">
        <v>1388</v>
      </c>
      <c r="H287" s="2" t="s">
        <v>872</v>
      </c>
      <c r="I287" s="2" t="s">
        <v>1247</v>
      </c>
      <c r="J287" s="78" t="s">
        <v>1643</v>
      </c>
      <c r="K287" s="2" t="s">
        <v>13</v>
      </c>
    </row>
    <row r="288" spans="1:11" ht="13.5" thickBot="1" x14ac:dyDescent="0.25">
      <c r="A288" s="2" t="s">
        <v>548</v>
      </c>
      <c r="B288" s="1" t="s">
        <v>547</v>
      </c>
      <c r="C288" s="2" t="s">
        <v>29</v>
      </c>
      <c r="D288" s="4">
        <v>25686</v>
      </c>
      <c r="E288" s="2" t="s">
        <v>1270</v>
      </c>
      <c r="F288" s="2" t="s">
        <v>1157</v>
      </c>
      <c r="G288" s="2" t="s">
        <v>1377</v>
      </c>
      <c r="H288" s="2" t="s">
        <v>872</v>
      </c>
      <c r="I288" s="2" t="s">
        <v>1247</v>
      </c>
      <c r="J288" s="2" t="s">
        <v>896</v>
      </c>
      <c r="K288" s="2" t="s">
        <v>872</v>
      </c>
    </row>
    <row r="289" spans="1:11" ht="13.5" thickBot="1" x14ac:dyDescent="0.25">
      <c r="A289" s="2" t="s">
        <v>564</v>
      </c>
      <c r="B289" s="1" t="s">
        <v>563</v>
      </c>
      <c r="C289" s="2" t="s">
        <v>29</v>
      </c>
      <c r="D289" s="4">
        <v>12561</v>
      </c>
      <c r="E289" s="2" t="s">
        <v>1659</v>
      </c>
      <c r="F289" s="2" t="s">
        <v>1272</v>
      </c>
      <c r="G289" s="2" t="s">
        <v>1368</v>
      </c>
      <c r="H289" s="2" t="s">
        <v>873</v>
      </c>
      <c r="I289" s="2" t="s">
        <v>1247</v>
      </c>
      <c r="J289" s="169" t="s">
        <v>16</v>
      </c>
      <c r="K289" s="2" t="s">
        <v>872</v>
      </c>
    </row>
    <row r="290" spans="1:11" ht="13.5" thickBot="1" x14ac:dyDescent="0.25">
      <c r="A290" s="2" t="s">
        <v>574</v>
      </c>
      <c r="B290" s="1" t="s">
        <v>573</v>
      </c>
      <c r="C290" s="2" t="s">
        <v>29</v>
      </c>
      <c r="D290" s="4">
        <v>24164</v>
      </c>
      <c r="E290" s="2" t="s">
        <v>1664</v>
      </c>
      <c r="F290" s="2" t="s">
        <v>1274</v>
      </c>
      <c r="G290" s="2" t="s">
        <v>1373</v>
      </c>
      <c r="H290" s="2" t="s">
        <v>872</v>
      </c>
      <c r="I290" s="2" t="s">
        <v>1247</v>
      </c>
      <c r="J290" s="2" t="s">
        <v>1665</v>
      </c>
      <c r="K290" s="2" t="s">
        <v>13</v>
      </c>
    </row>
    <row r="291" spans="1:11" ht="13.5" thickBot="1" x14ac:dyDescent="0.25">
      <c r="A291" s="2" t="s">
        <v>576</v>
      </c>
      <c r="B291" s="1" t="s">
        <v>575</v>
      </c>
      <c r="C291" s="2" t="s">
        <v>29</v>
      </c>
      <c r="D291" s="4">
        <v>14230</v>
      </c>
      <c r="E291" s="2" t="s">
        <v>1274</v>
      </c>
      <c r="F291" s="2" t="s">
        <v>1133</v>
      </c>
      <c r="G291" s="2" t="s">
        <v>1377</v>
      </c>
      <c r="H291" s="2" t="s">
        <v>872</v>
      </c>
      <c r="I291" s="2" t="s">
        <v>1247</v>
      </c>
      <c r="J291" s="2" t="s">
        <v>1666</v>
      </c>
      <c r="K291" s="2" t="s">
        <v>872</v>
      </c>
    </row>
    <row r="292" spans="1:11" ht="13.5" thickBot="1" x14ac:dyDescent="0.25">
      <c r="A292" s="2" t="s">
        <v>580</v>
      </c>
      <c r="B292" s="1" t="s">
        <v>579</v>
      </c>
      <c r="C292" s="2" t="s">
        <v>29</v>
      </c>
      <c r="D292" s="4">
        <v>20526</v>
      </c>
      <c r="E292" s="2" t="s">
        <v>1276</v>
      </c>
      <c r="F292" s="2" t="s">
        <v>1125</v>
      </c>
      <c r="G292" s="2" t="s">
        <v>1362</v>
      </c>
      <c r="H292" s="2" t="s">
        <v>873</v>
      </c>
      <c r="I292" s="169" t="s">
        <v>16</v>
      </c>
      <c r="J292" s="78" t="s">
        <v>891</v>
      </c>
      <c r="K292" s="2" t="s">
        <v>13</v>
      </c>
    </row>
    <row r="293" spans="1:11" ht="13.5" thickBot="1" x14ac:dyDescent="0.25">
      <c r="A293" s="2" t="s">
        <v>588</v>
      </c>
      <c r="B293" s="1" t="s">
        <v>587</v>
      </c>
      <c r="C293" s="2" t="s">
        <v>29</v>
      </c>
      <c r="D293" s="4">
        <v>13579</v>
      </c>
      <c r="E293" s="2" t="s">
        <v>1278</v>
      </c>
      <c r="F293" s="2" t="s">
        <v>1229</v>
      </c>
      <c r="G293" s="2" t="s">
        <v>1377</v>
      </c>
      <c r="H293" s="2" t="s">
        <v>872</v>
      </c>
      <c r="I293" s="2" t="s">
        <v>1247</v>
      </c>
      <c r="J293" s="2" t="s">
        <v>1672</v>
      </c>
      <c r="K293" s="78" t="s">
        <v>13</v>
      </c>
    </row>
    <row r="294" spans="1:11" ht="13.5" thickBot="1" x14ac:dyDescent="0.25">
      <c r="A294" s="2" t="s">
        <v>600</v>
      </c>
      <c r="B294" s="1" t="s">
        <v>599</v>
      </c>
      <c r="C294" s="2" t="s">
        <v>29</v>
      </c>
      <c r="D294" s="4">
        <v>16709</v>
      </c>
      <c r="E294" s="2" t="s">
        <v>1676</v>
      </c>
      <c r="F294" s="2" t="s">
        <v>1128</v>
      </c>
      <c r="G294" s="2" t="s">
        <v>1373</v>
      </c>
      <c r="H294" s="2" t="s">
        <v>872</v>
      </c>
      <c r="I294" s="2" t="s">
        <v>1247</v>
      </c>
      <c r="J294" s="2" t="s">
        <v>1677</v>
      </c>
      <c r="K294" s="2" t="s">
        <v>872</v>
      </c>
    </row>
    <row r="295" spans="1:11" ht="13.5" thickBot="1" x14ac:dyDescent="0.25">
      <c r="A295" s="2" t="s">
        <v>616</v>
      </c>
      <c r="B295" s="1" t="s">
        <v>615</v>
      </c>
      <c r="C295" s="2" t="s">
        <v>29</v>
      </c>
      <c r="D295" s="4">
        <v>12798</v>
      </c>
      <c r="E295" s="2" t="s">
        <v>1171</v>
      </c>
      <c r="F295" s="2" t="s">
        <v>1171</v>
      </c>
      <c r="G295" s="2" t="s">
        <v>1370</v>
      </c>
      <c r="H295" s="2" t="s">
        <v>872</v>
      </c>
      <c r="I295" s="2" t="s">
        <v>1247</v>
      </c>
      <c r="J295" s="2" t="s">
        <v>1684</v>
      </c>
      <c r="K295" s="2" t="s">
        <v>872</v>
      </c>
    </row>
    <row r="296" spans="1:11" ht="13.5" thickBot="1" x14ac:dyDescent="0.25">
      <c r="A296" s="2" t="s">
        <v>618</v>
      </c>
      <c r="B296" s="1" t="s">
        <v>617</v>
      </c>
      <c r="C296" s="2" t="s">
        <v>29</v>
      </c>
      <c r="D296" s="4">
        <v>13912</v>
      </c>
      <c r="E296" s="2" t="s">
        <v>1685</v>
      </c>
      <c r="F296" s="2" t="s">
        <v>1143</v>
      </c>
      <c r="G296" s="2" t="s">
        <v>1365</v>
      </c>
      <c r="H296" s="2" t="s">
        <v>873</v>
      </c>
      <c r="I296" s="169" t="s">
        <v>16</v>
      </c>
      <c r="J296" s="169" t="s">
        <v>16</v>
      </c>
      <c r="K296" s="2" t="s">
        <v>872</v>
      </c>
    </row>
    <row r="297" spans="1:11" ht="13.5" thickBot="1" x14ac:dyDescent="0.25">
      <c r="A297" s="2" t="s">
        <v>622</v>
      </c>
      <c r="B297" s="1" t="s">
        <v>621</v>
      </c>
      <c r="C297" s="2" t="s">
        <v>29</v>
      </c>
      <c r="D297" s="4">
        <v>14878</v>
      </c>
      <c r="E297" s="2" t="s">
        <v>1687</v>
      </c>
      <c r="F297" s="2" t="s">
        <v>1283</v>
      </c>
      <c r="G297" s="2" t="s">
        <v>1373</v>
      </c>
      <c r="H297" s="2" t="s">
        <v>872</v>
      </c>
      <c r="I297" s="2" t="s">
        <v>1247</v>
      </c>
      <c r="J297" s="2" t="s">
        <v>1434</v>
      </c>
      <c r="K297" s="2" t="s">
        <v>872</v>
      </c>
    </row>
    <row r="298" spans="1:11" ht="13.5" thickBot="1" x14ac:dyDescent="0.25">
      <c r="A298" s="2" t="s">
        <v>658</v>
      </c>
      <c r="B298" s="1" t="s">
        <v>657</v>
      </c>
      <c r="C298" s="2" t="s">
        <v>29</v>
      </c>
      <c r="D298" s="4">
        <v>12486</v>
      </c>
      <c r="E298" s="2" t="s">
        <v>1702</v>
      </c>
      <c r="F298" s="2" t="s">
        <v>1134</v>
      </c>
      <c r="G298" s="2" t="s">
        <v>1362</v>
      </c>
      <c r="H298" s="2" t="s">
        <v>873</v>
      </c>
      <c r="I298" s="169" t="s">
        <v>16</v>
      </c>
      <c r="J298" s="169" t="s">
        <v>16</v>
      </c>
      <c r="K298" s="2" t="s">
        <v>873</v>
      </c>
    </row>
    <row r="299" spans="1:11" ht="13.5" thickBot="1" x14ac:dyDescent="0.25">
      <c r="A299" s="2" t="s">
        <v>686</v>
      </c>
      <c r="B299" s="1" t="s">
        <v>685</v>
      </c>
      <c r="C299" s="2" t="s">
        <v>29</v>
      </c>
      <c r="D299" s="4">
        <v>16753</v>
      </c>
      <c r="E299" s="2" t="s">
        <v>1610</v>
      </c>
      <c r="F299" s="2" t="s">
        <v>1144</v>
      </c>
      <c r="G299" s="2" t="s">
        <v>1362</v>
      </c>
      <c r="H299" s="2" t="s">
        <v>872</v>
      </c>
      <c r="I299" s="2" t="s">
        <v>1247</v>
      </c>
      <c r="J299" s="78" t="s">
        <v>1720</v>
      </c>
      <c r="K299" s="2" t="s">
        <v>13</v>
      </c>
    </row>
    <row r="300" spans="1:11" ht="13.5" thickBot="1" x14ac:dyDescent="0.25">
      <c r="A300" s="2" t="s">
        <v>728</v>
      </c>
      <c r="B300" s="1" t="s">
        <v>727</v>
      </c>
      <c r="C300" s="2" t="s">
        <v>29</v>
      </c>
      <c r="D300" s="4">
        <v>18260</v>
      </c>
      <c r="E300" s="2" t="s">
        <v>1299</v>
      </c>
      <c r="F300" s="2" t="s">
        <v>1136</v>
      </c>
      <c r="G300" s="2" t="s">
        <v>1018</v>
      </c>
      <c r="H300" s="2" t="s">
        <v>872</v>
      </c>
      <c r="I300" s="2" t="s">
        <v>1247</v>
      </c>
      <c r="J300" s="2" t="s">
        <v>900</v>
      </c>
      <c r="K300" s="2" t="s">
        <v>872</v>
      </c>
    </row>
    <row r="301" spans="1:11" ht="13.5" thickBot="1" x14ac:dyDescent="0.25">
      <c r="A301" s="2" t="s">
        <v>730</v>
      </c>
      <c r="B301" s="1" t="s">
        <v>729</v>
      </c>
      <c r="C301" s="2" t="s">
        <v>29</v>
      </c>
      <c r="D301" s="4">
        <v>13940</v>
      </c>
      <c r="E301" s="2" t="s">
        <v>1741</v>
      </c>
      <c r="F301" s="2" t="s">
        <v>1125</v>
      </c>
      <c r="G301" s="2" t="s">
        <v>1362</v>
      </c>
      <c r="H301" s="2" t="s">
        <v>872</v>
      </c>
      <c r="I301" s="78" t="s">
        <v>1247</v>
      </c>
      <c r="J301" s="78" t="s">
        <v>1482</v>
      </c>
      <c r="K301" s="2" t="s">
        <v>1145</v>
      </c>
    </row>
    <row r="302" spans="1:11" ht="13.5" thickBot="1" x14ac:dyDescent="0.25">
      <c r="A302" s="2" t="s">
        <v>736</v>
      </c>
      <c r="B302" s="1" t="s">
        <v>735</v>
      </c>
      <c r="C302" s="2" t="s">
        <v>29</v>
      </c>
      <c r="D302" s="4">
        <v>17937</v>
      </c>
      <c r="E302" s="2" t="s">
        <v>1300</v>
      </c>
      <c r="F302" s="2" t="s">
        <v>1167</v>
      </c>
      <c r="G302" s="2" t="s">
        <v>1377</v>
      </c>
      <c r="H302" s="2" t="s">
        <v>872</v>
      </c>
      <c r="I302" s="78" t="s">
        <v>1247</v>
      </c>
      <c r="J302" s="2" t="s">
        <v>1744</v>
      </c>
      <c r="K302" s="2" t="s">
        <v>13</v>
      </c>
    </row>
    <row r="303" spans="1:11" ht="13.5" thickBot="1" x14ac:dyDescent="0.25">
      <c r="A303" s="2" t="s">
        <v>755</v>
      </c>
      <c r="B303" s="1" t="s">
        <v>754</v>
      </c>
      <c r="C303" s="2" t="s">
        <v>29</v>
      </c>
      <c r="D303" s="4">
        <v>18134</v>
      </c>
      <c r="E303" s="2" t="s">
        <v>1304</v>
      </c>
      <c r="F303" s="2" t="s">
        <v>1126</v>
      </c>
      <c r="G303" s="2" t="s">
        <v>1365</v>
      </c>
      <c r="H303" s="2" t="s">
        <v>872</v>
      </c>
      <c r="I303" s="2" t="s">
        <v>1247</v>
      </c>
      <c r="J303" s="2" t="s">
        <v>1546</v>
      </c>
      <c r="K303" s="2" t="s">
        <v>13</v>
      </c>
    </row>
    <row r="304" spans="1:11" ht="13.5" thickBot="1" x14ac:dyDescent="0.25">
      <c r="A304" s="2" t="s">
        <v>767</v>
      </c>
      <c r="B304" s="1" t="s">
        <v>766</v>
      </c>
      <c r="C304" s="2" t="s">
        <v>29</v>
      </c>
      <c r="D304" s="4">
        <v>16881</v>
      </c>
      <c r="E304" s="2" t="s">
        <v>1757</v>
      </c>
      <c r="F304" s="2" t="s">
        <v>1200</v>
      </c>
      <c r="G304" s="2" t="s">
        <v>1018</v>
      </c>
      <c r="H304" s="2" t="s">
        <v>873</v>
      </c>
      <c r="I304" s="169" t="s">
        <v>16</v>
      </c>
      <c r="J304" s="169" t="s">
        <v>16</v>
      </c>
      <c r="K304" s="2" t="s">
        <v>873</v>
      </c>
    </row>
    <row r="305" spans="1:11" ht="13.5" thickBot="1" x14ac:dyDescent="0.25">
      <c r="A305" s="2" t="s">
        <v>771</v>
      </c>
      <c r="B305" s="1" t="s">
        <v>770</v>
      </c>
      <c r="C305" s="2" t="s">
        <v>29</v>
      </c>
      <c r="D305" s="4">
        <v>14253</v>
      </c>
      <c r="E305" s="2" t="s">
        <v>1758</v>
      </c>
      <c r="F305" s="2" t="s">
        <v>1167</v>
      </c>
      <c r="G305" s="2" t="s">
        <v>1377</v>
      </c>
      <c r="H305" s="2" t="s">
        <v>872</v>
      </c>
      <c r="I305" s="78" t="s">
        <v>1247</v>
      </c>
      <c r="J305" s="78" t="s">
        <v>1759</v>
      </c>
      <c r="K305" s="2" t="s">
        <v>872</v>
      </c>
    </row>
    <row r="306" spans="1:11" ht="13.5" thickBot="1" x14ac:dyDescent="0.25">
      <c r="A306" s="2" t="s">
        <v>791</v>
      </c>
      <c r="B306" s="1" t="s">
        <v>790</v>
      </c>
      <c r="C306" s="2" t="s">
        <v>29</v>
      </c>
      <c r="D306" s="4">
        <v>12238</v>
      </c>
      <c r="E306" s="2" t="s">
        <v>1767</v>
      </c>
      <c r="F306" s="2" t="s">
        <v>1149</v>
      </c>
      <c r="G306" s="2" t="s">
        <v>1377</v>
      </c>
      <c r="H306" s="2" t="s">
        <v>872</v>
      </c>
      <c r="I306" s="2" t="s">
        <v>1247</v>
      </c>
      <c r="J306" s="169" t="s">
        <v>16</v>
      </c>
      <c r="K306" s="2" t="s">
        <v>13</v>
      </c>
    </row>
    <row r="307" spans="1:11" ht="13.5" thickBot="1" x14ac:dyDescent="0.25">
      <c r="A307" s="2" t="s">
        <v>813</v>
      </c>
      <c r="B307" s="1" t="s">
        <v>812</v>
      </c>
      <c r="C307" s="2" t="s">
        <v>29</v>
      </c>
      <c r="D307" s="4">
        <v>17593</v>
      </c>
      <c r="E307" s="2" t="s">
        <v>1134</v>
      </c>
      <c r="F307" s="2" t="s">
        <v>1134</v>
      </c>
      <c r="G307" s="2" t="s">
        <v>1362</v>
      </c>
      <c r="H307" s="2" t="s">
        <v>872</v>
      </c>
      <c r="I307" s="2" t="s">
        <v>1247</v>
      </c>
      <c r="J307" s="2" t="s">
        <v>1541</v>
      </c>
      <c r="K307" s="2" t="s">
        <v>873</v>
      </c>
    </row>
    <row r="308" spans="1:11" ht="13.5" thickBot="1" x14ac:dyDescent="0.25">
      <c r="A308" s="2" t="s">
        <v>839</v>
      </c>
      <c r="B308" s="1" t="s">
        <v>838</v>
      </c>
      <c r="C308" s="2" t="s">
        <v>29</v>
      </c>
      <c r="D308" s="4">
        <v>13498</v>
      </c>
      <c r="E308" s="2" t="s">
        <v>1789</v>
      </c>
      <c r="F308" s="2" t="s">
        <v>1125</v>
      </c>
      <c r="G308" s="2" t="s">
        <v>1362</v>
      </c>
      <c r="H308" s="2" t="s">
        <v>872</v>
      </c>
      <c r="I308" s="78" t="s">
        <v>1247</v>
      </c>
      <c r="J308" s="78" t="s">
        <v>1413</v>
      </c>
      <c r="K308" s="2" t="s">
        <v>13</v>
      </c>
    </row>
    <row r="309" spans="1:11" ht="13.5" thickBot="1" x14ac:dyDescent="0.25">
      <c r="A309" s="2" t="s">
        <v>44</v>
      </c>
      <c r="B309" s="1" t="s">
        <v>43</v>
      </c>
      <c r="C309" s="2" t="s">
        <v>45</v>
      </c>
      <c r="D309" s="4">
        <v>28210</v>
      </c>
      <c r="E309" s="2" t="s">
        <v>1378</v>
      </c>
      <c r="F309" s="2" t="s">
        <v>1134</v>
      </c>
      <c r="G309" s="2" t="s">
        <v>1362</v>
      </c>
      <c r="H309" s="2" t="s">
        <v>873</v>
      </c>
      <c r="I309" s="169" t="s">
        <v>16</v>
      </c>
      <c r="J309" s="169" t="s">
        <v>16</v>
      </c>
      <c r="K309" s="169" t="s">
        <v>16</v>
      </c>
    </row>
    <row r="310" spans="1:11" ht="13.5" thickBot="1" x14ac:dyDescent="0.25">
      <c r="A310" s="2" t="s">
        <v>47</v>
      </c>
      <c r="B310" s="1" t="s">
        <v>46</v>
      </c>
      <c r="C310" s="2" t="s">
        <v>45</v>
      </c>
      <c r="D310" s="4">
        <v>28283</v>
      </c>
      <c r="E310" s="2" t="s">
        <v>1137</v>
      </c>
      <c r="F310" s="2" t="s">
        <v>1136</v>
      </c>
      <c r="G310" s="2" t="s">
        <v>1018</v>
      </c>
      <c r="H310" s="2" t="s">
        <v>872</v>
      </c>
      <c r="I310" s="2" t="s">
        <v>1247</v>
      </c>
      <c r="J310" s="2" t="s">
        <v>896</v>
      </c>
      <c r="K310" s="2" t="s">
        <v>872</v>
      </c>
    </row>
    <row r="311" spans="1:11" ht="13.5" thickBot="1" x14ac:dyDescent="0.25">
      <c r="A311" s="2" t="s">
        <v>55</v>
      </c>
      <c r="B311" s="1" t="s">
        <v>54</v>
      </c>
      <c r="C311" s="2" t="s">
        <v>45</v>
      </c>
      <c r="D311" s="4">
        <v>29598</v>
      </c>
      <c r="E311" s="2" t="s">
        <v>1142</v>
      </c>
      <c r="F311" s="2" t="s">
        <v>1142</v>
      </c>
      <c r="G311" s="2" t="s">
        <v>1370</v>
      </c>
      <c r="H311" s="2" t="s">
        <v>872</v>
      </c>
      <c r="I311" s="2" t="s">
        <v>1247</v>
      </c>
      <c r="J311" s="2" t="s">
        <v>1382</v>
      </c>
      <c r="K311" s="2" t="s">
        <v>13</v>
      </c>
    </row>
    <row r="312" spans="1:11" ht="13.5" thickBot="1" x14ac:dyDescent="0.25">
      <c r="A312" s="2" t="s">
        <v>80</v>
      </c>
      <c r="B312" s="1" t="s">
        <v>79</v>
      </c>
      <c r="C312" s="2" t="s">
        <v>45</v>
      </c>
      <c r="D312" s="4">
        <v>35350</v>
      </c>
      <c r="E312" s="2" t="s">
        <v>1400</v>
      </c>
      <c r="F312" s="2" t="s">
        <v>1125</v>
      </c>
      <c r="G312" s="2" t="s">
        <v>1362</v>
      </c>
      <c r="H312" s="2" t="s">
        <v>873</v>
      </c>
      <c r="I312" s="169" t="s">
        <v>16</v>
      </c>
      <c r="J312" s="169" t="s">
        <v>16</v>
      </c>
      <c r="K312" s="2" t="s">
        <v>872</v>
      </c>
    </row>
    <row r="313" spans="1:11" ht="13.5" thickBot="1" x14ac:dyDescent="0.25">
      <c r="A313" s="2" t="s">
        <v>92</v>
      </c>
      <c r="B313" s="1" t="s">
        <v>91</v>
      </c>
      <c r="C313" s="2" t="s">
        <v>45</v>
      </c>
      <c r="D313" s="4">
        <v>42361</v>
      </c>
      <c r="E313" s="2" t="s">
        <v>1408</v>
      </c>
      <c r="F313" s="2" t="s">
        <v>1134</v>
      </c>
      <c r="G313" s="2" t="s">
        <v>1362</v>
      </c>
      <c r="H313" s="2" t="s">
        <v>873</v>
      </c>
      <c r="I313" s="169" t="s">
        <v>16</v>
      </c>
      <c r="J313" s="169" t="s">
        <v>16</v>
      </c>
      <c r="K313" s="2" t="s">
        <v>13</v>
      </c>
    </row>
    <row r="314" spans="1:11" ht="13.5" thickBot="1" x14ac:dyDescent="0.25">
      <c r="A314" s="2" t="s">
        <v>114</v>
      </c>
      <c r="B314" s="1" t="s">
        <v>113</v>
      </c>
      <c r="C314" s="2" t="s">
        <v>45</v>
      </c>
      <c r="D314" s="4">
        <v>41070</v>
      </c>
      <c r="E314" s="2" t="s">
        <v>1422</v>
      </c>
      <c r="F314" s="2" t="s">
        <v>1125</v>
      </c>
      <c r="G314" s="2" t="s">
        <v>1362</v>
      </c>
      <c r="H314" s="2" t="s">
        <v>873</v>
      </c>
      <c r="I314" s="169" t="s">
        <v>16</v>
      </c>
      <c r="J314" s="2" t="s">
        <v>13</v>
      </c>
      <c r="K314" s="2" t="s">
        <v>13</v>
      </c>
    </row>
    <row r="315" spans="1:11" ht="13.5" thickBot="1" x14ac:dyDescent="0.25">
      <c r="A315" s="2" t="s">
        <v>120</v>
      </c>
      <c r="B315" s="1" t="s">
        <v>119</v>
      </c>
      <c r="C315" s="2" t="s">
        <v>45</v>
      </c>
      <c r="D315" s="4">
        <v>46905</v>
      </c>
      <c r="E315" s="2" t="s">
        <v>1163</v>
      </c>
      <c r="F315" s="2" t="s">
        <v>1162</v>
      </c>
      <c r="G315" s="2" t="s">
        <v>1365</v>
      </c>
      <c r="H315" s="2" t="s">
        <v>872</v>
      </c>
      <c r="I315" s="2" t="s">
        <v>1247</v>
      </c>
      <c r="J315" s="2" t="s">
        <v>1384</v>
      </c>
      <c r="K315" s="2" t="s">
        <v>872</v>
      </c>
    </row>
    <row r="316" spans="1:11" ht="13.5" thickBot="1" x14ac:dyDescent="0.25">
      <c r="A316" s="2" t="s">
        <v>130</v>
      </c>
      <c r="B316" s="1" t="s">
        <v>129</v>
      </c>
      <c r="C316" s="2" t="s">
        <v>45</v>
      </c>
      <c r="D316" s="4">
        <v>43254</v>
      </c>
      <c r="E316" s="2" t="s">
        <v>1431</v>
      </c>
      <c r="F316" s="2" t="s">
        <v>1165</v>
      </c>
      <c r="G316" s="2" t="s">
        <v>1362</v>
      </c>
      <c r="H316" s="2" t="s">
        <v>873</v>
      </c>
      <c r="I316" s="169" t="s">
        <v>16</v>
      </c>
      <c r="J316" s="169" t="s">
        <v>16</v>
      </c>
      <c r="K316" s="169" t="s">
        <v>16</v>
      </c>
    </row>
    <row r="317" spans="1:11" ht="13.5" thickBot="1" x14ac:dyDescent="0.25">
      <c r="A317" s="2" t="s">
        <v>142</v>
      </c>
      <c r="B317" s="1" t="s">
        <v>141</v>
      </c>
      <c r="C317" s="2" t="s">
        <v>45</v>
      </c>
      <c r="D317" s="4">
        <v>35087</v>
      </c>
      <c r="E317" s="2" t="s">
        <v>1170</v>
      </c>
      <c r="F317" s="2" t="s">
        <v>1169</v>
      </c>
      <c r="G317" s="2" t="s">
        <v>1375</v>
      </c>
      <c r="H317" s="2" t="s">
        <v>873</v>
      </c>
      <c r="I317" s="169" t="s">
        <v>16</v>
      </c>
      <c r="J317" s="169" t="s">
        <v>16</v>
      </c>
      <c r="K317" s="2" t="s">
        <v>872</v>
      </c>
    </row>
    <row r="318" spans="1:11" ht="13.5" thickBot="1" x14ac:dyDescent="0.25">
      <c r="A318" s="2" t="s">
        <v>158</v>
      </c>
      <c r="B318" s="1" t="s">
        <v>157</v>
      </c>
      <c r="C318" s="2" t="s">
        <v>45</v>
      </c>
      <c r="D318" s="4">
        <v>38002</v>
      </c>
      <c r="E318" s="2" t="s">
        <v>1444</v>
      </c>
      <c r="F318" s="2" t="s">
        <v>1179</v>
      </c>
      <c r="G318" s="2" t="s">
        <v>1377</v>
      </c>
      <c r="H318" s="2" t="s">
        <v>872</v>
      </c>
      <c r="I318" s="2" t="s">
        <v>1247</v>
      </c>
      <c r="J318" s="2" t="s">
        <v>1445</v>
      </c>
      <c r="K318" s="2" t="s">
        <v>13</v>
      </c>
    </row>
    <row r="319" spans="1:11" ht="13.5" thickBot="1" x14ac:dyDescent="0.25">
      <c r="A319" s="2" t="s">
        <v>178</v>
      </c>
      <c r="B319" s="1" t="s">
        <v>177</v>
      </c>
      <c r="C319" s="2" t="s">
        <v>45</v>
      </c>
      <c r="D319" s="4">
        <v>43381</v>
      </c>
      <c r="E319" s="2" t="s">
        <v>1185</v>
      </c>
      <c r="F319" s="2" t="s">
        <v>1146</v>
      </c>
      <c r="G319" s="2" t="s">
        <v>1388</v>
      </c>
      <c r="H319" s="2" t="s">
        <v>872</v>
      </c>
      <c r="I319" s="2" t="s">
        <v>1247</v>
      </c>
      <c r="J319" s="2" t="s">
        <v>1457</v>
      </c>
      <c r="K319" s="2" t="s">
        <v>13</v>
      </c>
    </row>
    <row r="320" spans="1:11" ht="13.5" thickBot="1" x14ac:dyDescent="0.25">
      <c r="A320" s="2" t="s">
        <v>182</v>
      </c>
      <c r="B320" s="1" t="s">
        <v>181</v>
      </c>
      <c r="C320" s="2" t="s">
        <v>45</v>
      </c>
      <c r="D320" s="4">
        <v>35563</v>
      </c>
      <c r="E320" s="2" t="s">
        <v>1460</v>
      </c>
      <c r="F320" s="2" t="s">
        <v>1125</v>
      </c>
      <c r="G320" s="2" t="s">
        <v>1362</v>
      </c>
      <c r="H320" s="2" t="s">
        <v>873</v>
      </c>
      <c r="I320" s="2" t="s">
        <v>1247</v>
      </c>
      <c r="J320" s="2" t="s">
        <v>891</v>
      </c>
      <c r="K320" s="169" t="s">
        <v>16</v>
      </c>
    </row>
    <row r="321" spans="1:11" ht="13.5" thickBot="1" x14ac:dyDescent="0.25">
      <c r="A321" s="2" t="s">
        <v>196</v>
      </c>
      <c r="B321" s="1" t="s">
        <v>195</v>
      </c>
      <c r="C321" s="2" t="s">
        <v>45</v>
      </c>
      <c r="D321" s="4">
        <v>40186</v>
      </c>
      <c r="E321" s="2" t="s">
        <v>1467</v>
      </c>
      <c r="F321" s="2" t="s">
        <v>1125</v>
      </c>
      <c r="G321" s="2" t="s">
        <v>1362</v>
      </c>
      <c r="H321" s="2" t="s">
        <v>873</v>
      </c>
      <c r="I321" s="169" t="s">
        <v>16</v>
      </c>
      <c r="J321" s="169" t="s">
        <v>16</v>
      </c>
      <c r="K321" s="169" t="s">
        <v>16</v>
      </c>
    </row>
    <row r="322" spans="1:11" ht="13.5" thickBot="1" x14ac:dyDescent="0.25">
      <c r="A322" s="2" t="s">
        <v>198</v>
      </c>
      <c r="B322" s="1" t="s">
        <v>197</v>
      </c>
      <c r="C322" s="2" t="s">
        <v>45</v>
      </c>
      <c r="D322" s="4">
        <v>28263</v>
      </c>
      <c r="E322" s="2" t="s">
        <v>1468</v>
      </c>
      <c r="F322" s="2" t="s">
        <v>1190</v>
      </c>
      <c r="G322" s="2" t="s">
        <v>1381</v>
      </c>
      <c r="H322" s="2" t="s">
        <v>872</v>
      </c>
      <c r="I322" s="2" t="s">
        <v>1247</v>
      </c>
      <c r="J322" s="78" t="s">
        <v>1469</v>
      </c>
      <c r="K322" s="2" t="s">
        <v>872</v>
      </c>
    </row>
    <row r="323" spans="1:11" ht="13.5" thickBot="1" x14ac:dyDescent="0.25">
      <c r="A323" s="2" t="s">
        <v>208</v>
      </c>
      <c r="B323" s="1" t="s">
        <v>207</v>
      </c>
      <c r="C323" s="2" t="s">
        <v>45</v>
      </c>
      <c r="D323" s="4">
        <v>26391</v>
      </c>
      <c r="E323" s="2" t="s">
        <v>1194</v>
      </c>
      <c r="F323" s="2" t="s">
        <v>1165</v>
      </c>
      <c r="G323" s="2" t="s">
        <v>1362</v>
      </c>
      <c r="H323" s="2" t="s">
        <v>872</v>
      </c>
      <c r="I323" s="2" t="s">
        <v>1247</v>
      </c>
      <c r="J323" s="78" t="s">
        <v>1474</v>
      </c>
      <c r="K323" s="78" t="s">
        <v>13</v>
      </c>
    </row>
    <row r="324" spans="1:11" ht="13.5" thickBot="1" x14ac:dyDescent="0.25">
      <c r="A324" s="2" t="s">
        <v>227</v>
      </c>
      <c r="B324" s="1" t="s">
        <v>226</v>
      </c>
      <c r="C324" s="2" t="s">
        <v>45</v>
      </c>
      <c r="D324" s="4">
        <v>32799</v>
      </c>
      <c r="E324" s="2" t="s">
        <v>1360</v>
      </c>
      <c r="F324" s="2" t="s">
        <v>1155</v>
      </c>
      <c r="G324" s="2" t="s">
        <v>1365</v>
      </c>
      <c r="H324" s="2" t="s">
        <v>873</v>
      </c>
      <c r="I324" s="169" t="s">
        <v>16</v>
      </c>
      <c r="J324" s="169" t="s">
        <v>16</v>
      </c>
      <c r="K324" s="2" t="s">
        <v>13</v>
      </c>
    </row>
    <row r="325" spans="1:11" ht="13.5" thickBot="1" x14ac:dyDescent="0.25">
      <c r="A325" s="2" t="s">
        <v>239</v>
      </c>
      <c r="B325" s="1" t="s">
        <v>238</v>
      </c>
      <c r="C325" s="2" t="s">
        <v>45</v>
      </c>
      <c r="D325" s="4">
        <v>26168</v>
      </c>
      <c r="E325" s="2" t="s">
        <v>1493</v>
      </c>
      <c r="F325" s="2" t="s">
        <v>1203</v>
      </c>
      <c r="G325" s="2" t="s">
        <v>1370</v>
      </c>
      <c r="H325" s="2" t="s">
        <v>872</v>
      </c>
      <c r="I325" s="2" t="s">
        <v>1247</v>
      </c>
      <c r="J325" s="2" t="s">
        <v>1494</v>
      </c>
      <c r="K325" s="2" t="s">
        <v>1145</v>
      </c>
    </row>
    <row r="326" spans="1:11" ht="13.5" thickBot="1" x14ac:dyDescent="0.25">
      <c r="A326" s="2" t="s">
        <v>251</v>
      </c>
      <c r="B326" s="1" t="s">
        <v>250</v>
      </c>
      <c r="C326" s="2" t="s">
        <v>45</v>
      </c>
      <c r="D326" s="4">
        <v>48579</v>
      </c>
      <c r="E326" s="2" t="s">
        <v>1499</v>
      </c>
      <c r="F326" s="2" t="s">
        <v>1176</v>
      </c>
      <c r="G326" s="2" t="s">
        <v>1365</v>
      </c>
      <c r="H326" s="2" t="s">
        <v>872</v>
      </c>
      <c r="I326" s="2" t="s">
        <v>1247</v>
      </c>
      <c r="J326" s="2" t="s">
        <v>1500</v>
      </c>
      <c r="K326" s="2" t="s">
        <v>13</v>
      </c>
    </row>
    <row r="327" spans="1:11" ht="13.5" thickBot="1" x14ac:dyDescent="0.25">
      <c r="A327" s="2" t="s">
        <v>253</v>
      </c>
      <c r="B327" s="1" t="s">
        <v>252</v>
      </c>
      <c r="C327" s="2" t="s">
        <v>45</v>
      </c>
      <c r="D327" s="4">
        <v>32442</v>
      </c>
      <c r="E327" s="2" t="s">
        <v>1501</v>
      </c>
      <c r="F327" s="2" t="s">
        <v>1146</v>
      </c>
      <c r="G327" s="2" t="s">
        <v>1388</v>
      </c>
      <c r="H327" s="2" t="s">
        <v>872</v>
      </c>
      <c r="I327" s="78" t="s">
        <v>1247</v>
      </c>
      <c r="J327" s="2" t="s">
        <v>1502</v>
      </c>
      <c r="K327" s="2" t="s">
        <v>13</v>
      </c>
    </row>
    <row r="328" spans="1:11" ht="13.5" thickBot="1" x14ac:dyDescent="0.25">
      <c r="A328" s="2" t="s">
        <v>313</v>
      </c>
      <c r="B328" s="1" t="s">
        <v>312</v>
      </c>
      <c r="C328" s="2" t="s">
        <v>45</v>
      </c>
      <c r="D328" s="4">
        <v>27692</v>
      </c>
      <c r="E328" s="2" t="s">
        <v>1530</v>
      </c>
      <c r="F328" s="2" t="s">
        <v>1134</v>
      </c>
      <c r="G328" s="2" t="s">
        <v>1362</v>
      </c>
      <c r="H328" s="2" t="s">
        <v>873</v>
      </c>
      <c r="I328" s="169" t="s">
        <v>16</v>
      </c>
      <c r="J328" s="169" t="s">
        <v>16</v>
      </c>
      <c r="K328" s="2" t="s">
        <v>1145</v>
      </c>
    </row>
    <row r="329" spans="1:11" ht="13.5" thickBot="1" x14ac:dyDescent="0.25">
      <c r="A329" s="2" t="s">
        <v>321</v>
      </c>
      <c r="B329" s="1" t="s">
        <v>320</v>
      </c>
      <c r="C329" s="2" t="s">
        <v>45</v>
      </c>
      <c r="D329" s="4">
        <v>46985</v>
      </c>
      <c r="E329" s="2" t="s">
        <v>1532</v>
      </c>
      <c r="F329" s="2" t="s">
        <v>1136</v>
      </c>
      <c r="G329" s="2" t="s">
        <v>1018</v>
      </c>
      <c r="H329" s="2" t="s">
        <v>872</v>
      </c>
      <c r="I329" s="2" t="s">
        <v>1247</v>
      </c>
      <c r="J329" s="2" t="s">
        <v>1533</v>
      </c>
      <c r="K329" s="2" t="s">
        <v>13</v>
      </c>
    </row>
    <row r="330" spans="1:11" ht="13.5" thickBot="1" x14ac:dyDescent="0.25">
      <c r="A330" s="2" t="s">
        <v>341</v>
      </c>
      <c r="B330" s="1" t="s">
        <v>340</v>
      </c>
      <c r="C330" s="2" t="s">
        <v>45</v>
      </c>
      <c r="D330" s="4">
        <v>40898</v>
      </c>
      <c r="E330" s="2" t="s">
        <v>1216</v>
      </c>
      <c r="F330" s="2" t="s">
        <v>1216</v>
      </c>
      <c r="G330" s="2" t="s">
        <v>1018</v>
      </c>
      <c r="H330" s="2" t="s">
        <v>872</v>
      </c>
      <c r="I330" s="78" t="s">
        <v>1247</v>
      </c>
      <c r="J330" s="78" t="s">
        <v>1482</v>
      </c>
      <c r="K330" s="2" t="s">
        <v>13</v>
      </c>
    </row>
    <row r="331" spans="1:11" ht="13.5" thickBot="1" x14ac:dyDescent="0.25">
      <c r="A331" s="2" t="s">
        <v>401</v>
      </c>
      <c r="B331" s="1" t="s">
        <v>400</v>
      </c>
      <c r="C331" s="2" t="s">
        <v>45</v>
      </c>
      <c r="D331" s="4">
        <v>41786</v>
      </c>
      <c r="E331" s="2" t="s">
        <v>1580</v>
      </c>
      <c r="F331" s="2" t="s">
        <v>1236</v>
      </c>
      <c r="G331" s="2" t="s">
        <v>1368</v>
      </c>
      <c r="H331" s="2" t="s">
        <v>873</v>
      </c>
      <c r="I331" s="169" t="s">
        <v>16</v>
      </c>
      <c r="J331" s="169" t="s">
        <v>16</v>
      </c>
      <c r="K331" s="2" t="s">
        <v>13</v>
      </c>
    </row>
    <row r="332" spans="1:11" ht="13.5" thickBot="1" x14ac:dyDescent="0.25">
      <c r="A332" s="2" t="s">
        <v>445</v>
      </c>
      <c r="B332" s="1" t="s">
        <v>444</v>
      </c>
      <c r="C332" s="2" t="s">
        <v>45</v>
      </c>
      <c r="D332" s="4">
        <v>40771</v>
      </c>
      <c r="E332" s="2" t="s">
        <v>1364</v>
      </c>
      <c r="F332" s="2" t="s">
        <v>1126</v>
      </c>
      <c r="G332" s="2" t="s">
        <v>1365</v>
      </c>
      <c r="H332" s="2" t="s">
        <v>872</v>
      </c>
      <c r="I332" s="2" t="s">
        <v>1247</v>
      </c>
      <c r="J332" s="2" t="s">
        <v>1601</v>
      </c>
      <c r="K332" s="2" t="s">
        <v>13</v>
      </c>
    </row>
    <row r="333" spans="1:11" ht="13.5" thickBot="1" x14ac:dyDescent="0.25">
      <c r="A333" s="2" t="s">
        <v>451</v>
      </c>
      <c r="B333" s="1" t="s">
        <v>450</v>
      </c>
      <c r="C333" s="2" t="s">
        <v>45</v>
      </c>
      <c r="D333" s="4">
        <v>38144</v>
      </c>
      <c r="E333" s="2" t="s">
        <v>1603</v>
      </c>
      <c r="F333" s="2" t="s">
        <v>1134</v>
      </c>
      <c r="G333" s="2" t="s">
        <v>1362</v>
      </c>
      <c r="H333" s="2" t="s">
        <v>873</v>
      </c>
      <c r="I333" s="169" t="s">
        <v>16</v>
      </c>
      <c r="J333" s="169" t="s">
        <v>16</v>
      </c>
      <c r="K333" s="2" t="s">
        <v>13</v>
      </c>
    </row>
    <row r="334" spans="1:11" ht="13.5" thickBot="1" x14ac:dyDescent="0.25">
      <c r="A334" s="2" t="s">
        <v>463</v>
      </c>
      <c r="B334" s="1" t="s">
        <v>462</v>
      </c>
      <c r="C334" s="2" t="s">
        <v>45</v>
      </c>
      <c r="D334" s="4">
        <v>35540</v>
      </c>
      <c r="E334" s="2" t="s">
        <v>1249</v>
      </c>
      <c r="F334" s="2" t="s">
        <v>1136</v>
      </c>
      <c r="G334" s="2" t="s">
        <v>1018</v>
      </c>
      <c r="H334" s="2" t="s">
        <v>872</v>
      </c>
      <c r="I334" s="2" t="s">
        <v>1247</v>
      </c>
      <c r="J334" s="78" t="s">
        <v>1608</v>
      </c>
      <c r="K334" s="2" t="s">
        <v>1145</v>
      </c>
    </row>
    <row r="335" spans="1:11" ht="13.5" thickBot="1" x14ac:dyDescent="0.25">
      <c r="A335" s="2" t="s">
        <v>480</v>
      </c>
      <c r="B335" s="1" t="s">
        <v>479</v>
      </c>
      <c r="C335" s="2" t="s">
        <v>45</v>
      </c>
      <c r="D335" s="4">
        <v>29694</v>
      </c>
      <c r="E335" s="2" t="s">
        <v>1617</v>
      </c>
      <c r="F335" s="2" t="s">
        <v>1125</v>
      </c>
      <c r="G335" s="2" t="s">
        <v>1362</v>
      </c>
      <c r="H335" s="2" t="s">
        <v>872</v>
      </c>
      <c r="I335" s="2" t="s">
        <v>1247</v>
      </c>
      <c r="J335" s="2" t="s">
        <v>894</v>
      </c>
      <c r="K335" s="2" t="s">
        <v>13</v>
      </c>
    </row>
    <row r="336" spans="1:11" ht="13.5" thickBot="1" x14ac:dyDescent="0.25">
      <c r="A336" s="2" t="s">
        <v>500</v>
      </c>
      <c r="B336" s="1" t="s">
        <v>499</v>
      </c>
      <c r="C336" s="2" t="s">
        <v>45</v>
      </c>
      <c r="D336" s="4">
        <v>28646</v>
      </c>
      <c r="E336" s="2" t="s">
        <v>1626</v>
      </c>
      <c r="F336" s="2" t="s">
        <v>1257</v>
      </c>
      <c r="G336" s="2" t="s">
        <v>1375</v>
      </c>
      <c r="H336" s="2" t="s">
        <v>872</v>
      </c>
      <c r="I336" s="2" t="s">
        <v>1247</v>
      </c>
      <c r="J336" s="78" t="s">
        <v>1627</v>
      </c>
      <c r="K336" s="2" t="s">
        <v>13</v>
      </c>
    </row>
    <row r="337" spans="1:11" ht="13.5" thickBot="1" x14ac:dyDescent="0.25">
      <c r="A337" s="2" t="s">
        <v>556</v>
      </c>
      <c r="B337" s="1" t="s">
        <v>555</v>
      </c>
      <c r="C337" s="2" t="s">
        <v>45</v>
      </c>
      <c r="D337" s="4">
        <v>34467</v>
      </c>
      <c r="E337" s="2" t="s">
        <v>1654</v>
      </c>
      <c r="F337" s="2" t="s">
        <v>1134</v>
      </c>
      <c r="G337" s="2" t="s">
        <v>1362</v>
      </c>
      <c r="H337" s="2" t="s">
        <v>873</v>
      </c>
      <c r="I337" s="169" t="s">
        <v>16</v>
      </c>
      <c r="J337" s="169" t="s">
        <v>16</v>
      </c>
      <c r="K337" s="2" t="s">
        <v>1145</v>
      </c>
    </row>
    <row r="338" spans="1:11" ht="13.5" thickBot="1" x14ac:dyDescent="0.25">
      <c r="A338" s="2" t="s">
        <v>562</v>
      </c>
      <c r="B338" s="1" t="s">
        <v>561</v>
      </c>
      <c r="C338" s="2" t="s">
        <v>45</v>
      </c>
      <c r="D338" s="4">
        <v>29319</v>
      </c>
      <c r="E338" s="2" t="s">
        <v>1658</v>
      </c>
      <c r="F338" s="2" t="s">
        <v>1125</v>
      </c>
      <c r="G338" s="2" t="s">
        <v>1362</v>
      </c>
      <c r="H338" s="2" t="s">
        <v>872</v>
      </c>
      <c r="I338" s="2" t="s">
        <v>1247</v>
      </c>
      <c r="J338" s="2" t="s">
        <v>1516</v>
      </c>
      <c r="K338" s="2" t="s">
        <v>1145</v>
      </c>
    </row>
    <row r="339" spans="1:11" ht="13.5" thickBot="1" x14ac:dyDescent="0.25">
      <c r="A339" s="2" t="s">
        <v>568</v>
      </c>
      <c r="B339" s="1" t="s">
        <v>567</v>
      </c>
      <c r="C339" s="2" t="s">
        <v>45</v>
      </c>
      <c r="D339" s="4">
        <v>35394</v>
      </c>
      <c r="E339" s="2" t="s">
        <v>1661</v>
      </c>
      <c r="F339" s="2" t="s">
        <v>1125</v>
      </c>
      <c r="G339" s="2" t="s">
        <v>1362</v>
      </c>
      <c r="H339" s="2" t="s">
        <v>872</v>
      </c>
      <c r="I339" s="2" t="s">
        <v>1247</v>
      </c>
      <c r="J339" s="2" t="s">
        <v>1524</v>
      </c>
      <c r="K339" s="2" t="s">
        <v>13</v>
      </c>
    </row>
    <row r="340" spans="1:11" ht="13.5" thickBot="1" x14ac:dyDescent="0.25">
      <c r="A340" s="2" t="s">
        <v>598</v>
      </c>
      <c r="B340" s="1" t="s">
        <v>597</v>
      </c>
      <c r="C340" s="2" t="s">
        <v>45</v>
      </c>
      <c r="D340" s="4">
        <v>36441</v>
      </c>
      <c r="E340" s="2" t="s">
        <v>1213</v>
      </c>
      <c r="F340" s="2" t="s">
        <v>1213</v>
      </c>
      <c r="G340" s="2" t="s">
        <v>1370</v>
      </c>
      <c r="H340" s="2" t="s">
        <v>872</v>
      </c>
      <c r="I340" s="2" t="s">
        <v>1247</v>
      </c>
      <c r="J340" s="2" t="s">
        <v>1675</v>
      </c>
      <c r="K340" s="2" t="s">
        <v>872</v>
      </c>
    </row>
    <row r="341" spans="1:11" ht="13.5" thickBot="1" x14ac:dyDescent="0.25">
      <c r="A341" s="2" t="s">
        <v>608</v>
      </c>
      <c r="B341" s="1" t="s">
        <v>607</v>
      </c>
      <c r="C341" s="2" t="s">
        <v>45</v>
      </c>
      <c r="D341" s="4">
        <v>36656</v>
      </c>
      <c r="E341" s="2" t="s">
        <v>1281</v>
      </c>
      <c r="F341" s="2" t="s">
        <v>1134</v>
      </c>
      <c r="G341" s="2" t="s">
        <v>1362</v>
      </c>
      <c r="H341" s="2" t="s">
        <v>872</v>
      </c>
      <c r="I341" s="2" t="s">
        <v>1247</v>
      </c>
      <c r="J341" s="2" t="s">
        <v>902</v>
      </c>
      <c r="K341" s="2" t="s">
        <v>13</v>
      </c>
    </row>
    <row r="342" spans="1:11" ht="13.5" thickBot="1" x14ac:dyDescent="0.25">
      <c r="A342" s="2" t="s">
        <v>636</v>
      </c>
      <c r="B342" s="1" t="s">
        <v>635</v>
      </c>
      <c r="C342" s="2" t="s">
        <v>45</v>
      </c>
      <c r="D342" s="4">
        <v>48362</v>
      </c>
      <c r="E342" s="2" t="s">
        <v>1287</v>
      </c>
      <c r="F342" s="2" t="s">
        <v>1134</v>
      </c>
      <c r="G342" s="2" t="s">
        <v>1362</v>
      </c>
      <c r="H342" s="2" t="s">
        <v>872</v>
      </c>
      <c r="I342" s="2" t="s">
        <v>1247</v>
      </c>
      <c r="J342" s="2" t="s">
        <v>1694</v>
      </c>
      <c r="K342" s="2" t="s">
        <v>13</v>
      </c>
    </row>
    <row r="343" spans="1:11" ht="13.5" thickBot="1" x14ac:dyDescent="0.25">
      <c r="A343" s="2" t="s">
        <v>662</v>
      </c>
      <c r="B343" s="1" t="s">
        <v>661</v>
      </c>
      <c r="C343" s="2" t="s">
        <v>45</v>
      </c>
      <c r="D343" s="4">
        <v>33839</v>
      </c>
      <c r="E343" s="2" t="s">
        <v>1704</v>
      </c>
      <c r="F343" s="2" t="s">
        <v>1146</v>
      </c>
      <c r="G343" s="2" t="s">
        <v>1388</v>
      </c>
      <c r="H343" s="2" t="s">
        <v>872</v>
      </c>
      <c r="I343" s="2" t="s">
        <v>1247</v>
      </c>
      <c r="J343" s="2" t="s">
        <v>1705</v>
      </c>
      <c r="K343" s="2" t="s">
        <v>872</v>
      </c>
    </row>
    <row r="344" spans="1:11" ht="13.5" thickBot="1" x14ac:dyDescent="0.25">
      <c r="A344" s="2" t="s">
        <v>664</v>
      </c>
      <c r="B344" s="1" t="s">
        <v>663</v>
      </c>
      <c r="C344" s="2" t="s">
        <v>45</v>
      </c>
      <c r="D344" s="4">
        <v>39868</v>
      </c>
      <c r="E344" s="2" t="s">
        <v>1706</v>
      </c>
      <c r="F344" s="2" t="s">
        <v>1134</v>
      </c>
      <c r="G344" s="2" t="s">
        <v>1362</v>
      </c>
      <c r="H344" s="2" t="s">
        <v>873</v>
      </c>
      <c r="I344" s="169" t="s">
        <v>16</v>
      </c>
      <c r="J344" s="169" t="s">
        <v>16</v>
      </c>
      <c r="K344" s="2" t="s">
        <v>872</v>
      </c>
    </row>
    <row r="345" spans="1:11" ht="13.5" thickBot="1" x14ac:dyDescent="0.25">
      <c r="A345" s="2" t="s">
        <v>668</v>
      </c>
      <c r="B345" s="1" t="s">
        <v>667</v>
      </c>
      <c r="C345" s="2" t="s">
        <v>45</v>
      </c>
      <c r="D345" s="4">
        <v>47299</v>
      </c>
      <c r="E345" s="2" t="s">
        <v>1707</v>
      </c>
      <c r="F345" s="2" t="s">
        <v>1146</v>
      </c>
      <c r="G345" s="2" t="s">
        <v>1388</v>
      </c>
      <c r="H345" s="2" t="s">
        <v>872</v>
      </c>
      <c r="I345" s="78" t="s">
        <v>1247</v>
      </c>
      <c r="J345" s="2" t="s">
        <v>1708</v>
      </c>
      <c r="K345" s="2" t="s">
        <v>13</v>
      </c>
    </row>
    <row r="346" spans="1:11" ht="13.5" thickBot="1" x14ac:dyDescent="0.25">
      <c r="A346" s="2" t="s">
        <v>688</v>
      </c>
      <c r="B346" s="1" t="s">
        <v>687</v>
      </c>
      <c r="C346" s="2" t="s">
        <v>45</v>
      </c>
      <c r="D346" s="4">
        <v>26376</v>
      </c>
      <c r="E346" s="2" t="s">
        <v>1721</v>
      </c>
      <c r="F346" s="2" t="s">
        <v>1144</v>
      </c>
      <c r="G346" s="2" t="s">
        <v>1362</v>
      </c>
      <c r="H346" s="2" t="s">
        <v>872</v>
      </c>
      <c r="I346" s="2" t="s">
        <v>1247</v>
      </c>
      <c r="J346" s="2" t="s">
        <v>1722</v>
      </c>
      <c r="K346" s="2" t="s">
        <v>13</v>
      </c>
    </row>
    <row r="347" spans="1:11" ht="13.5" thickBot="1" x14ac:dyDescent="0.25">
      <c r="A347" s="2" t="s">
        <v>712</v>
      </c>
      <c r="B347" s="1" t="s">
        <v>711</v>
      </c>
      <c r="C347" s="2" t="s">
        <v>45</v>
      </c>
      <c r="D347" s="4">
        <v>27920</v>
      </c>
      <c r="E347" s="2" t="s">
        <v>1295</v>
      </c>
      <c r="F347" s="2" t="s">
        <v>1190</v>
      </c>
      <c r="G347" s="2" t="s">
        <v>1381</v>
      </c>
      <c r="H347" s="2" t="s">
        <v>872</v>
      </c>
      <c r="I347" s="2" t="s">
        <v>1247</v>
      </c>
      <c r="J347" s="2" t="s">
        <v>1735</v>
      </c>
      <c r="K347" s="2" t="s">
        <v>13</v>
      </c>
    </row>
    <row r="348" spans="1:11" ht="13.5" thickBot="1" x14ac:dyDescent="0.25">
      <c r="A348" s="2" t="s">
        <v>722</v>
      </c>
      <c r="B348" s="1" t="s">
        <v>721</v>
      </c>
      <c r="C348" s="2" t="s">
        <v>45</v>
      </c>
      <c r="D348" s="4">
        <v>30047</v>
      </c>
      <c r="E348" s="2" t="s">
        <v>1297</v>
      </c>
      <c r="F348" s="2" t="s">
        <v>1134</v>
      </c>
      <c r="G348" s="2" t="s">
        <v>1362</v>
      </c>
      <c r="H348" s="2" t="s">
        <v>873</v>
      </c>
      <c r="I348" s="169" t="s">
        <v>16</v>
      </c>
      <c r="J348" s="169" t="s">
        <v>16</v>
      </c>
      <c r="K348" s="78" t="s">
        <v>13</v>
      </c>
    </row>
    <row r="349" spans="1:11" ht="13.5" thickBot="1" x14ac:dyDescent="0.25">
      <c r="A349" s="2" t="s">
        <v>740</v>
      </c>
      <c r="B349" s="1" t="s">
        <v>739</v>
      </c>
      <c r="C349" s="2" t="s">
        <v>45</v>
      </c>
      <c r="D349" s="4">
        <v>40841</v>
      </c>
      <c r="E349" s="2" t="s">
        <v>1745</v>
      </c>
      <c r="F349" s="2" t="s">
        <v>1201</v>
      </c>
      <c r="G349" s="2" t="s">
        <v>1370</v>
      </c>
      <c r="H349" s="2" t="s">
        <v>872</v>
      </c>
      <c r="I349" s="2" t="s">
        <v>1247</v>
      </c>
      <c r="J349" s="2" t="s">
        <v>1746</v>
      </c>
      <c r="K349" s="2" t="s">
        <v>872</v>
      </c>
    </row>
    <row r="350" spans="1:11" ht="13.5" thickBot="1" x14ac:dyDescent="0.25">
      <c r="A350" s="2" t="s">
        <v>785</v>
      </c>
      <c r="B350" s="1" t="s">
        <v>784</v>
      </c>
      <c r="C350" s="2" t="s">
        <v>45</v>
      </c>
      <c r="D350" s="4">
        <v>44265</v>
      </c>
      <c r="E350" s="2" t="s">
        <v>1308</v>
      </c>
      <c r="F350" s="2" t="s">
        <v>1229</v>
      </c>
      <c r="G350" s="2" t="s">
        <v>1377</v>
      </c>
      <c r="H350" s="2" t="s">
        <v>872</v>
      </c>
      <c r="I350" s="2" t="s">
        <v>1247</v>
      </c>
      <c r="J350" s="2" t="s">
        <v>1766</v>
      </c>
      <c r="K350" s="2" t="s">
        <v>872</v>
      </c>
    </row>
    <row r="351" spans="1:11" ht="13.5" thickBot="1" x14ac:dyDescent="0.25">
      <c r="A351" s="2" t="s">
        <v>827</v>
      </c>
      <c r="B351" s="1" t="s">
        <v>826</v>
      </c>
      <c r="C351" s="2" t="s">
        <v>45</v>
      </c>
      <c r="D351" s="4">
        <v>30019</v>
      </c>
      <c r="E351" s="2" t="s">
        <v>1314</v>
      </c>
      <c r="F351" s="2" t="s">
        <v>1125</v>
      </c>
      <c r="G351" s="2" t="s">
        <v>1362</v>
      </c>
      <c r="H351" s="2" t="s">
        <v>873</v>
      </c>
      <c r="I351" s="169" t="s">
        <v>16</v>
      </c>
      <c r="J351" s="169" t="s">
        <v>16</v>
      </c>
      <c r="K351" s="78" t="s">
        <v>1145</v>
      </c>
    </row>
    <row r="352" spans="1:11" ht="13.5" thickBot="1" x14ac:dyDescent="0.25">
      <c r="A352" s="2" t="s">
        <v>59</v>
      </c>
      <c r="B352" s="1" t="s">
        <v>58</v>
      </c>
      <c r="C352" s="2" t="s">
        <v>60</v>
      </c>
      <c r="D352" s="4">
        <v>163590</v>
      </c>
      <c r="E352" s="2" t="s">
        <v>1385</v>
      </c>
      <c r="F352" s="2" t="s">
        <v>1144</v>
      </c>
      <c r="G352" s="2" t="s">
        <v>1386</v>
      </c>
      <c r="H352" s="2" t="s">
        <v>872</v>
      </c>
      <c r="I352" s="78" t="s">
        <v>1247</v>
      </c>
      <c r="J352" s="2" t="s">
        <v>1387</v>
      </c>
      <c r="K352" s="2" t="s">
        <v>13</v>
      </c>
    </row>
    <row r="353" spans="1:11" ht="13.5" thickBot="1" x14ac:dyDescent="0.25">
      <c r="A353" s="2" t="s">
        <v>86</v>
      </c>
      <c r="B353" s="1" t="s">
        <v>85</v>
      </c>
      <c r="C353" s="2" t="s">
        <v>60</v>
      </c>
      <c r="D353" s="4">
        <v>107681</v>
      </c>
      <c r="E353" s="2" t="s">
        <v>1404</v>
      </c>
      <c r="F353" s="2" t="s">
        <v>1153</v>
      </c>
      <c r="G353" s="2" t="s">
        <v>1381</v>
      </c>
      <c r="H353" s="2" t="s">
        <v>873</v>
      </c>
      <c r="I353" s="169" t="s">
        <v>16</v>
      </c>
      <c r="J353" s="169" t="s">
        <v>16</v>
      </c>
      <c r="K353" s="2" t="s">
        <v>13</v>
      </c>
    </row>
    <row r="354" spans="1:11" ht="13.5" thickBot="1" x14ac:dyDescent="0.25">
      <c r="A354" s="2" t="s">
        <v>148</v>
      </c>
      <c r="B354" s="1" t="s">
        <v>147</v>
      </c>
      <c r="C354" s="2" t="s">
        <v>60</v>
      </c>
      <c r="D354" s="4">
        <v>90173</v>
      </c>
      <c r="E354" s="2" t="s">
        <v>1175</v>
      </c>
      <c r="F354" s="2" t="s">
        <v>1134</v>
      </c>
      <c r="G354" s="2" t="s">
        <v>1362</v>
      </c>
      <c r="H354" s="2" t="s">
        <v>872</v>
      </c>
      <c r="I354" s="2" t="s">
        <v>1247</v>
      </c>
      <c r="J354" s="2" t="s">
        <v>1437</v>
      </c>
      <c r="K354" s="2" t="s">
        <v>1145</v>
      </c>
    </row>
    <row r="355" spans="1:11" ht="13.5" thickBot="1" x14ac:dyDescent="0.25">
      <c r="A355" s="2" t="s">
        <v>150</v>
      </c>
      <c r="B355" s="1" t="s">
        <v>149</v>
      </c>
      <c r="C355" s="2" t="s">
        <v>60</v>
      </c>
      <c r="D355" s="4">
        <v>238859</v>
      </c>
      <c r="E355" s="2" t="s">
        <v>1360</v>
      </c>
      <c r="F355" s="2" t="s">
        <v>1176</v>
      </c>
      <c r="G355" s="2" t="s">
        <v>1381</v>
      </c>
      <c r="H355" s="2" t="s">
        <v>872</v>
      </c>
      <c r="I355" s="78" t="s">
        <v>1247</v>
      </c>
      <c r="J355" s="2" t="s">
        <v>1438</v>
      </c>
      <c r="K355" s="2" t="s">
        <v>13</v>
      </c>
    </row>
    <row r="356" spans="1:11" ht="13.5" thickBot="1" x14ac:dyDescent="0.25">
      <c r="A356" s="2" t="s">
        <v>180</v>
      </c>
      <c r="B356" s="1" t="s">
        <v>179</v>
      </c>
      <c r="C356" s="2" t="s">
        <v>60</v>
      </c>
      <c r="D356" s="4">
        <v>51640</v>
      </c>
      <c r="E356" s="2" t="s">
        <v>1458</v>
      </c>
      <c r="F356" s="2" t="s">
        <v>1186</v>
      </c>
      <c r="G356" s="2" t="s">
        <v>1381</v>
      </c>
      <c r="H356" s="2" t="s">
        <v>872</v>
      </c>
      <c r="I356" s="2" t="s">
        <v>1247</v>
      </c>
      <c r="J356" s="2" t="s">
        <v>1459</v>
      </c>
      <c r="K356" s="2" t="s">
        <v>13</v>
      </c>
    </row>
    <row r="357" spans="1:11" ht="13.5" thickBot="1" x14ac:dyDescent="0.25">
      <c r="A357" s="2" t="s">
        <v>186</v>
      </c>
      <c r="B357" s="1" t="s">
        <v>185</v>
      </c>
      <c r="C357" s="2" t="s">
        <v>60</v>
      </c>
      <c r="D357" s="4">
        <v>169833</v>
      </c>
      <c r="E357" s="2" t="s">
        <v>1462</v>
      </c>
      <c r="F357" s="2" t="s">
        <v>1146</v>
      </c>
      <c r="G357" s="2" t="s">
        <v>1388</v>
      </c>
      <c r="H357" s="2" t="s">
        <v>872</v>
      </c>
      <c r="I357" s="78" t="s">
        <v>1247</v>
      </c>
      <c r="J357" s="78" t="s">
        <v>1463</v>
      </c>
      <c r="K357" s="2" t="s">
        <v>13</v>
      </c>
    </row>
    <row r="358" spans="1:11" ht="13.5" thickBot="1" x14ac:dyDescent="0.25">
      <c r="A358" s="2" t="s">
        <v>221</v>
      </c>
      <c r="B358" s="1" t="s">
        <v>220</v>
      </c>
      <c r="C358" s="2" t="s">
        <v>60</v>
      </c>
      <c r="D358" s="4">
        <v>57774</v>
      </c>
      <c r="E358" s="2" t="s">
        <v>1197</v>
      </c>
      <c r="F358" s="2" t="s">
        <v>1134</v>
      </c>
      <c r="G358" s="2" t="s">
        <v>1362</v>
      </c>
      <c r="H358" s="2" t="s">
        <v>872</v>
      </c>
      <c r="I358" s="2" t="s">
        <v>1247</v>
      </c>
      <c r="J358" s="2" t="s">
        <v>903</v>
      </c>
      <c r="K358" s="2" t="s">
        <v>13</v>
      </c>
    </row>
    <row r="359" spans="1:11" ht="13.5" thickBot="1" x14ac:dyDescent="0.25">
      <c r="A359" s="2" t="s">
        <v>223</v>
      </c>
      <c r="B359" s="1" t="s">
        <v>222</v>
      </c>
      <c r="C359" s="2" t="s">
        <v>60</v>
      </c>
      <c r="D359" s="4">
        <v>98153</v>
      </c>
      <c r="E359" s="2" t="s">
        <v>1481</v>
      </c>
      <c r="F359" s="2" t="s">
        <v>1134</v>
      </c>
      <c r="G359" s="2" t="s">
        <v>1362</v>
      </c>
      <c r="H359" s="2" t="s">
        <v>872</v>
      </c>
      <c r="I359" s="78" t="s">
        <v>1247</v>
      </c>
      <c r="J359" s="78" t="s">
        <v>1482</v>
      </c>
      <c r="K359" s="2" t="s">
        <v>13</v>
      </c>
    </row>
    <row r="360" spans="1:11" ht="13.5" thickBot="1" x14ac:dyDescent="0.25">
      <c r="A360" s="2" t="s">
        <v>233</v>
      </c>
      <c r="B360" s="1" t="s">
        <v>232</v>
      </c>
      <c r="C360" s="2" t="s">
        <v>60</v>
      </c>
      <c r="D360" s="4">
        <v>713777</v>
      </c>
      <c r="E360" s="2" t="s">
        <v>1487</v>
      </c>
      <c r="F360" s="2" t="s">
        <v>1134</v>
      </c>
      <c r="G360" s="2" t="s">
        <v>1488</v>
      </c>
      <c r="H360" s="2" t="s">
        <v>872</v>
      </c>
      <c r="I360" s="2" t="s">
        <v>1247</v>
      </c>
      <c r="J360" s="2" t="s">
        <v>1489</v>
      </c>
      <c r="K360" s="2" t="s">
        <v>13</v>
      </c>
    </row>
    <row r="361" spans="1:11" ht="13.5" thickBot="1" x14ac:dyDescent="0.25">
      <c r="A361" s="2" t="s">
        <v>277</v>
      </c>
      <c r="B361" s="1" t="s">
        <v>276</v>
      </c>
      <c r="C361" s="2" t="s">
        <v>60</v>
      </c>
      <c r="D361" s="4">
        <v>90112</v>
      </c>
      <c r="E361" s="2" t="s">
        <v>1512</v>
      </c>
      <c r="F361" s="2" t="s">
        <v>1125</v>
      </c>
      <c r="G361" s="2" t="s">
        <v>1362</v>
      </c>
      <c r="H361" s="2" t="s">
        <v>873</v>
      </c>
      <c r="I361" s="2" t="s">
        <v>1247</v>
      </c>
      <c r="J361" s="2" t="s">
        <v>891</v>
      </c>
      <c r="K361" s="2" t="s">
        <v>13</v>
      </c>
    </row>
    <row r="362" spans="1:11" ht="13.5" thickBot="1" x14ac:dyDescent="0.25">
      <c r="A362" s="2" t="s">
        <v>291</v>
      </c>
      <c r="B362" s="1" t="s">
        <v>290</v>
      </c>
      <c r="C362" s="2" t="s">
        <v>60</v>
      </c>
      <c r="D362" s="4">
        <v>102434</v>
      </c>
      <c r="E362" s="2" t="s">
        <v>1219</v>
      </c>
      <c r="F362" s="2" t="s">
        <v>1212</v>
      </c>
      <c r="G362" s="2" t="s">
        <v>1381</v>
      </c>
      <c r="H362" s="2" t="s">
        <v>873</v>
      </c>
      <c r="I362" s="2" t="s">
        <v>1247</v>
      </c>
      <c r="J362" s="169" t="s">
        <v>16</v>
      </c>
      <c r="K362" s="2" t="s">
        <v>13</v>
      </c>
    </row>
    <row r="363" spans="1:11" ht="13.5" thickBot="1" x14ac:dyDescent="0.25">
      <c r="A363" s="2" t="s">
        <v>317</v>
      </c>
      <c r="B363" s="1" t="s">
        <v>316</v>
      </c>
      <c r="C363" s="2" t="s">
        <v>60</v>
      </c>
      <c r="D363" s="4">
        <v>332567</v>
      </c>
      <c r="E363" s="2" t="s">
        <v>1219</v>
      </c>
      <c r="F363" s="2" t="s">
        <v>1212</v>
      </c>
      <c r="G363" s="2" t="s">
        <v>1381</v>
      </c>
      <c r="H363" s="2" t="s">
        <v>872</v>
      </c>
      <c r="I363" s="78" t="s">
        <v>1247</v>
      </c>
      <c r="J363" s="78" t="s">
        <v>1482</v>
      </c>
      <c r="K363" s="78" t="s">
        <v>872</v>
      </c>
    </row>
    <row r="364" spans="1:11" ht="13.5" thickBot="1" x14ac:dyDescent="0.25">
      <c r="A364" s="2" t="s">
        <v>331</v>
      </c>
      <c r="B364" s="1" t="s">
        <v>330</v>
      </c>
      <c r="C364" s="2" t="s">
        <v>60</v>
      </c>
      <c r="D364" s="4">
        <v>76707</v>
      </c>
      <c r="E364" s="2" t="s">
        <v>1187</v>
      </c>
      <c r="F364" s="2" t="s">
        <v>1187</v>
      </c>
      <c r="G364" s="2" t="s">
        <v>1381</v>
      </c>
      <c r="H364" s="2" t="s">
        <v>872</v>
      </c>
      <c r="I364" s="78" t="s">
        <v>1247</v>
      </c>
      <c r="J364" s="2" t="s">
        <v>1541</v>
      </c>
      <c r="K364" s="2" t="s">
        <v>872</v>
      </c>
    </row>
    <row r="365" spans="1:11" ht="13.5" thickBot="1" x14ac:dyDescent="0.25">
      <c r="A365" s="2" t="s">
        <v>335</v>
      </c>
      <c r="B365" s="1" t="s">
        <v>334</v>
      </c>
      <c r="C365" s="2" t="s">
        <v>60</v>
      </c>
      <c r="D365" s="4">
        <v>188040</v>
      </c>
      <c r="E365" s="2" t="s">
        <v>1543</v>
      </c>
      <c r="F365" s="2" t="s">
        <v>1180</v>
      </c>
      <c r="G365" s="2" t="s">
        <v>1018</v>
      </c>
      <c r="H365" s="2" t="s">
        <v>872</v>
      </c>
      <c r="I365" s="78" t="s">
        <v>1247</v>
      </c>
      <c r="J365" s="78" t="s">
        <v>1544</v>
      </c>
      <c r="K365" s="2" t="s">
        <v>1145</v>
      </c>
    </row>
    <row r="366" spans="1:11" ht="13.5" thickBot="1" x14ac:dyDescent="0.25">
      <c r="A366" s="2" t="s">
        <v>339</v>
      </c>
      <c r="B366" s="1" t="s">
        <v>338</v>
      </c>
      <c r="C366" s="2" t="s">
        <v>60</v>
      </c>
      <c r="D366" s="4">
        <v>51133</v>
      </c>
      <c r="E366" s="2" t="s">
        <v>1547</v>
      </c>
      <c r="F366" s="2" t="s">
        <v>1134</v>
      </c>
      <c r="G366" s="2" t="s">
        <v>1362</v>
      </c>
      <c r="H366" s="2" t="s">
        <v>872</v>
      </c>
      <c r="I366" s="2" t="s">
        <v>1247</v>
      </c>
      <c r="J366" s="2" t="s">
        <v>1502</v>
      </c>
      <c r="K366" s="2" t="s">
        <v>13</v>
      </c>
    </row>
    <row r="367" spans="1:11" ht="13.5" thickBot="1" x14ac:dyDescent="0.25">
      <c r="A367" s="2" t="s">
        <v>367</v>
      </c>
      <c r="B367" s="1" t="s">
        <v>366</v>
      </c>
      <c r="C367" s="2" t="s">
        <v>60</v>
      </c>
      <c r="D367" s="4">
        <v>102423</v>
      </c>
      <c r="E367" s="2" t="s">
        <v>1563</v>
      </c>
      <c r="F367" s="2" t="s">
        <v>1136</v>
      </c>
      <c r="G367" s="2" t="s">
        <v>1018</v>
      </c>
      <c r="H367" s="2" t="s">
        <v>872</v>
      </c>
      <c r="I367" s="2" t="s">
        <v>1247</v>
      </c>
      <c r="J367" s="2" t="s">
        <v>1564</v>
      </c>
      <c r="K367" s="2" t="s">
        <v>872</v>
      </c>
    </row>
    <row r="368" spans="1:11" ht="13.5" thickBot="1" x14ac:dyDescent="0.25">
      <c r="A368" s="2" t="s">
        <v>389</v>
      </c>
      <c r="B368" s="1" t="s">
        <v>388</v>
      </c>
      <c r="C368" s="2" t="s">
        <v>60</v>
      </c>
      <c r="D368" s="4">
        <v>52529</v>
      </c>
      <c r="E368" s="2" t="s">
        <v>1573</v>
      </c>
      <c r="F368" s="2" t="s">
        <v>1165</v>
      </c>
      <c r="G368" s="2" t="s">
        <v>1362</v>
      </c>
      <c r="H368" s="2" t="s">
        <v>872</v>
      </c>
      <c r="I368" s="2" t="s">
        <v>1247</v>
      </c>
      <c r="J368" s="2" t="s">
        <v>1574</v>
      </c>
      <c r="K368" s="2" t="s">
        <v>13</v>
      </c>
    </row>
    <row r="369" spans="1:11" ht="13.5" thickBot="1" x14ac:dyDescent="0.25">
      <c r="A369" s="2" t="s">
        <v>409</v>
      </c>
      <c r="B369" s="1" t="s">
        <v>408</v>
      </c>
      <c r="C369" s="2" t="s">
        <v>60</v>
      </c>
      <c r="D369" s="4">
        <v>160248</v>
      </c>
      <c r="E369" s="2" t="s">
        <v>1239</v>
      </c>
      <c r="F369" s="2" t="s">
        <v>1239</v>
      </c>
      <c r="G369" s="2" t="s">
        <v>1365</v>
      </c>
      <c r="H369" s="2" t="s">
        <v>872</v>
      </c>
      <c r="I369" s="2" t="s">
        <v>1247</v>
      </c>
      <c r="J369" s="2" t="s">
        <v>1583</v>
      </c>
      <c r="K369" s="2" t="s">
        <v>13</v>
      </c>
    </row>
    <row r="370" spans="1:11" ht="13.5" thickBot="1" x14ac:dyDescent="0.25">
      <c r="A370" s="2" t="s">
        <v>417</v>
      </c>
      <c r="B370" s="1" t="s">
        <v>416</v>
      </c>
      <c r="C370" s="2" t="s">
        <v>60</v>
      </c>
      <c r="D370" s="4">
        <v>116445</v>
      </c>
      <c r="E370" s="2" t="s">
        <v>1149</v>
      </c>
      <c r="F370" s="2" t="s">
        <v>1149</v>
      </c>
      <c r="G370" s="2" t="s">
        <v>1377</v>
      </c>
      <c r="H370" s="2" t="s">
        <v>872</v>
      </c>
      <c r="I370" s="2" t="s">
        <v>1247</v>
      </c>
      <c r="J370" s="2" t="s">
        <v>1587</v>
      </c>
      <c r="K370" s="78" t="s">
        <v>13</v>
      </c>
    </row>
    <row r="371" spans="1:11" ht="13.5" thickBot="1" x14ac:dyDescent="0.25">
      <c r="A371" s="2" t="s">
        <v>421</v>
      </c>
      <c r="B371" s="1" t="s">
        <v>420</v>
      </c>
      <c r="C371" s="2" t="s">
        <v>60</v>
      </c>
      <c r="D371" s="4">
        <v>395660</v>
      </c>
      <c r="E371" s="2" t="s">
        <v>1588</v>
      </c>
      <c r="F371" s="2" t="s">
        <v>1180</v>
      </c>
      <c r="G371" s="2" t="s">
        <v>1018</v>
      </c>
      <c r="H371" s="2" t="s">
        <v>872</v>
      </c>
      <c r="I371" s="2" t="s">
        <v>1247</v>
      </c>
      <c r="J371" s="78" t="s">
        <v>1589</v>
      </c>
      <c r="K371" s="2" t="s">
        <v>13</v>
      </c>
    </row>
    <row r="372" spans="1:11" ht="13.5" thickBot="1" x14ac:dyDescent="0.25">
      <c r="A372" s="2" t="s">
        <v>431</v>
      </c>
      <c r="B372" s="1" t="s">
        <v>430</v>
      </c>
      <c r="C372" s="2" t="s">
        <v>60</v>
      </c>
      <c r="D372" s="4">
        <v>60006</v>
      </c>
      <c r="E372" s="2" t="s">
        <v>1140</v>
      </c>
      <c r="F372" s="2" t="s">
        <v>1140</v>
      </c>
      <c r="G372" s="2" t="s">
        <v>1381</v>
      </c>
      <c r="H372" s="2" t="s">
        <v>872</v>
      </c>
      <c r="I372" s="2" t="s">
        <v>1247</v>
      </c>
      <c r="J372" s="2" t="s">
        <v>1594</v>
      </c>
      <c r="K372" s="2" t="s">
        <v>13</v>
      </c>
    </row>
    <row r="373" spans="1:11" ht="13.5" thickBot="1" x14ac:dyDescent="0.25">
      <c r="A373" s="2" t="s">
        <v>459</v>
      </c>
      <c r="B373" s="1" t="s">
        <v>458</v>
      </c>
      <c r="C373" s="2" t="s">
        <v>60</v>
      </c>
      <c r="D373" s="4">
        <v>96942</v>
      </c>
      <c r="E373" s="2" t="s">
        <v>1606</v>
      </c>
      <c r="F373" s="2" t="s">
        <v>1134</v>
      </c>
      <c r="G373" s="2" t="s">
        <v>1362</v>
      </c>
      <c r="H373" s="2" t="s">
        <v>872</v>
      </c>
      <c r="I373" s="78" t="s">
        <v>1247</v>
      </c>
      <c r="J373" s="78" t="s">
        <v>1607</v>
      </c>
      <c r="K373" s="2" t="s">
        <v>13</v>
      </c>
    </row>
    <row r="374" spans="1:11" ht="13.5" thickBot="1" x14ac:dyDescent="0.25">
      <c r="A374" s="2" t="s">
        <v>526</v>
      </c>
      <c r="B374" s="1" t="s">
        <v>525</v>
      </c>
      <c r="C374" s="2" t="s">
        <v>60</v>
      </c>
      <c r="D374" s="4">
        <v>149955</v>
      </c>
      <c r="E374" s="2" t="s">
        <v>1262</v>
      </c>
      <c r="F374" s="2" t="s">
        <v>1262</v>
      </c>
      <c r="G374" s="2" t="s">
        <v>1365</v>
      </c>
      <c r="H374" s="2" t="s">
        <v>872</v>
      </c>
      <c r="I374" s="78" t="s">
        <v>1247</v>
      </c>
      <c r="J374" s="78" t="s">
        <v>894</v>
      </c>
      <c r="K374" s="78" t="s">
        <v>13</v>
      </c>
    </row>
    <row r="375" spans="1:11" ht="13.5" thickBot="1" x14ac:dyDescent="0.25">
      <c r="A375" s="2" t="s">
        <v>540</v>
      </c>
      <c r="B375" s="1" t="s">
        <v>539</v>
      </c>
      <c r="C375" s="2" t="s">
        <v>60</v>
      </c>
      <c r="D375" s="4">
        <v>105852</v>
      </c>
      <c r="E375" s="2" t="s">
        <v>1216</v>
      </c>
      <c r="F375" s="2" t="s">
        <v>1216</v>
      </c>
      <c r="G375" s="2" t="s">
        <v>1018</v>
      </c>
      <c r="H375" s="2" t="s">
        <v>872</v>
      </c>
      <c r="I375" s="78" t="s">
        <v>1247</v>
      </c>
      <c r="J375" s="2" t="s">
        <v>1646</v>
      </c>
      <c r="K375" s="2" t="s">
        <v>13</v>
      </c>
    </row>
    <row r="376" spans="1:11" ht="13.5" thickBot="1" x14ac:dyDescent="0.25">
      <c r="A376" s="2" t="s">
        <v>560</v>
      </c>
      <c r="B376" s="1" t="s">
        <v>559</v>
      </c>
      <c r="C376" s="2" t="s">
        <v>60</v>
      </c>
      <c r="D376" s="4">
        <v>55374</v>
      </c>
      <c r="E376" s="2" t="s">
        <v>1656</v>
      </c>
      <c r="F376" s="2" t="s">
        <v>1125</v>
      </c>
      <c r="G376" s="2" t="s">
        <v>1362</v>
      </c>
      <c r="H376" s="2" t="s">
        <v>872</v>
      </c>
      <c r="I376" s="2" t="s">
        <v>1247</v>
      </c>
      <c r="J376" s="78" t="s">
        <v>1657</v>
      </c>
      <c r="K376" s="78" t="s">
        <v>13</v>
      </c>
    </row>
    <row r="377" spans="1:11" ht="13.5" thickBot="1" x14ac:dyDescent="0.25">
      <c r="A377" s="2" t="s">
        <v>610</v>
      </c>
      <c r="B377" s="1" t="s">
        <v>609</v>
      </c>
      <c r="C377" s="2" t="s">
        <v>60</v>
      </c>
      <c r="D377" s="4">
        <v>59515</v>
      </c>
      <c r="E377" s="2" t="s">
        <v>1361</v>
      </c>
      <c r="F377" s="2" t="s">
        <v>1125</v>
      </c>
      <c r="G377" s="2" t="s">
        <v>1362</v>
      </c>
      <c r="H377" s="2" t="s">
        <v>873</v>
      </c>
      <c r="I377" s="169" t="s">
        <v>16</v>
      </c>
      <c r="J377" s="2" t="s">
        <v>1161</v>
      </c>
      <c r="K377" s="2" t="s">
        <v>1145</v>
      </c>
    </row>
    <row r="378" spans="1:11" ht="13.5" thickBot="1" x14ac:dyDescent="0.25">
      <c r="A378" s="2" t="s">
        <v>614</v>
      </c>
      <c r="B378" s="1" t="s">
        <v>613</v>
      </c>
      <c r="C378" s="2" t="s">
        <v>60</v>
      </c>
      <c r="D378" s="4">
        <v>52170</v>
      </c>
      <c r="E378" s="2" t="s">
        <v>1682</v>
      </c>
      <c r="F378" s="2" t="s">
        <v>1149</v>
      </c>
      <c r="G378" s="2" t="s">
        <v>1377</v>
      </c>
      <c r="H378" s="2" t="s">
        <v>872</v>
      </c>
      <c r="I378" s="78" t="s">
        <v>1247</v>
      </c>
      <c r="J378" s="78" t="s">
        <v>1683</v>
      </c>
      <c r="K378" s="2" t="s">
        <v>13</v>
      </c>
    </row>
    <row r="379" spans="1:11" ht="13.5" thickBot="1" x14ac:dyDescent="0.25">
      <c r="A379" s="2" t="s">
        <v>624</v>
      </c>
      <c r="B379" s="1" t="s">
        <v>623</v>
      </c>
      <c r="C379" s="2" t="s">
        <v>60</v>
      </c>
      <c r="D379" s="4">
        <v>124690</v>
      </c>
      <c r="E379" s="2" t="s">
        <v>1164</v>
      </c>
      <c r="F379" s="2" t="s">
        <v>1164</v>
      </c>
      <c r="G379" s="2" t="s">
        <v>1381</v>
      </c>
      <c r="H379" s="2" t="s">
        <v>872</v>
      </c>
      <c r="I379" s="78" t="s">
        <v>1247</v>
      </c>
      <c r="J379" s="2" t="s">
        <v>895</v>
      </c>
      <c r="K379" s="2" t="s">
        <v>872</v>
      </c>
    </row>
    <row r="380" spans="1:11" ht="13.5" thickBot="1" x14ac:dyDescent="0.25">
      <c r="A380" s="2" t="s">
        <v>660</v>
      </c>
      <c r="B380" s="1" t="s">
        <v>659</v>
      </c>
      <c r="C380" s="2" t="s">
        <v>60</v>
      </c>
      <c r="D380" s="4">
        <v>100485</v>
      </c>
      <c r="E380" s="2" t="s">
        <v>1703</v>
      </c>
      <c r="F380" s="2" t="s">
        <v>1125</v>
      </c>
      <c r="G380" s="2" t="s">
        <v>1362</v>
      </c>
      <c r="H380" s="2" t="s">
        <v>873</v>
      </c>
      <c r="I380" s="2" t="s">
        <v>1247</v>
      </c>
      <c r="J380" s="169" t="s">
        <v>16</v>
      </c>
      <c r="K380" s="2" t="s">
        <v>872</v>
      </c>
    </row>
    <row r="381" spans="1:11" ht="13.5" thickBot="1" x14ac:dyDescent="0.25">
      <c r="A381" s="2" t="s">
        <v>670</v>
      </c>
      <c r="B381" s="1" t="s">
        <v>669</v>
      </c>
      <c r="C381" s="2" t="s">
        <v>60</v>
      </c>
      <c r="D381" s="4">
        <v>57236</v>
      </c>
      <c r="E381" s="2" t="s">
        <v>1709</v>
      </c>
      <c r="F381" s="2" t="s">
        <v>1125</v>
      </c>
      <c r="G381" s="2" t="s">
        <v>1362</v>
      </c>
      <c r="H381" s="2" t="s">
        <v>872</v>
      </c>
      <c r="I381" s="2" t="s">
        <v>1247</v>
      </c>
      <c r="J381" s="2" t="s">
        <v>1710</v>
      </c>
      <c r="K381" s="2" t="s">
        <v>13</v>
      </c>
    </row>
    <row r="382" spans="1:11" ht="13.5" thickBot="1" x14ac:dyDescent="0.25">
      <c r="A382" s="2" t="s">
        <v>678</v>
      </c>
      <c r="B382" s="1" t="s">
        <v>677</v>
      </c>
      <c r="C382" s="2" t="s">
        <v>60</v>
      </c>
      <c r="D382" s="4">
        <v>160312</v>
      </c>
      <c r="E382" s="2" t="s">
        <v>1713</v>
      </c>
      <c r="F382" s="2" t="s">
        <v>1292</v>
      </c>
      <c r="G382" s="2" t="s">
        <v>1362</v>
      </c>
      <c r="H382" s="2" t="s">
        <v>872</v>
      </c>
      <c r="I382" s="78" t="s">
        <v>1247</v>
      </c>
      <c r="J382" s="78" t="s">
        <v>1714</v>
      </c>
      <c r="K382" s="2" t="s">
        <v>872</v>
      </c>
    </row>
    <row r="383" spans="1:11" ht="13.5" thickBot="1" x14ac:dyDescent="0.25">
      <c r="A383" s="2" t="s">
        <v>680</v>
      </c>
      <c r="B383" s="1" t="s">
        <v>679</v>
      </c>
      <c r="C383" s="2" t="s">
        <v>60</v>
      </c>
      <c r="D383" s="4">
        <v>59715</v>
      </c>
      <c r="E383" s="2" t="s">
        <v>1715</v>
      </c>
      <c r="F383" s="2" t="s">
        <v>1146</v>
      </c>
      <c r="G383" s="2" t="s">
        <v>1388</v>
      </c>
      <c r="H383" s="2" t="s">
        <v>872</v>
      </c>
      <c r="I383" s="2" t="s">
        <v>1247</v>
      </c>
      <c r="J383" s="2" t="s">
        <v>1716</v>
      </c>
      <c r="K383" s="2" t="s">
        <v>873</v>
      </c>
    </row>
    <row r="384" spans="1:11" ht="13.5" thickBot="1" x14ac:dyDescent="0.25">
      <c r="A384" s="2" t="s">
        <v>708</v>
      </c>
      <c r="B384" s="1" t="s">
        <v>707</v>
      </c>
      <c r="C384" s="2" t="s">
        <v>60</v>
      </c>
      <c r="D384" s="4">
        <v>73804</v>
      </c>
      <c r="E384" s="2" t="s">
        <v>1732</v>
      </c>
      <c r="F384" s="2" t="s">
        <v>1146</v>
      </c>
      <c r="G384" s="2" t="s">
        <v>1388</v>
      </c>
      <c r="H384" s="2" t="s">
        <v>873</v>
      </c>
      <c r="I384" s="169" t="s">
        <v>16</v>
      </c>
      <c r="J384" s="169" t="s">
        <v>16</v>
      </c>
      <c r="K384" s="78" t="s">
        <v>13</v>
      </c>
    </row>
    <row r="385" spans="1:11" ht="13.5" thickBot="1" x14ac:dyDescent="0.25">
      <c r="A385" s="2" t="s">
        <v>720</v>
      </c>
      <c r="B385" s="1" t="s">
        <v>719</v>
      </c>
      <c r="C385" s="2" t="s">
        <v>60</v>
      </c>
      <c r="D385" s="4">
        <v>75814</v>
      </c>
      <c r="E385" s="2" t="s">
        <v>1215</v>
      </c>
      <c r="F385" s="2" t="s">
        <v>1125</v>
      </c>
      <c r="G385" s="2" t="s">
        <v>1362</v>
      </c>
      <c r="H385" s="2" t="s">
        <v>873</v>
      </c>
      <c r="I385" s="78" t="s">
        <v>1247</v>
      </c>
      <c r="J385" s="169" t="s">
        <v>16</v>
      </c>
      <c r="K385" s="2" t="s">
        <v>872</v>
      </c>
    </row>
    <row r="386" spans="1:11" ht="13.5" thickBot="1" x14ac:dyDescent="0.25">
      <c r="A386" s="2" t="s">
        <v>734</v>
      </c>
      <c r="B386" s="1" t="s">
        <v>733</v>
      </c>
      <c r="C386" s="2" t="s">
        <v>60</v>
      </c>
      <c r="D386" s="4">
        <v>129699</v>
      </c>
      <c r="E386" s="2" t="s">
        <v>1743</v>
      </c>
      <c r="F386" s="2" t="s">
        <v>1146</v>
      </c>
      <c r="G386" s="2" t="s">
        <v>1388</v>
      </c>
      <c r="H386" s="2" t="s">
        <v>872</v>
      </c>
      <c r="I386" s="2" t="s">
        <v>1247</v>
      </c>
      <c r="J386" s="2" t="s">
        <v>1643</v>
      </c>
      <c r="K386" s="2" t="s">
        <v>13</v>
      </c>
    </row>
    <row r="387" spans="1:11" ht="13.5" thickBot="1" x14ac:dyDescent="0.25">
      <c r="A387" s="2" t="s">
        <v>751</v>
      </c>
      <c r="B387" s="1" t="s">
        <v>750</v>
      </c>
      <c r="C387" s="2" t="s">
        <v>60</v>
      </c>
      <c r="D387" s="4">
        <v>63131</v>
      </c>
      <c r="E387" s="2" t="s">
        <v>1753</v>
      </c>
      <c r="F387" s="2" t="s">
        <v>1134</v>
      </c>
      <c r="G387" s="2" t="s">
        <v>1362</v>
      </c>
      <c r="H387" s="2" t="s">
        <v>873</v>
      </c>
      <c r="I387" s="169" t="s">
        <v>16</v>
      </c>
      <c r="J387" s="169" t="s">
        <v>16</v>
      </c>
      <c r="K387" s="169" t="s">
        <v>16</v>
      </c>
    </row>
    <row r="388" spans="1:11" ht="13.5" thickBot="1" x14ac:dyDescent="0.25">
      <c r="A388" s="2" t="s">
        <v>777</v>
      </c>
      <c r="B388" s="1" t="s">
        <v>776</v>
      </c>
      <c r="C388" s="2" t="s">
        <v>60</v>
      </c>
      <c r="D388" s="4">
        <v>97396</v>
      </c>
      <c r="E388" s="2" t="s">
        <v>1673</v>
      </c>
      <c r="F388" s="2" t="s">
        <v>1210</v>
      </c>
      <c r="G388" s="2" t="s">
        <v>1373</v>
      </c>
      <c r="H388" s="2" t="s">
        <v>873</v>
      </c>
      <c r="I388" s="169" t="s">
        <v>16</v>
      </c>
      <c r="J388" s="78" t="s">
        <v>891</v>
      </c>
      <c r="K388" s="2" t="s">
        <v>872</v>
      </c>
    </row>
    <row r="389" spans="1:11" ht="13.5" thickBot="1" x14ac:dyDescent="0.25">
      <c r="A389" s="2" t="s">
        <v>779</v>
      </c>
      <c r="B389" s="1" t="s">
        <v>778</v>
      </c>
      <c r="C389" s="2" t="s">
        <v>60</v>
      </c>
      <c r="D389" s="4">
        <v>72726</v>
      </c>
      <c r="E389" s="2" t="s">
        <v>1762</v>
      </c>
      <c r="F389" s="2" t="s">
        <v>1134</v>
      </c>
      <c r="G389" s="2" t="s">
        <v>1362</v>
      </c>
      <c r="H389" s="2" t="s">
        <v>873</v>
      </c>
      <c r="I389" s="169" t="s">
        <v>16</v>
      </c>
      <c r="J389" s="169" t="s">
        <v>16</v>
      </c>
      <c r="K389" s="2" t="s">
        <v>872</v>
      </c>
    </row>
    <row r="390" spans="1:11" ht="13.5" thickBot="1" x14ac:dyDescent="0.25">
      <c r="A390" s="2" t="s">
        <v>781</v>
      </c>
      <c r="B390" s="1" t="s">
        <v>780</v>
      </c>
      <c r="C390" s="2" t="s">
        <v>60</v>
      </c>
      <c r="D390" s="4">
        <v>80980</v>
      </c>
      <c r="E390" s="2" t="s">
        <v>1763</v>
      </c>
      <c r="F390" s="2" t="s">
        <v>1125</v>
      </c>
      <c r="G390" s="2" t="s">
        <v>1388</v>
      </c>
      <c r="H390" s="2" t="s">
        <v>872</v>
      </c>
      <c r="I390" s="2" t="s">
        <v>1247</v>
      </c>
      <c r="J390" s="2" t="s">
        <v>1764</v>
      </c>
      <c r="K390" s="78" t="s">
        <v>13</v>
      </c>
    </row>
    <row r="391" spans="1:11" ht="13.5" thickBot="1" x14ac:dyDescent="0.25">
      <c r="A391" s="2" t="s">
        <v>805</v>
      </c>
      <c r="B391" s="1" t="s">
        <v>804</v>
      </c>
      <c r="C391" s="2" t="s">
        <v>60</v>
      </c>
      <c r="D391" s="4">
        <v>134056</v>
      </c>
      <c r="E391" s="2" t="s">
        <v>1774</v>
      </c>
      <c r="F391" s="2" t="s">
        <v>1146</v>
      </c>
      <c r="G391" s="2" t="s">
        <v>1388</v>
      </c>
      <c r="H391" s="2" t="s">
        <v>872</v>
      </c>
      <c r="I391" s="2" t="s">
        <v>1247</v>
      </c>
      <c r="J391" s="2" t="s">
        <v>1775</v>
      </c>
      <c r="K391" s="2" t="s">
        <v>13</v>
      </c>
    </row>
    <row r="392" spans="1:11" ht="13.5" thickBot="1" x14ac:dyDescent="0.25">
      <c r="A392" s="2" t="s">
        <v>807</v>
      </c>
      <c r="B392" s="1" t="s">
        <v>806</v>
      </c>
      <c r="C392" s="2" t="s">
        <v>60</v>
      </c>
      <c r="D392" s="4">
        <v>71997</v>
      </c>
      <c r="E392" s="2" t="s">
        <v>1311</v>
      </c>
      <c r="F392" s="2" t="s">
        <v>1125</v>
      </c>
      <c r="G392" s="2" t="s">
        <v>1362</v>
      </c>
      <c r="H392" s="2" t="s">
        <v>873</v>
      </c>
      <c r="I392" s="169" t="s">
        <v>16</v>
      </c>
      <c r="J392" s="169" t="s">
        <v>16</v>
      </c>
      <c r="K392" s="2" t="s">
        <v>13</v>
      </c>
    </row>
    <row r="393" spans="1:11" ht="13.5" thickBot="1" x14ac:dyDescent="0.25">
      <c r="A393" s="2" t="s">
        <v>815</v>
      </c>
      <c r="B393" s="1" t="s">
        <v>814</v>
      </c>
      <c r="C393" s="2" t="s">
        <v>60</v>
      </c>
      <c r="D393" s="4">
        <v>71755</v>
      </c>
      <c r="E393" s="2" t="s">
        <v>1313</v>
      </c>
      <c r="F393" s="2" t="s">
        <v>1125</v>
      </c>
      <c r="G393" s="2" t="s">
        <v>1362</v>
      </c>
      <c r="H393" s="2" t="s">
        <v>873</v>
      </c>
      <c r="I393" s="169" t="s">
        <v>16</v>
      </c>
      <c r="J393" s="169" t="s">
        <v>16</v>
      </c>
      <c r="K393" s="2" t="s">
        <v>872</v>
      </c>
    </row>
    <row r="394" spans="1:11" ht="13.5" thickBot="1" x14ac:dyDescent="0.25">
      <c r="A394" s="2" t="s">
        <v>835</v>
      </c>
      <c r="B394" s="1" t="s">
        <v>834</v>
      </c>
      <c r="C394" s="2" t="s">
        <v>60</v>
      </c>
      <c r="D394" s="4">
        <v>89779</v>
      </c>
      <c r="E394" s="2" t="s">
        <v>1787</v>
      </c>
      <c r="F394" s="2" t="s">
        <v>1129</v>
      </c>
      <c r="G394" s="2" t="s">
        <v>1377</v>
      </c>
      <c r="H394" s="2" t="s">
        <v>872</v>
      </c>
      <c r="I394" s="2" t="s">
        <v>1247</v>
      </c>
      <c r="J394" s="2" t="s">
        <v>1387</v>
      </c>
      <c r="K394" s="2" t="s">
        <v>13</v>
      </c>
    </row>
    <row r="395" spans="1:11" ht="13.5" thickBot="1" x14ac:dyDescent="0.25">
      <c r="A395" s="2" t="s">
        <v>837</v>
      </c>
      <c r="B395" s="1" t="s">
        <v>836</v>
      </c>
      <c r="C395" s="2" t="s">
        <v>60</v>
      </c>
      <c r="D395" s="4">
        <v>84094</v>
      </c>
      <c r="E395" s="2" t="s">
        <v>1788</v>
      </c>
      <c r="F395" s="2" t="s">
        <v>1134</v>
      </c>
      <c r="G395" s="2" t="s">
        <v>1362</v>
      </c>
      <c r="H395" s="2" t="s">
        <v>872</v>
      </c>
      <c r="I395" s="2" t="s">
        <v>1247</v>
      </c>
      <c r="J395" s="2" t="s">
        <v>1380</v>
      </c>
      <c r="K395" s="78" t="s">
        <v>13</v>
      </c>
    </row>
    <row r="396" spans="1:11" ht="13.5" thickBot="1" x14ac:dyDescent="0.25">
      <c r="A396" s="2" t="s">
        <v>843</v>
      </c>
      <c r="B396" s="114" t="s">
        <v>842</v>
      </c>
      <c r="C396" s="2" t="s">
        <v>60</v>
      </c>
      <c r="D396" s="4">
        <v>82974</v>
      </c>
      <c r="E396" s="2" t="s">
        <v>1316</v>
      </c>
      <c r="F396" s="2" t="s">
        <v>1144</v>
      </c>
      <c r="G396" s="2" t="s">
        <v>1362</v>
      </c>
      <c r="H396" s="2" t="s">
        <v>872</v>
      </c>
      <c r="I396" s="2" t="s">
        <v>1247</v>
      </c>
      <c r="J396" s="2" t="s">
        <v>1791</v>
      </c>
      <c r="K396" s="2" t="s">
        <v>13</v>
      </c>
    </row>
    <row r="397" spans="1:11" ht="18.75" thickBot="1" x14ac:dyDescent="0.3">
      <c r="B397" s="222" t="s">
        <v>2623</v>
      </c>
      <c r="C397" s="163">
        <f>SUBTOTAL(103,Table9[Library Class])</f>
        <v>393</v>
      </c>
    </row>
  </sheetData>
  <sortState xmlns:xlrd2="http://schemas.microsoft.com/office/spreadsheetml/2017/richdata2" ref="A4:K396">
    <sortCondition ref="C4:C396"/>
    <sortCondition ref="B4:B396"/>
  </sortState>
  <hyperlinks>
    <hyperlink ref="G1" location="'Table of Contents'!A1" display="Return to Table of Contents" xr:uid="{4EA03F6D-4669-4E02-988D-9BCC2CBBBB08}"/>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A568D2"/>
  </sheetPr>
  <dimension ref="A1:S399"/>
  <sheetViews>
    <sheetView workbookViewId="0">
      <pane ySplit="3" topLeftCell="A4" activePane="bottomLeft" state="frozen"/>
      <selection activeCell="N42" sqref="N42"/>
      <selection pane="bottomLeft" activeCell="G1" sqref="G1"/>
    </sheetView>
  </sheetViews>
  <sheetFormatPr defaultRowHeight="12.75" x14ac:dyDescent="0.2"/>
  <cols>
    <col min="2" max="2" width="46.5703125" bestFit="1" customWidth="1"/>
    <col min="3" max="3" width="25.5703125" bestFit="1" customWidth="1"/>
    <col min="4" max="4" width="23.7109375" customWidth="1"/>
    <col min="5" max="5" width="18.140625" customWidth="1"/>
    <col min="6" max="6" width="19.42578125" customWidth="1"/>
    <col min="7" max="7" width="13.140625" customWidth="1"/>
    <col min="8" max="8" width="15.28515625" customWidth="1"/>
    <col min="9" max="9" width="19.85546875" customWidth="1"/>
    <col min="10" max="10" width="19" customWidth="1"/>
    <col min="11" max="11" width="15.7109375" customWidth="1"/>
    <col min="12" max="12" width="20" customWidth="1"/>
    <col min="13" max="13" width="18.5703125" customWidth="1"/>
    <col min="14" max="14" width="12.7109375" customWidth="1"/>
    <col min="15" max="15" width="20.28515625" customWidth="1"/>
    <col min="16" max="16" width="17.28515625" customWidth="1"/>
    <col min="17" max="17" width="15.28515625" customWidth="1"/>
    <col min="18" max="18" width="14.85546875" customWidth="1"/>
    <col min="19" max="19" width="19.28515625" customWidth="1"/>
  </cols>
  <sheetData>
    <row r="1" spans="1:19" ht="18.75" x14ac:dyDescent="0.3">
      <c r="B1" s="312" t="s">
        <v>3576</v>
      </c>
      <c r="D1" s="310" t="s">
        <v>2618</v>
      </c>
      <c r="G1" s="8" t="s">
        <v>1844</v>
      </c>
      <c r="J1" s="311"/>
    </row>
    <row r="3" spans="1:19" s="5" customFormat="1" ht="57" customHeight="1" thickBot="1" x14ac:dyDescent="0.25">
      <c r="A3" s="74" t="s">
        <v>1</v>
      </c>
      <c r="B3" s="74" t="s">
        <v>0</v>
      </c>
      <c r="C3" s="74" t="s">
        <v>4</v>
      </c>
      <c r="D3" s="74" t="s">
        <v>844</v>
      </c>
      <c r="E3" s="74" t="s">
        <v>1792</v>
      </c>
      <c r="F3" s="74" t="s">
        <v>1793</v>
      </c>
      <c r="G3" s="74" t="s">
        <v>1794</v>
      </c>
      <c r="H3" s="74" t="s">
        <v>1795</v>
      </c>
      <c r="I3" s="74" t="s">
        <v>1796</v>
      </c>
      <c r="J3" s="74" t="s">
        <v>1797</v>
      </c>
      <c r="K3" s="74" t="s">
        <v>1798</v>
      </c>
      <c r="L3" s="74" t="s">
        <v>1799</v>
      </c>
      <c r="M3" s="74" t="s">
        <v>1800</v>
      </c>
      <c r="N3" s="74" t="s">
        <v>1801</v>
      </c>
      <c r="O3" s="74" t="s">
        <v>1802</v>
      </c>
      <c r="P3" s="74" t="s">
        <v>1803</v>
      </c>
      <c r="Q3" s="74" t="s">
        <v>1804</v>
      </c>
      <c r="R3" s="74" t="s">
        <v>1805</v>
      </c>
      <c r="S3" s="74" t="s">
        <v>1806</v>
      </c>
    </row>
    <row r="4" spans="1:19" ht="13.5" thickBot="1" x14ac:dyDescent="0.25">
      <c r="A4" s="2" t="s">
        <v>40</v>
      </c>
      <c r="B4" s="1" t="s">
        <v>39</v>
      </c>
      <c r="C4" s="2" t="s">
        <v>19</v>
      </c>
      <c r="D4" s="4">
        <v>1285</v>
      </c>
      <c r="E4" s="4">
        <v>0</v>
      </c>
      <c r="F4" s="7">
        <v>0</v>
      </c>
      <c r="G4" s="7">
        <v>0</v>
      </c>
      <c r="H4" s="4">
        <v>1</v>
      </c>
      <c r="I4" s="7">
        <v>40</v>
      </c>
      <c r="J4" s="7">
        <v>1</v>
      </c>
      <c r="K4" s="4">
        <v>1</v>
      </c>
      <c r="L4" s="7">
        <v>40</v>
      </c>
      <c r="M4" s="7">
        <v>1</v>
      </c>
      <c r="N4" s="4">
        <v>6</v>
      </c>
      <c r="O4" s="7">
        <v>46</v>
      </c>
      <c r="P4" s="7">
        <v>1.1499999999999999</v>
      </c>
      <c r="Q4" s="4">
        <v>7</v>
      </c>
      <c r="R4" s="7">
        <v>86</v>
      </c>
      <c r="S4" s="7">
        <v>2.15</v>
      </c>
    </row>
    <row r="5" spans="1:19" ht="13.5" thickBot="1" x14ac:dyDescent="0.25">
      <c r="A5" s="2" t="s">
        <v>64</v>
      </c>
      <c r="B5" s="1" t="s">
        <v>63</v>
      </c>
      <c r="C5" s="2" t="s">
        <v>19</v>
      </c>
      <c r="D5" s="4">
        <v>3248</v>
      </c>
      <c r="E5" s="4">
        <v>0</v>
      </c>
      <c r="F5" s="7">
        <v>0</v>
      </c>
      <c r="G5" s="7">
        <v>0</v>
      </c>
      <c r="H5" s="4">
        <v>2</v>
      </c>
      <c r="I5" s="7">
        <v>25</v>
      </c>
      <c r="J5" s="7">
        <v>0.625</v>
      </c>
      <c r="K5" s="4">
        <v>3</v>
      </c>
      <c r="L5" s="7">
        <v>30</v>
      </c>
      <c r="M5" s="7">
        <v>0.75</v>
      </c>
      <c r="N5" s="4">
        <v>1</v>
      </c>
      <c r="O5" s="7">
        <v>5</v>
      </c>
      <c r="P5" s="7">
        <v>0.125</v>
      </c>
      <c r="Q5" s="4">
        <v>4</v>
      </c>
      <c r="R5" s="7">
        <v>35</v>
      </c>
      <c r="S5" s="7">
        <v>0.875</v>
      </c>
    </row>
    <row r="6" spans="1:19" ht="13.5" thickBot="1" x14ac:dyDescent="0.25">
      <c r="A6" s="2" t="s">
        <v>88</v>
      </c>
      <c r="B6" s="1" t="s">
        <v>87</v>
      </c>
      <c r="C6" s="2" t="s">
        <v>19</v>
      </c>
      <c r="D6" s="4">
        <v>657</v>
      </c>
      <c r="E6" s="4">
        <v>0</v>
      </c>
      <c r="F6" s="7">
        <v>0</v>
      </c>
      <c r="G6" s="7">
        <v>0</v>
      </c>
      <c r="H6" s="4">
        <v>4</v>
      </c>
      <c r="I6" s="7">
        <v>45</v>
      </c>
      <c r="J6" s="7">
        <v>1.125</v>
      </c>
      <c r="K6" s="4">
        <v>4</v>
      </c>
      <c r="L6" s="7">
        <v>45</v>
      </c>
      <c r="M6" s="7">
        <v>1.125</v>
      </c>
      <c r="N6" s="4">
        <v>1</v>
      </c>
      <c r="O6" s="7">
        <v>6</v>
      </c>
      <c r="P6" s="7">
        <v>0.15</v>
      </c>
      <c r="Q6" s="4">
        <v>5</v>
      </c>
      <c r="R6" s="7">
        <v>51</v>
      </c>
      <c r="S6" s="7">
        <v>1.2749999999999999</v>
      </c>
    </row>
    <row r="7" spans="1:19" ht="13.5" thickBot="1" x14ac:dyDescent="0.25">
      <c r="A7" s="2" t="s">
        <v>90</v>
      </c>
      <c r="B7" s="1" t="s">
        <v>89</v>
      </c>
      <c r="C7" s="2" t="s">
        <v>19</v>
      </c>
      <c r="D7" s="4">
        <v>3769</v>
      </c>
      <c r="E7" s="4">
        <v>0</v>
      </c>
      <c r="F7" s="7">
        <v>0</v>
      </c>
      <c r="G7" s="7">
        <v>0</v>
      </c>
      <c r="H7" s="4">
        <v>1</v>
      </c>
      <c r="I7" s="7">
        <v>40</v>
      </c>
      <c r="J7" s="7">
        <v>1</v>
      </c>
      <c r="K7" s="4">
        <v>1</v>
      </c>
      <c r="L7" s="7">
        <v>40</v>
      </c>
      <c r="M7" s="7">
        <v>1</v>
      </c>
      <c r="N7" s="4">
        <v>1</v>
      </c>
      <c r="O7" s="7">
        <v>55</v>
      </c>
      <c r="P7" s="7">
        <v>1.375</v>
      </c>
      <c r="Q7" s="4">
        <v>3</v>
      </c>
      <c r="R7" s="7">
        <v>95</v>
      </c>
      <c r="S7" s="7">
        <v>2.375</v>
      </c>
    </row>
    <row r="8" spans="1:19" ht="13.5" thickBot="1" x14ac:dyDescent="0.25">
      <c r="A8" s="2" t="s">
        <v>94</v>
      </c>
      <c r="B8" s="1" t="s">
        <v>93</v>
      </c>
      <c r="C8" s="2" t="s">
        <v>19</v>
      </c>
      <c r="D8" s="4">
        <v>3150</v>
      </c>
      <c r="E8" s="4">
        <v>0</v>
      </c>
      <c r="F8" s="7">
        <v>0</v>
      </c>
      <c r="G8" s="7">
        <v>0</v>
      </c>
      <c r="H8" s="4">
        <v>1</v>
      </c>
      <c r="I8" s="7">
        <v>25</v>
      </c>
      <c r="J8" s="7">
        <v>0.625</v>
      </c>
      <c r="K8" s="4">
        <v>1</v>
      </c>
      <c r="L8" s="7">
        <v>25</v>
      </c>
      <c r="M8" s="7">
        <v>0.625</v>
      </c>
      <c r="N8" s="4">
        <v>0</v>
      </c>
      <c r="O8" s="7">
        <v>0</v>
      </c>
      <c r="P8" s="7">
        <v>0</v>
      </c>
      <c r="Q8" s="4">
        <v>1</v>
      </c>
      <c r="R8" s="7">
        <v>25</v>
      </c>
      <c r="S8" s="7">
        <v>0.625</v>
      </c>
    </row>
    <row r="9" spans="1:19" ht="13.5" thickBot="1" x14ac:dyDescent="0.25">
      <c r="A9" s="2" t="s">
        <v>98</v>
      </c>
      <c r="B9" s="1" t="s">
        <v>97</v>
      </c>
      <c r="C9" s="2" t="s">
        <v>19</v>
      </c>
      <c r="D9" s="4">
        <v>3811</v>
      </c>
      <c r="E9" s="4">
        <v>2</v>
      </c>
      <c r="F9" s="7">
        <v>64</v>
      </c>
      <c r="G9" s="7">
        <v>1.6</v>
      </c>
      <c r="H9" s="4">
        <v>2</v>
      </c>
      <c r="I9" s="7">
        <v>60</v>
      </c>
      <c r="J9" s="7">
        <v>1.5</v>
      </c>
      <c r="K9" s="4">
        <v>4</v>
      </c>
      <c r="L9" s="7">
        <v>124</v>
      </c>
      <c r="M9" s="7">
        <v>3.1</v>
      </c>
      <c r="N9" s="4">
        <v>2</v>
      </c>
      <c r="O9" s="7">
        <v>21</v>
      </c>
      <c r="P9" s="7">
        <v>0.52500000000000002</v>
      </c>
      <c r="Q9" s="4">
        <v>5</v>
      </c>
      <c r="R9" s="7">
        <v>145</v>
      </c>
      <c r="S9" s="7">
        <v>3.625</v>
      </c>
    </row>
    <row r="10" spans="1:19" ht="13.5" thickBot="1" x14ac:dyDescent="0.25">
      <c r="A10" s="2" t="s">
        <v>100</v>
      </c>
      <c r="B10" s="1" t="s">
        <v>99</v>
      </c>
      <c r="C10" s="2" t="s">
        <v>19</v>
      </c>
      <c r="D10" s="4">
        <v>3623</v>
      </c>
      <c r="E10" s="4">
        <v>0</v>
      </c>
      <c r="F10" s="7">
        <v>0</v>
      </c>
      <c r="G10" s="7">
        <v>0</v>
      </c>
      <c r="H10" s="4">
        <v>4</v>
      </c>
      <c r="I10" s="7">
        <v>65.459999999999994</v>
      </c>
      <c r="J10" s="7">
        <v>1.6365000000000001</v>
      </c>
      <c r="K10" s="4">
        <v>4</v>
      </c>
      <c r="L10" s="7">
        <v>65.459999999999994</v>
      </c>
      <c r="M10" s="7">
        <v>1.6365000000000001</v>
      </c>
      <c r="N10" s="4">
        <v>1</v>
      </c>
      <c r="O10" s="7">
        <v>6.02</v>
      </c>
      <c r="P10" s="7">
        <v>0.15049999999999999</v>
      </c>
      <c r="Q10" s="4">
        <v>5</v>
      </c>
      <c r="R10" s="7">
        <v>71.48</v>
      </c>
      <c r="S10" s="7">
        <v>1.7869999999999999</v>
      </c>
    </row>
    <row r="11" spans="1:19" ht="13.5" thickBot="1" x14ac:dyDescent="0.25">
      <c r="A11" s="2" t="s">
        <v>108</v>
      </c>
      <c r="B11" s="1" t="s">
        <v>107</v>
      </c>
      <c r="C11" s="2" t="s">
        <v>19</v>
      </c>
      <c r="D11" s="4">
        <v>2937</v>
      </c>
      <c r="E11" s="4">
        <v>0</v>
      </c>
      <c r="F11" s="7">
        <v>0</v>
      </c>
      <c r="G11" s="7">
        <v>0</v>
      </c>
      <c r="H11" s="4">
        <v>3</v>
      </c>
      <c r="I11" s="7">
        <v>52</v>
      </c>
      <c r="J11" s="7">
        <v>1.3</v>
      </c>
      <c r="K11" s="4">
        <v>3</v>
      </c>
      <c r="L11" s="7">
        <v>52</v>
      </c>
      <c r="M11" s="7">
        <v>1.3</v>
      </c>
      <c r="N11" s="4">
        <v>0</v>
      </c>
      <c r="O11" s="7">
        <v>0</v>
      </c>
      <c r="P11" s="7">
        <v>0</v>
      </c>
      <c r="Q11" s="4">
        <v>3</v>
      </c>
      <c r="R11" s="7">
        <v>52</v>
      </c>
      <c r="S11" s="7">
        <v>1.3</v>
      </c>
    </row>
    <row r="12" spans="1:19" ht="13.5" thickBot="1" x14ac:dyDescent="0.25">
      <c r="A12" s="2" t="s">
        <v>138</v>
      </c>
      <c r="B12" s="1" t="s">
        <v>137</v>
      </c>
      <c r="C12" s="2" t="s">
        <v>19</v>
      </c>
      <c r="D12" s="4">
        <v>2611</v>
      </c>
      <c r="E12" s="77">
        <v>0</v>
      </c>
      <c r="F12" s="7">
        <v>0</v>
      </c>
      <c r="G12" s="7">
        <v>0</v>
      </c>
      <c r="H12" s="77">
        <v>0</v>
      </c>
      <c r="I12" s="7">
        <v>28</v>
      </c>
      <c r="J12" s="7">
        <v>0.7</v>
      </c>
      <c r="K12" s="77">
        <v>2</v>
      </c>
      <c r="L12" s="7">
        <v>28</v>
      </c>
      <c r="M12" s="7">
        <v>0.7</v>
      </c>
      <c r="N12" s="77">
        <v>0</v>
      </c>
      <c r="O12" s="7">
        <v>0</v>
      </c>
      <c r="P12" s="7">
        <v>0</v>
      </c>
      <c r="Q12" s="77">
        <v>2</v>
      </c>
      <c r="R12" s="7">
        <v>28</v>
      </c>
      <c r="S12" s="7">
        <v>0.7</v>
      </c>
    </row>
    <row r="13" spans="1:19" ht="13.5" thickBot="1" x14ac:dyDescent="0.25">
      <c r="A13" s="2" t="s">
        <v>154</v>
      </c>
      <c r="B13" s="1" t="s">
        <v>153</v>
      </c>
      <c r="C13" s="2" t="s">
        <v>19</v>
      </c>
      <c r="D13" s="4">
        <v>722</v>
      </c>
      <c r="E13" s="4">
        <v>0</v>
      </c>
      <c r="F13" s="7">
        <v>0</v>
      </c>
      <c r="G13" s="7">
        <v>0</v>
      </c>
      <c r="H13" s="4">
        <v>1</v>
      </c>
      <c r="I13" s="7">
        <v>20</v>
      </c>
      <c r="J13" s="7">
        <v>0.5</v>
      </c>
      <c r="K13" s="4">
        <v>0</v>
      </c>
      <c r="L13" s="7">
        <v>20</v>
      </c>
      <c r="M13" s="7">
        <v>0.5</v>
      </c>
      <c r="N13" s="4">
        <v>1</v>
      </c>
      <c r="O13" s="7">
        <v>3</v>
      </c>
      <c r="P13" s="7">
        <v>7.4999999999999997E-2</v>
      </c>
      <c r="Q13" s="4">
        <v>2</v>
      </c>
      <c r="R13" s="7">
        <v>23</v>
      </c>
      <c r="S13" s="7">
        <v>0.57499999999999996</v>
      </c>
    </row>
    <row r="14" spans="1:19" ht="13.5" thickBot="1" x14ac:dyDescent="0.25">
      <c r="A14" s="2" t="s">
        <v>164</v>
      </c>
      <c r="B14" s="1" t="s">
        <v>163</v>
      </c>
      <c r="C14" s="2" t="s">
        <v>19</v>
      </c>
      <c r="D14" s="4">
        <v>3995</v>
      </c>
      <c r="E14" s="4">
        <v>0</v>
      </c>
      <c r="F14" s="7">
        <v>0</v>
      </c>
      <c r="G14" s="7">
        <v>0</v>
      </c>
      <c r="H14" s="4">
        <v>1</v>
      </c>
      <c r="I14" s="7">
        <v>37</v>
      </c>
      <c r="J14" s="7">
        <v>0.92500000000000004</v>
      </c>
      <c r="K14" s="4">
        <v>1</v>
      </c>
      <c r="L14" s="7">
        <v>37</v>
      </c>
      <c r="M14" s="7">
        <v>0.92500000000000004</v>
      </c>
      <c r="N14" s="4">
        <v>4</v>
      </c>
      <c r="O14" s="7">
        <v>53</v>
      </c>
      <c r="P14" s="7">
        <v>1.325</v>
      </c>
      <c r="Q14" s="4">
        <v>5</v>
      </c>
      <c r="R14" s="7">
        <v>90</v>
      </c>
      <c r="S14" s="7">
        <v>2.25</v>
      </c>
    </row>
    <row r="15" spans="1:19" ht="13.5" thickBot="1" x14ac:dyDescent="0.25">
      <c r="A15" s="2" t="s">
        <v>172</v>
      </c>
      <c r="B15" s="1" t="s">
        <v>171</v>
      </c>
      <c r="C15" s="2" t="s">
        <v>19</v>
      </c>
      <c r="D15" s="4">
        <v>1854</v>
      </c>
      <c r="E15" s="4">
        <v>0</v>
      </c>
      <c r="F15" s="7">
        <v>0</v>
      </c>
      <c r="G15" s="7">
        <v>0</v>
      </c>
      <c r="H15" s="4">
        <v>1</v>
      </c>
      <c r="I15" s="7">
        <v>35</v>
      </c>
      <c r="J15" s="7">
        <v>0.875</v>
      </c>
      <c r="K15" s="4">
        <v>1</v>
      </c>
      <c r="L15" s="7">
        <v>35</v>
      </c>
      <c r="M15" s="7">
        <v>0.875</v>
      </c>
      <c r="N15" s="4">
        <v>0</v>
      </c>
      <c r="O15" s="7">
        <v>0</v>
      </c>
      <c r="P15" s="7">
        <v>0</v>
      </c>
      <c r="Q15" s="4">
        <v>1</v>
      </c>
      <c r="R15" s="7">
        <v>35</v>
      </c>
      <c r="S15" s="7">
        <v>0.875</v>
      </c>
    </row>
    <row r="16" spans="1:19" ht="13.5" thickBot="1" x14ac:dyDescent="0.25">
      <c r="A16" s="2" t="s">
        <v>184</v>
      </c>
      <c r="B16" s="1" t="s">
        <v>183</v>
      </c>
      <c r="C16" s="2" t="s">
        <v>19</v>
      </c>
      <c r="D16" s="4">
        <v>3604</v>
      </c>
      <c r="E16" s="4">
        <v>1</v>
      </c>
      <c r="F16" s="7">
        <v>40</v>
      </c>
      <c r="G16" s="7">
        <v>1</v>
      </c>
      <c r="H16" s="4">
        <v>0</v>
      </c>
      <c r="I16" s="7">
        <v>0</v>
      </c>
      <c r="J16" s="7">
        <v>0</v>
      </c>
      <c r="K16" s="4">
        <v>1</v>
      </c>
      <c r="L16" s="7">
        <v>40</v>
      </c>
      <c r="M16" s="7">
        <v>1</v>
      </c>
      <c r="N16" s="4">
        <v>5</v>
      </c>
      <c r="O16" s="7">
        <v>81</v>
      </c>
      <c r="P16" s="7">
        <v>2.0249999999999999</v>
      </c>
      <c r="Q16" s="4">
        <v>6</v>
      </c>
      <c r="R16" s="7">
        <v>121</v>
      </c>
      <c r="S16" s="7">
        <v>3.0249999999999999</v>
      </c>
    </row>
    <row r="17" spans="1:19" ht="13.5" thickBot="1" x14ac:dyDescent="0.25">
      <c r="A17" s="2" t="s">
        <v>192</v>
      </c>
      <c r="B17" s="1" t="s">
        <v>191</v>
      </c>
      <c r="C17" s="2" t="s">
        <v>19</v>
      </c>
      <c r="D17" s="4">
        <v>3803</v>
      </c>
      <c r="E17" s="4">
        <v>0</v>
      </c>
      <c r="F17" s="7">
        <v>0</v>
      </c>
      <c r="G17" s="7">
        <v>0</v>
      </c>
      <c r="H17" s="4">
        <v>5</v>
      </c>
      <c r="I17" s="7">
        <v>85</v>
      </c>
      <c r="J17" s="7">
        <v>2.125</v>
      </c>
      <c r="K17" s="4">
        <v>5</v>
      </c>
      <c r="L17" s="7">
        <v>85</v>
      </c>
      <c r="M17" s="7">
        <v>2.125</v>
      </c>
      <c r="N17" s="4">
        <v>1</v>
      </c>
      <c r="O17" s="7">
        <v>8</v>
      </c>
      <c r="P17" s="7">
        <v>0.2</v>
      </c>
      <c r="Q17" s="4">
        <v>5</v>
      </c>
      <c r="R17" s="7">
        <v>93</v>
      </c>
      <c r="S17" s="7">
        <v>2.3250000000000002</v>
      </c>
    </row>
    <row r="18" spans="1:19" ht="13.5" thickBot="1" x14ac:dyDescent="0.25">
      <c r="A18" s="2" t="s">
        <v>194</v>
      </c>
      <c r="B18" s="1" t="s">
        <v>193</v>
      </c>
      <c r="C18" s="2" t="s">
        <v>19</v>
      </c>
      <c r="D18" s="4">
        <v>2373</v>
      </c>
      <c r="E18" s="4">
        <v>1</v>
      </c>
      <c r="F18" s="7">
        <v>26</v>
      </c>
      <c r="G18" s="7">
        <v>0.65</v>
      </c>
      <c r="H18" s="4">
        <v>1</v>
      </c>
      <c r="I18" s="7">
        <v>12</v>
      </c>
      <c r="J18" s="7">
        <v>0.3</v>
      </c>
      <c r="K18" s="4">
        <v>2</v>
      </c>
      <c r="L18" s="7">
        <v>38</v>
      </c>
      <c r="M18" s="7">
        <v>0.95</v>
      </c>
      <c r="N18" s="4">
        <v>2</v>
      </c>
      <c r="O18" s="7">
        <v>29.75</v>
      </c>
      <c r="P18" s="7">
        <v>0.74375000000000002</v>
      </c>
      <c r="Q18" s="4">
        <v>4</v>
      </c>
      <c r="R18" s="7">
        <v>67.75</v>
      </c>
      <c r="S18" s="7">
        <v>1.6937500000000001</v>
      </c>
    </row>
    <row r="19" spans="1:19" ht="13.5" thickBot="1" x14ac:dyDescent="0.25">
      <c r="A19" s="2" t="s">
        <v>210</v>
      </c>
      <c r="B19" s="1" t="s">
        <v>209</v>
      </c>
      <c r="C19" s="2" t="s">
        <v>19</v>
      </c>
      <c r="D19" s="4">
        <v>3953</v>
      </c>
      <c r="E19" s="4">
        <v>3</v>
      </c>
      <c r="F19" s="7">
        <v>96</v>
      </c>
      <c r="G19" s="7">
        <v>2.4</v>
      </c>
      <c r="H19" s="4">
        <v>0</v>
      </c>
      <c r="I19" s="7">
        <v>0</v>
      </c>
      <c r="J19" s="7">
        <v>0</v>
      </c>
      <c r="K19" s="4">
        <v>3</v>
      </c>
      <c r="L19" s="7">
        <v>96</v>
      </c>
      <c r="M19" s="7">
        <v>2.4</v>
      </c>
      <c r="N19" s="4">
        <v>2</v>
      </c>
      <c r="O19" s="7">
        <v>51</v>
      </c>
      <c r="P19" s="7">
        <v>1.2749999999999999</v>
      </c>
      <c r="Q19" s="4">
        <v>5</v>
      </c>
      <c r="R19" s="7">
        <v>147</v>
      </c>
      <c r="S19" s="7">
        <v>3.6749999999999998</v>
      </c>
    </row>
    <row r="20" spans="1:19" ht="13.5" thickBot="1" x14ac:dyDescent="0.25">
      <c r="A20" s="2" t="s">
        <v>212</v>
      </c>
      <c r="B20" s="1" t="s">
        <v>211</v>
      </c>
      <c r="C20" s="2" t="s">
        <v>19</v>
      </c>
      <c r="D20" s="4">
        <v>3228</v>
      </c>
      <c r="E20" s="4">
        <v>0</v>
      </c>
      <c r="F20" s="7">
        <v>0</v>
      </c>
      <c r="G20" s="7">
        <v>0</v>
      </c>
      <c r="H20" s="4">
        <v>2</v>
      </c>
      <c r="I20" s="7">
        <v>41</v>
      </c>
      <c r="J20" s="7">
        <v>1.0249999999999999</v>
      </c>
      <c r="K20" s="4">
        <v>2</v>
      </c>
      <c r="L20" s="7">
        <v>41</v>
      </c>
      <c r="M20" s="7">
        <v>1.0249999999999999</v>
      </c>
      <c r="N20" s="4">
        <v>2</v>
      </c>
      <c r="O20" s="7">
        <v>32.5</v>
      </c>
      <c r="P20" s="7">
        <v>0.8125</v>
      </c>
      <c r="Q20" s="4">
        <v>4</v>
      </c>
      <c r="R20" s="7">
        <v>73.5</v>
      </c>
      <c r="S20" s="7">
        <v>1.8374999999999999</v>
      </c>
    </row>
    <row r="21" spans="1:19" ht="13.5" thickBot="1" x14ac:dyDescent="0.25">
      <c r="A21" s="2" t="s">
        <v>214</v>
      </c>
      <c r="B21" s="1" t="s">
        <v>213</v>
      </c>
      <c r="C21" s="2" t="s">
        <v>19</v>
      </c>
      <c r="D21" s="4">
        <v>3453</v>
      </c>
      <c r="E21" s="77">
        <v>0</v>
      </c>
      <c r="F21" s="7">
        <v>0</v>
      </c>
      <c r="G21" s="7">
        <v>0</v>
      </c>
      <c r="H21" s="4">
        <v>1</v>
      </c>
      <c r="I21" s="7">
        <v>30</v>
      </c>
      <c r="J21" s="7">
        <v>0.75</v>
      </c>
      <c r="K21" s="4">
        <v>1</v>
      </c>
      <c r="L21" s="7">
        <v>30</v>
      </c>
      <c r="M21" s="7">
        <v>0.75</v>
      </c>
      <c r="N21" s="4">
        <v>7</v>
      </c>
      <c r="O21" s="7">
        <v>108</v>
      </c>
      <c r="P21" s="7">
        <v>2.7</v>
      </c>
      <c r="Q21" s="4">
        <v>8</v>
      </c>
      <c r="R21" s="7">
        <v>138</v>
      </c>
      <c r="S21" s="7">
        <v>3.45</v>
      </c>
    </row>
    <row r="22" spans="1:19" ht="13.5" thickBot="1" x14ac:dyDescent="0.25">
      <c r="A22" s="2" t="s">
        <v>216</v>
      </c>
      <c r="B22" s="1" t="s">
        <v>215</v>
      </c>
      <c r="C22" s="2" t="s">
        <v>19</v>
      </c>
      <c r="D22" s="4">
        <v>1236</v>
      </c>
      <c r="E22" s="4">
        <v>0</v>
      </c>
      <c r="F22" s="7">
        <v>0</v>
      </c>
      <c r="G22" s="7">
        <v>0</v>
      </c>
      <c r="H22" s="4">
        <v>2</v>
      </c>
      <c r="I22" s="7">
        <v>46</v>
      </c>
      <c r="J22" s="7">
        <v>1.1499999999999999</v>
      </c>
      <c r="K22" s="4">
        <v>2</v>
      </c>
      <c r="L22" s="7">
        <v>46</v>
      </c>
      <c r="M22" s="7">
        <v>1.1499999999999999</v>
      </c>
      <c r="N22" s="4">
        <v>0</v>
      </c>
      <c r="O22" s="7">
        <v>0</v>
      </c>
      <c r="P22" s="7">
        <v>0</v>
      </c>
      <c r="Q22" s="4">
        <v>2</v>
      </c>
      <c r="R22" s="7">
        <v>46</v>
      </c>
      <c r="S22" s="7">
        <v>1.1499999999999999</v>
      </c>
    </row>
    <row r="23" spans="1:19" ht="13.5" thickBot="1" x14ac:dyDescent="0.25">
      <c r="A23" s="2" t="s">
        <v>219</v>
      </c>
      <c r="B23" s="1" t="s">
        <v>218</v>
      </c>
      <c r="C23" s="2" t="s">
        <v>19</v>
      </c>
      <c r="D23" s="4">
        <v>3179</v>
      </c>
      <c r="E23" s="4">
        <v>1</v>
      </c>
      <c r="F23" s="7">
        <v>38</v>
      </c>
      <c r="G23" s="7">
        <v>0.95</v>
      </c>
      <c r="H23" s="4">
        <v>3</v>
      </c>
      <c r="I23" s="7">
        <v>31</v>
      </c>
      <c r="J23" s="7">
        <v>0.77500000000000002</v>
      </c>
      <c r="K23" s="4">
        <v>4</v>
      </c>
      <c r="L23" s="7">
        <v>69</v>
      </c>
      <c r="M23" s="7">
        <v>1.7250000000000001</v>
      </c>
      <c r="N23" s="4">
        <v>0</v>
      </c>
      <c r="O23" s="7">
        <v>0</v>
      </c>
      <c r="P23" s="7">
        <v>0</v>
      </c>
      <c r="Q23" s="4">
        <v>4</v>
      </c>
      <c r="R23" s="7">
        <v>69</v>
      </c>
      <c r="S23" s="7">
        <v>1.7250000000000001</v>
      </c>
    </row>
    <row r="24" spans="1:19" ht="13.5" thickBot="1" x14ac:dyDescent="0.25">
      <c r="A24" s="2" t="s">
        <v>231</v>
      </c>
      <c r="B24" s="1" t="s">
        <v>230</v>
      </c>
      <c r="C24" s="2" t="s">
        <v>19</v>
      </c>
      <c r="D24" s="4">
        <v>2190</v>
      </c>
      <c r="E24" s="4">
        <v>0</v>
      </c>
      <c r="F24" s="7">
        <v>0</v>
      </c>
      <c r="G24" s="7">
        <v>0</v>
      </c>
      <c r="H24" s="4">
        <v>1</v>
      </c>
      <c r="I24" s="7">
        <v>0</v>
      </c>
      <c r="J24" s="7">
        <v>0</v>
      </c>
      <c r="K24" s="4">
        <v>0</v>
      </c>
      <c r="L24" s="7">
        <v>0</v>
      </c>
      <c r="M24" s="7">
        <v>0</v>
      </c>
      <c r="N24" s="4">
        <v>1</v>
      </c>
      <c r="O24" s="7">
        <v>35</v>
      </c>
      <c r="P24" s="7">
        <v>0.875</v>
      </c>
      <c r="Q24" s="4">
        <v>1</v>
      </c>
      <c r="R24" s="7">
        <v>35</v>
      </c>
      <c r="S24" s="7">
        <v>0.875</v>
      </c>
    </row>
    <row r="25" spans="1:19" ht="13.5" thickBot="1" x14ac:dyDescent="0.25">
      <c r="A25" s="2" t="s">
        <v>267</v>
      </c>
      <c r="B25" s="1" t="s">
        <v>266</v>
      </c>
      <c r="C25" s="2" t="s">
        <v>19</v>
      </c>
      <c r="D25" s="4">
        <v>2769</v>
      </c>
      <c r="E25" s="4">
        <v>0</v>
      </c>
      <c r="F25" s="7">
        <v>0</v>
      </c>
      <c r="G25" s="7">
        <v>0</v>
      </c>
      <c r="H25" s="4">
        <v>1</v>
      </c>
      <c r="I25" s="7">
        <v>35</v>
      </c>
      <c r="J25" s="7">
        <v>0.875</v>
      </c>
      <c r="K25" s="4">
        <v>1</v>
      </c>
      <c r="L25" s="7">
        <v>35</v>
      </c>
      <c r="M25" s="7">
        <v>0.875</v>
      </c>
      <c r="N25" s="4">
        <v>0</v>
      </c>
      <c r="O25" s="7">
        <v>0</v>
      </c>
      <c r="P25" s="7">
        <v>0</v>
      </c>
      <c r="Q25" s="4">
        <v>1</v>
      </c>
      <c r="R25" s="7">
        <v>35</v>
      </c>
      <c r="S25" s="7">
        <v>0.875</v>
      </c>
    </row>
    <row r="26" spans="1:19" ht="13.5" thickBot="1" x14ac:dyDescent="0.25">
      <c r="A26" s="2" t="s">
        <v>269</v>
      </c>
      <c r="B26" s="1" t="s">
        <v>268</v>
      </c>
      <c r="C26" s="2" t="s">
        <v>19</v>
      </c>
      <c r="D26" s="4">
        <v>3738</v>
      </c>
      <c r="E26" s="4">
        <v>0</v>
      </c>
      <c r="F26" s="7">
        <v>0</v>
      </c>
      <c r="G26" s="7">
        <v>0</v>
      </c>
      <c r="H26" s="4">
        <v>1</v>
      </c>
      <c r="I26" s="7">
        <v>30</v>
      </c>
      <c r="J26" s="7">
        <v>0.75</v>
      </c>
      <c r="K26" s="4">
        <v>1</v>
      </c>
      <c r="L26" s="7">
        <v>30</v>
      </c>
      <c r="M26" s="7">
        <v>0.75</v>
      </c>
      <c r="N26" s="4">
        <v>6</v>
      </c>
      <c r="O26" s="7">
        <v>47</v>
      </c>
      <c r="P26" s="7">
        <v>1.175</v>
      </c>
      <c r="Q26" s="4">
        <v>7</v>
      </c>
      <c r="R26" s="7">
        <v>77</v>
      </c>
      <c r="S26" s="7">
        <v>1.925</v>
      </c>
    </row>
    <row r="27" spans="1:19" ht="13.5" thickBot="1" x14ac:dyDescent="0.25">
      <c r="A27" s="2" t="s">
        <v>275</v>
      </c>
      <c r="B27" s="1" t="s">
        <v>274</v>
      </c>
      <c r="C27" s="2" t="s">
        <v>19</v>
      </c>
      <c r="D27" s="4">
        <v>3112</v>
      </c>
      <c r="E27" s="4">
        <v>0</v>
      </c>
      <c r="F27" s="7">
        <v>0</v>
      </c>
      <c r="G27" s="7">
        <v>0</v>
      </c>
      <c r="H27" s="4">
        <v>1</v>
      </c>
      <c r="I27" s="7">
        <v>0</v>
      </c>
      <c r="J27" s="7">
        <v>0</v>
      </c>
      <c r="K27" s="4">
        <v>1</v>
      </c>
      <c r="L27" s="7">
        <v>30</v>
      </c>
      <c r="M27" s="7">
        <v>0.75</v>
      </c>
      <c r="N27" s="4">
        <v>5</v>
      </c>
      <c r="O27" s="7">
        <v>70.5</v>
      </c>
      <c r="P27" s="7">
        <v>1.7625</v>
      </c>
      <c r="Q27" s="4">
        <v>6</v>
      </c>
      <c r="R27" s="7">
        <v>100.5</v>
      </c>
      <c r="S27" s="7">
        <v>2.5125000000000002</v>
      </c>
    </row>
    <row r="28" spans="1:19" ht="13.5" thickBot="1" x14ac:dyDescent="0.25">
      <c r="A28" s="2" t="s">
        <v>283</v>
      </c>
      <c r="B28" s="1" t="s">
        <v>282</v>
      </c>
      <c r="C28" s="2" t="s">
        <v>19</v>
      </c>
      <c r="D28" s="4">
        <v>2791</v>
      </c>
      <c r="E28" s="4">
        <v>1</v>
      </c>
      <c r="F28" s="7">
        <v>14</v>
      </c>
      <c r="G28" s="7">
        <v>0.35</v>
      </c>
      <c r="H28" s="4">
        <v>7</v>
      </c>
      <c r="I28" s="7">
        <v>104</v>
      </c>
      <c r="J28" s="7">
        <v>2.6</v>
      </c>
      <c r="K28" s="4">
        <v>8</v>
      </c>
      <c r="L28" s="7">
        <v>118</v>
      </c>
      <c r="M28" s="7">
        <v>2.95</v>
      </c>
      <c r="N28" s="4">
        <v>1</v>
      </c>
      <c r="O28" s="7">
        <v>2</v>
      </c>
      <c r="P28" s="7">
        <v>0.05</v>
      </c>
      <c r="Q28" s="4">
        <v>9</v>
      </c>
      <c r="R28" s="7">
        <v>120</v>
      </c>
      <c r="S28" s="7">
        <v>3</v>
      </c>
    </row>
    <row r="29" spans="1:19" ht="13.5" thickBot="1" x14ac:dyDescent="0.25">
      <c r="A29" s="2" t="s">
        <v>299</v>
      </c>
      <c r="B29" s="1" t="s">
        <v>298</v>
      </c>
      <c r="C29" s="2" t="s">
        <v>19</v>
      </c>
      <c r="D29" s="4">
        <v>3150</v>
      </c>
      <c r="E29" s="77">
        <v>2</v>
      </c>
      <c r="F29" s="7">
        <v>27</v>
      </c>
      <c r="G29" s="7">
        <v>0.67500000000000004</v>
      </c>
      <c r="H29" s="77">
        <v>2</v>
      </c>
      <c r="I29" s="7">
        <v>23</v>
      </c>
      <c r="J29" s="7">
        <v>0.57499999999999996</v>
      </c>
      <c r="K29" s="77">
        <v>4</v>
      </c>
      <c r="L29" s="7">
        <v>48</v>
      </c>
      <c r="M29" s="7">
        <v>1.2</v>
      </c>
      <c r="N29" s="77">
        <v>4</v>
      </c>
      <c r="O29" s="7">
        <v>16</v>
      </c>
      <c r="P29" s="7">
        <v>0.4</v>
      </c>
      <c r="Q29" s="77">
        <v>8</v>
      </c>
      <c r="R29" s="7">
        <v>64</v>
      </c>
      <c r="S29" s="7">
        <v>1.6</v>
      </c>
    </row>
    <row r="30" spans="1:19" ht="13.5" thickBot="1" x14ac:dyDescent="0.25">
      <c r="A30" s="2" t="s">
        <v>311</v>
      </c>
      <c r="B30" s="1" t="s">
        <v>310</v>
      </c>
      <c r="C30" s="2" t="s">
        <v>19</v>
      </c>
      <c r="D30" s="4">
        <v>3043</v>
      </c>
      <c r="E30" s="4">
        <v>0</v>
      </c>
      <c r="F30" s="7">
        <v>0</v>
      </c>
      <c r="G30" s="7">
        <v>0</v>
      </c>
      <c r="H30" s="4">
        <v>1</v>
      </c>
      <c r="I30" s="7">
        <v>40</v>
      </c>
      <c r="J30" s="7">
        <v>1</v>
      </c>
      <c r="K30" s="4">
        <v>1</v>
      </c>
      <c r="L30" s="7">
        <v>40</v>
      </c>
      <c r="M30" s="7">
        <v>1</v>
      </c>
      <c r="N30" s="4">
        <v>0</v>
      </c>
      <c r="O30" s="7">
        <v>0</v>
      </c>
      <c r="P30" s="7">
        <v>0</v>
      </c>
      <c r="Q30" s="4">
        <v>1</v>
      </c>
      <c r="R30" s="7">
        <v>40</v>
      </c>
      <c r="S30" s="7">
        <v>1</v>
      </c>
    </row>
    <row r="31" spans="1:19" ht="13.5" thickBot="1" x14ac:dyDescent="0.25">
      <c r="A31" s="2" t="s">
        <v>319</v>
      </c>
      <c r="B31" s="1" t="s">
        <v>318</v>
      </c>
      <c r="C31" s="2" t="s">
        <v>19</v>
      </c>
      <c r="D31" s="4">
        <v>2047</v>
      </c>
      <c r="E31" s="4">
        <v>0</v>
      </c>
      <c r="F31" s="7">
        <v>0</v>
      </c>
      <c r="G31" s="7">
        <v>0</v>
      </c>
      <c r="H31" s="4">
        <v>1</v>
      </c>
      <c r="I31" s="7">
        <v>20</v>
      </c>
      <c r="J31" s="7">
        <v>0.5</v>
      </c>
      <c r="K31" s="4">
        <v>1</v>
      </c>
      <c r="L31" s="7">
        <v>20</v>
      </c>
      <c r="M31" s="7">
        <v>0.5</v>
      </c>
      <c r="N31" s="4">
        <v>2</v>
      </c>
      <c r="O31" s="7">
        <v>4</v>
      </c>
      <c r="P31" s="7">
        <v>0.1</v>
      </c>
      <c r="Q31" s="4">
        <v>3</v>
      </c>
      <c r="R31" s="7">
        <v>24</v>
      </c>
      <c r="S31" s="7">
        <v>0.6</v>
      </c>
    </row>
    <row r="32" spans="1:19" ht="13.5" thickBot="1" x14ac:dyDescent="0.25">
      <c r="A32" s="2" t="s">
        <v>327</v>
      </c>
      <c r="B32" s="1" t="s">
        <v>326</v>
      </c>
      <c r="C32" s="2" t="s">
        <v>19</v>
      </c>
      <c r="D32" s="4">
        <v>3650</v>
      </c>
      <c r="E32" s="4">
        <v>1</v>
      </c>
      <c r="F32" s="7">
        <v>40</v>
      </c>
      <c r="G32" s="7">
        <v>1</v>
      </c>
      <c r="H32" s="4">
        <v>1</v>
      </c>
      <c r="I32" s="7">
        <v>40</v>
      </c>
      <c r="J32" s="7">
        <v>1</v>
      </c>
      <c r="K32" s="4">
        <v>2</v>
      </c>
      <c r="L32" s="7">
        <v>80</v>
      </c>
      <c r="M32" s="7">
        <v>2</v>
      </c>
      <c r="N32" s="4">
        <v>3</v>
      </c>
      <c r="O32" s="7">
        <v>6.2</v>
      </c>
      <c r="P32" s="7">
        <v>0.155</v>
      </c>
      <c r="Q32" s="4">
        <v>3</v>
      </c>
      <c r="R32" s="7">
        <v>86.2</v>
      </c>
      <c r="S32" s="7">
        <v>2.1549999999999998</v>
      </c>
    </row>
    <row r="33" spans="1:19" ht="13.5" thickBot="1" x14ac:dyDescent="0.25">
      <c r="A33" s="2" t="s">
        <v>329</v>
      </c>
      <c r="B33" s="1" t="s">
        <v>328</v>
      </c>
      <c r="C33" s="2" t="s">
        <v>19</v>
      </c>
      <c r="D33" s="4">
        <v>1828</v>
      </c>
      <c r="E33" s="4">
        <v>0</v>
      </c>
      <c r="F33" s="7">
        <v>0</v>
      </c>
      <c r="G33" s="7">
        <v>0</v>
      </c>
      <c r="H33" s="4">
        <v>2</v>
      </c>
      <c r="I33" s="7">
        <v>30</v>
      </c>
      <c r="J33" s="7">
        <v>0.75</v>
      </c>
      <c r="K33" s="4">
        <v>2</v>
      </c>
      <c r="L33" s="7">
        <v>30</v>
      </c>
      <c r="M33" s="7">
        <v>0.75</v>
      </c>
      <c r="N33" s="4">
        <v>0</v>
      </c>
      <c r="O33" s="7">
        <v>0</v>
      </c>
      <c r="P33" s="7">
        <v>0</v>
      </c>
      <c r="Q33" s="4">
        <v>2</v>
      </c>
      <c r="R33" s="7">
        <v>30</v>
      </c>
      <c r="S33" s="7">
        <v>0.75</v>
      </c>
    </row>
    <row r="34" spans="1:19" ht="13.5" thickBot="1" x14ac:dyDescent="0.25">
      <c r="A34" s="2" t="s">
        <v>379</v>
      </c>
      <c r="B34" s="1" t="s">
        <v>378</v>
      </c>
      <c r="C34" s="2" t="s">
        <v>19</v>
      </c>
      <c r="D34" s="4">
        <v>3926</v>
      </c>
      <c r="E34" s="4">
        <v>0</v>
      </c>
      <c r="F34" s="7">
        <v>0</v>
      </c>
      <c r="G34" s="7">
        <v>0</v>
      </c>
      <c r="H34" s="4">
        <v>5</v>
      </c>
      <c r="I34" s="7">
        <v>106</v>
      </c>
      <c r="J34" s="7">
        <v>2.65</v>
      </c>
      <c r="K34" s="4">
        <v>5</v>
      </c>
      <c r="L34" s="7">
        <v>105</v>
      </c>
      <c r="M34" s="7">
        <v>2.625</v>
      </c>
      <c r="N34" s="4">
        <v>6</v>
      </c>
      <c r="O34" s="7">
        <v>27.5</v>
      </c>
      <c r="P34" s="7">
        <v>0.6875</v>
      </c>
      <c r="Q34" s="4">
        <v>11</v>
      </c>
      <c r="R34" s="7">
        <v>132.5</v>
      </c>
      <c r="S34" s="7">
        <v>3.3125</v>
      </c>
    </row>
    <row r="35" spans="1:19" ht="13.5" thickBot="1" x14ac:dyDescent="0.25">
      <c r="A35" s="2" t="s">
        <v>395</v>
      </c>
      <c r="B35" s="1" t="s">
        <v>394</v>
      </c>
      <c r="C35" s="2" t="s">
        <v>19</v>
      </c>
      <c r="D35" s="4">
        <v>3038</v>
      </c>
      <c r="E35" s="4">
        <v>0</v>
      </c>
      <c r="F35" s="7">
        <v>0</v>
      </c>
      <c r="G35" s="7">
        <v>0</v>
      </c>
      <c r="H35" s="4">
        <v>3</v>
      </c>
      <c r="I35" s="7">
        <v>71</v>
      </c>
      <c r="J35" s="7">
        <v>1.7749999999999999</v>
      </c>
      <c r="K35" s="4">
        <v>3</v>
      </c>
      <c r="L35" s="7">
        <v>71</v>
      </c>
      <c r="M35" s="7">
        <v>1.7749999999999999</v>
      </c>
      <c r="N35" s="4">
        <v>0</v>
      </c>
      <c r="O35" s="7">
        <v>0</v>
      </c>
      <c r="P35" s="7">
        <v>0</v>
      </c>
      <c r="Q35" s="4">
        <v>3</v>
      </c>
      <c r="R35" s="7">
        <v>71</v>
      </c>
      <c r="S35" s="7">
        <v>1.7749999999999999</v>
      </c>
    </row>
    <row r="36" spans="1:19" ht="13.5" thickBot="1" x14ac:dyDescent="0.25">
      <c r="A36" s="2" t="s">
        <v>427</v>
      </c>
      <c r="B36" s="1" t="s">
        <v>426</v>
      </c>
      <c r="C36" s="2" t="s">
        <v>19</v>
      </c>
      <c r="D36" s="4">
        <v>3730</v>
      </c>
      <c r="E36" s="4">
        <v>0</v>
      </c>
      <c r="F36" s="7">
        <v>0</v>
      </c>
      <c r="G36" s="7">
        <v>0</v>
      </c>
      <c r="H36" s="77">
        <v>1</v>
      </c>
      <c r="I36" s="7">
        <v>20</v>
      </c>
      <c r="J36" s="7">
        <v>0.5</v>
      </c>
      <c r="K36" s="4">
        <v>1</v>
      </c>
      <c r="L36" s="7">
        <v>20</v>
      </c>
      <c r="M36" s="7">
        <v>0.5</v>
      </c>
      <c r="N36" s="77">
        <v>2</v>
      </c>
      <c r="O36" s="7">
        <v>30</v>
      </c>
      <c r="P36" s="7">
        <v>0.75</v>
      </c>
      <c r="Q36" s="4">
        <v>3</v>
      </c>
      <c r="R36" s="7">
        <v>50</v>
      </c>
      <c r="S36" s="7">
        <v>1.25</v>
      </c>
    </row>
    <row r="37" spans="1:19" ht="13.5" thickBot="1" x14ac:dyDescent="0.25">
      <c r="A37" s="2" t="s">
        <v>433</v>
      </c>
      <c r="B37" s="1" t="s">
        <v>432</v>
      </c>
      <c r="C37" s="2" t="s">
        <v>19</v>
      </c>
      <c r="D37" s="4">
        <v>2735</v>
      </c>
      <c r="E37" s="4">
        <v>1</v>
      </c>
      <c r="F37" s="7">
        <v>6</v>
      </c>
      <c r="G37" s="7">
        <v>0.15</v>
      </c>
      <c r="H37" s="4">
        <v>0</v>
      </c>
      <c r="I37" s="7">
        <v>0</v>
      </c>
      <c r="J37" s="7">
        <v>0</v>
      </c>
      <c r="K37" s="4">
        <v>1</v>
      </c>
      <c r="L37" s="7">
        <v>6</v>
      </c>
      <c r="M37" s="7">
        <v>0.15</v>
      </c>
      <c r="N37" s="4">
        <v>2</v>
      </c>
      <c r="O37" s="7">
        <v>1</v>
      </c>
      <c r="P37" s="7">
        <v>2.5000000000000001E-2</v>
      </c>
      <c r="Q37" s="4">
        <v>3</v>
      </c>
      <c r="R37" s="7">
        <v>7</v>
      </c>
      <c r="S37" s="7">
        <v>0.17499999999999999</v>
      </c>
    </row>
    <row r="38" spans="1:19" ht="13.5" thickBot="1" x14ac:dyDescent="0.25">
      <c r="A38" s="2" t="s">
        <v>435</v>
      </c>
      <c r="B38" s="1" t="s">
        <v>434</v>
      </c>
      <c r="C38" s="2" t="s">
        <v>19</v>
      </c>
      <c r="D38" s="4">
        <v>1900</v>
      </c>
      <c r="E38" s="77">
        <v>0</v>
      </c>
      <c r="F38" s="7">
        <v>0</v>
      </c>
      <c r="G38" s="7">
        <v>0</v>
      </c>
      <c r="H38" s="4">
        <v>1</v>
      </c>
      <c r="I38" s="7">
        <v>38</v>
      </c>
      <c r="J38" s="7">
        <v>0.95</v>
      </c>
      <c r="K38" s="4">
        <v>3</v>
      </c>
      <c r="L38" s="7">
        <v>70</v>
      </c>
      <c r="M38" s="7">
        <v>1.75</v>
      </c>
      <c r="N38" s="78" t="s">
        <v>16</v>
      </c>
      <c r="O38" s="7">
        <v>38</v>
      </c>
      <c r="P38" s="7">
        <v>0.95</v>
      </c>
      <c r="Q38" s="4">
        <v>4</v>
      </c>
      <c r="R38" s="7">
        <v>108</v>
      </c>
      <c r="S38" s="7">
        <v>2.7</v>
      </c>
    </row>
    <row r="39" spans="1:19" ht="13.5" thickBot="1" x14ac:dyDescent="0.25">
      <c r="A39" s="2" t="s">
        <v>439</v>
      </c>
      <c r="B39" s="1" t="s">
        <v>438</v>
      </c>
      <c r="C39" s="2" t="s">
        <v>19</v>
      </c>
      <c r="D39" s="4">
        <v>2027</v>
      </c>
      <c r="E39" s="4">
        <v>1</v>
      </c>
      <c r="F39" s="7">
        <v>35</v>
      </c>
      <c r="G39" s="7">
        <v>0.875</v>
      </c>
      <c r="H39" s="4">
        <v>0</v>
      </c>
      <c r="I39" s="7">
        <v>0</v>
      </c>
      <c r="J39" s="7">
        <v>0</v>
      </c>
      <c r="K39" s="4">
        <v>1</v>
      </c>
      <c r="L39" s="7">
        <v>35</v>
      </c>
      <c r="M39" s="7">
        <v>0.875</v>
      </c>
      <c r="N39" s="4">
        <v>1</v>
      </c>
      <c r="O39" s="7">
        <v>29</v>
      </c>
      <c r="P39" s="7">
        <v>0.72499999999999998</v>
      </c>
      <c r="Q39" s="4">
        <v>2</v>
      </c>
      <c r="R39" s="7">
        <v>64</v>
      </c>
      <c r="S39" s="7">
        <v>1.6</v>
      </c>
    </row>
    <row r="40" spans="1:19" ht="13.5" thickBot="1" x14ac:dyDescent="0.25">
      <c r="A40" s="2" t="s">
        <v>449</v>
      </c>
      <c r="B40" s="1" t="s">
        <v>448</v>
      </c>
      <c r="C40" s="2" t="s">
        <v>19</v>
      </c>
      <c r="D40" s="4">
        <v>2835</v>
      </c>
      <c r="E40" s="4">
        <v>1</v>
      </c>
      <c r="F40" s="7">
        <v>18</v>
      </c>
      <c r="G40" s="7">
        <v>0.45</v>
      </c>
      <c r="H40" s="4">
        <v>1</v>
      </c>
      <c r="I40" s="7">
        <v>8</v>
      </c>
      <c r="J40" s="7">
        <v>0.2</v>
      </c>
      <c r="K40" s="4">
        <v>2</v>
      </c>
      <c r="L40" s="7">
        <v>26</v>
      </c>
      <c r="M40" s="7">
        <v>0.65</v>
      </c>
      <c r="N40" s="77">
        <v>0</v>
      </c>
      <c r="O40" s="7">
        <v>0</v>
      </c>
      <c r="P40" s="7">
        <v>0</v>
      </c>
      <c r="Q40" s="4">
        <v>2</v>
      </c>
      <c r="R40" s="7">
        <v>26</v>
      </c>
      <c r="S40" s="7">
        <v>0.65</v>
      </c>
    </row>
    <row r="41" spans="1:19" ht="13.5" thickBot="1" x14ac:dyDescent="0.25">
      <c r="A41" s="2" t="s">
        <v>455</v>
      </c>
      <c r="B41" s="1" t="s">
        <v>454</v>
      </c>
      <c r="C41" s="2" t="s">
        <v>19</v>
      </c>
      <c r="D41" s="4">
        <v>2372</v>
      </c>
      <c r="E41" s="4">
        <v>1</v>
      </c>
      <c r="F41" s="7">
        <v>31.24</v>
      </c>
      <c r="G41" s="7">
        <v>0.78100000000000003</v>
      </c>
      <c r="H41" s="4">
        <v>3</v>
      </c>
      <c r="I41" s="7">
        <v>34.04</v>
      </c>
      <c r="J41" s="7">
        <v>0.85099999999999998</v>
      </c>
      <c r="K41" s="4">
        <v>3</v>
      </c>
      <c r="L41" s="7">
        <v>65.28</v>
      </c>
      <c r="M41" s="7">
        <v>1.6319999999999999</v>
      </c>
      <c r="N41" s="4">
        <v>0</v>
      </c>
      <c r="O41" s="7">
        <v>0</v>
      </c>
      <c r="P41" s="7">
        <v>0</v>
      </c>
      <c r="Q41" s="4">
        <v>4</v>
      </c>
      <c r="R41" s="7">
        <v>65.28</v>
      </c>
      <c r="S41" s="7">
        <v>1.6319999999999999</v>
      </c>
    </row>
    <row r="42" spans="1:19" ht="13.5" thickBot="1" x14ac:dyDescent="0.25">
      <c r="A42" s="2" t="s">
        <v>469</v>
      </c>
      <c r="B42" s="1" t="s">
        <v>468</v>
      </c>
      <c r="C42" s="2" t="s">
        <v>19</v>
      </c>
      <c r="D42" s="4">
        <v>3667</v>
      </c>
      <c r="E42" s="4">
        <v>1</v>
      </c>
      <c r="F42" s="7">
        <v>38</v>
      </c>
      <c r="G42" s="7">
        <v>0.95</v>
      </c>
      <c r="H42" s="4">
        <v>0</v>
      </c>
      <c r="I42" s="7">
        <v>0</v>
      </c>
      <c r="J42" s="7">
        <v>0</v>
      </c>
      <c r="K42" s="4">
        <v>1</v>
      </c>
      <c r="L42" s="7">
        <v>38</v>
      </c>
      <c r="M42" s="7">
        <v>0.95</v>
      </c>
      <c r="N42" s="4">
        <v>4</v>
      </c>
      <c r="O42" s="7">
        <v>74.25</v>
      </c>
      <c r="P42" s="7">
        <v>1.85625</v>
      </c>
      <c r="Q42" s="4">
        <v>5</v>
      </c>
      <c r="R42" s="7">
        <v>112.25</v>
      </c>
      <c r="S42" s="7">
        <v>2.8062499999999999</v>
      </c>
    </row>
    <row r="43" spans="1:19" ht="13.5" thickBot="1" x14ac:dyDescent="0.25">
      <c r="A43" s="2" t="s">
        <v>476</v>
      </c>
      <c r="B43" s="1" t="s">
        <v>475</v>
      </c>
      <c r="C43" s="2" t="s">
        <v>19</v>
      </c>
      <c r="D43" s="4">
        <v>492</v>
      </c>
      <c r="E43" s="4">
        <v>0</v>
      </c>
      <c r="F43" s="7">
        <v>0</v>
      </c>
      <c r="G43" s="7">
        <v>0</v>
      </c>
      <c r="H43" s="4">
        <v>1</v>
      </c>
      <c r="I43" s="7">
        <v>40</v>
      </c>
      <c r="J43" s="7">
        <v>1</v>
      </c>
      <c r="K43" s="4">
        <v>1</v>
      </c>
      <c r="L43" s="7">
        <v>40</v>
      </c>
      <c r="M43" s="7">
        <v>1</v>
      </c>
      <c r="N43" s="4">
        <v>1</v>
      </c>
      <c r="O43" s="7">
        <v>30</v>
      </c>
      <c r="P43" s="7">
        <v>0.75</v>
      </c>
      <c r="Q43" s="4">
        <v>2</v>
      </c>
      <c r="R43" s="7">
        <v>70</v>
      </c>
      <c r="S43" s="7">
        <v>1.75</v>
      </c>
    </row>
    <row r="44" spans="1:19" ht="13.5" thickBot="1" x14ac:dyDescent="0.25">
      <c r="A44" s="2" t="s">
        <v>492</v>
      </c>
      <c r="B44" s="1" t="s">
        <v>491</v>
      </c>
      <c r="C44" s="2" t="s">
        <v>19</v>
      </c>
      <c r="D44" s="4">
        <v>3115</v>
      </c>
      <c r="E44" s="4">
        <v>0</v>
      </c>
      <c r="F44" s="7">
        <v>0</v>
      </c>
      <c r="G44" s="7">
        <v>0</v>
      </c>
      <c r="H44" s="4">
        <v>2</v>
      </c>
      <c r="I44" s="7">
        <v>35</v>
      </c>
      <c r="J44" s="7">
        <v>0.875</v>
      </c>
      <c r="K44" s="4">
        <v>2</v>
      </c>
      <c r="L44" s="7">
        <v>35</v>
      </c>
      <c r="M44" s="7">
        <v>0.875</v>
      </c>
      <c r="N44" s="4">
        <v>1</v>
      </c>
      <c r="O44" s="7">
        <v>1</v>
      </c>
      <c r="P44" s="7">
        <v>2.5000000000000001E-2</v>
      </c>
      <c r="Q44" s="4">
        <v>3</v>
      </c>
      <c r="R44" s="7">
        <v>36</v>
      </c>
      <c r="S44" s="7">
        <v>0.9</v>
      </c>
    </row>
    <row r="45" spans="1:19" ht="13.5" thickBot="1" x14ac:dyDescent="0.25">
      <c r="A45" s="2" t="s">
        <v>508</v>
      </c>
      <c r="B45" s="1" t="s">
        <v>507</v>
      </c>
      <c r="C45" s="2" t="s">
        <v>19</v>
      </c>
      <c r="D45" s="4">
        <v>2440</v>
      </c>
      <c r="E45" s="4">
        <v>1</v>
      </c>
      <c r="F45" s="7">
        <v>23</v>
      </c>
      <c r="G45" s="7">
        <v>0.57499999999999996</v>
      </c>
      <c r="H45" s="4">
        <v>1</v>
      </c>
      <c r="I45" s="7">
        <v>0</v>
      </c>
      <c r="J45" s="7">
        <v>0</v>
      </c>
      <c r="K45" s="4">
        <v>1</v>
      </c>
      <c r="L45" s="7">
        <v>23</v>
      </c>
      <c r="M45" s="7">
        <v>0.57499999999999996</v>
      </c>
      <c r="N45" s="77">
        <v>0</v>
      </c>
      <c r="O45" s="7">
        <v>0</v>
      </c>
      <c r="P45" s="7">
        <v>0</v>
      </c>
      <c r="Q45" s="4">
        <v>1</v>
      </c>
      <c r="R45" s="7">
        <v>23</v>
      </c>
      <c r="S45" s="7">
        <v>0.57499999999999996</v>
      </c>
    </row>
    <row r="46" spans="1:19" ht="13.5" thickBot="1" x14ac:dyDescent="0.25">
      <c r="A46" s="2" t="s">
        <v>516</v>
      </c>
      <c r="B46" s="1" t="s">
        <v>515</v>
      </c>
      <c r="C46" s="2" t="s">
        <v>19</v>
      </c>
      <c r="D46" s="4">
        <v>3433</v>
      </c>
      <c r="E46" s="4">
        <v>0</v>
      </c>
      <c r="F46" s="7">
        <v>0</v>
      </c>
      <c r="G46" s="7">
        <v>0</v>
      </c>
      <c r="H46" s="4">
        <v>1</v>
      </c>
      <c r="I46" s="7">
        <v>28</v>
      </c>
      <c r="J46" s="7">
        <v>0.7</v>
      </c>
      <c r="K46" s="4">
        <v>1</v>
      </c>
      <c r="L46" s="7">
        <v>24</v>
      </c>
      <c r="M46" s="7">
        <v>0.6</v>
      </c>
      <c r="N46" s="4">
        <v>1</v>
      </c>
      <c r="O46" s="7">
        <v>11</v>
      </c>
      <c r="P46" s="7">
        <v>0.27500000000000002</v>
      </c>
      <c r="Q46" s="4">
        <v>3</v>
      </c>
      <c r="R46" s="7">
        <v>35</v>
      </c>
      <c r="S46" s="7">
        <v>0.875</v>
      </c>
    </row>
    <row r="47" spans="1:19" ht="13.5" thickBot="1" x14ac:dyDescent="0.25">
      <c r="A47" s="2" t="s">
        <v>536</v>
      </c>
      <c r="B47" s="1" t="s">
        <v>535</v>
      </c>
      <c r="C47" s="2" t="s">
        <v>19</v>
      </c>
      <c r="D47" s="4">
        <v>1848</v>
      </c>
      <c r="E47" s="4">
        <v>0</v>
      </c>
      <c r="F47" s="7">
        <v>0</v>
      </c>
      <c r="G47" s="7">
        <v>0</v>
      </c>
      <c r="H47" s="77">
        <v>2</v>
      </c>
      <c r="I47" s="7">
        <v>40</v>
      </c>
      <c r="J47" s="7">
        <v>1</v>
      </c>
      <c r="K47" s="77">
        <v>2</v>
      </c>
      <c r="L47" s="7">
        <v>40</v>
      </c>
      <c r="M47" s="7">
        <v>1</v>
      </c>
      <c r="N47" s="77">
        <v>0</v>
      </c>
      <c r="O47" s="7">
        <v>0</v>
      </c>
      <c r="P47" s="7">
        <v>0</v>
      </c>
      <c r="Q47" s="77">
        <v>4</v>
      </c>
      <c r="R47" s="7">
        <v>40</v>
      </c>
      <c r="S47" s="7">
        <v>1</v>
      </c>
    </row>
    <row r="48" spans="1:19" ht="13.5" thickBot="1" x14ac:dyDescent="0.25">
      <c r="A48" s="2" t="s">
        <v>552</v>
      </c>
      <c r="B48" s="1" t="s">
        <v>551</v>
      </c>
      <c r="C48" s="2" t="s">
        <v>19</v>
      </c>
      <c r="D48" s="4">
        <v>3645</v>
      </c>
      <c r="E48" s="4">
        <v>0</v>
      </c>
      <c r="F48" s="7">
        <v>0</v>
      </c>
      <c r="G48" s="7">
        <v>0</v>
      </c>
      <c r="H48" s="4">
        <v>5</v>
      </c>
      <c r="I48" s="7">
        <v>150</v>
      </c>
      <c r="J48" s="7">
        <v>3.75</v>
      </c>
      <c r="K48" s="4">
        <v>5</v>
      </c>
      <c r="L48" s="7">
        <v>133.5</v>
      </c>
      <c r="M48" s="7">
        <v>3.3374999999999999</v>
      </c>
      <c r="N48" s="4">
        <v>2</v>
      </c>
      <c r="O48" s="7">
        <v>19</v>
      </c>
      <c r="P48" s="7">
        <v>0.47499999999999998</v>
      </c>
      <c r="Q48" s="4">
        <v>7</v>
      </c>
      <c r="R48" s="7">
        <v>152.5</v>
      </c>
      <c r="S48" s="7">
        <v>3.8125</v>
      </c>
    </row>
    <row r="49" spans="1:19" ht="13.5" thickBot="1" x14ac:dyDescent="0.25">
      <c r="A49" s="2" t="s">
        <v>566</v>
      </c>
      <c r="B49" s="1" t="s">
        <v>565</v>
      </c>
      <c r="C49" s="2" t="s">
        <v>19</v>
      </c>
      <c r="D49" s="4">
        <v>3679</v>
      </c>
      <c r="E49" s="4">
        <v>0</v>
      </c>
      <c r="F49" s="7">
        <v>0</v>
      </c>
      <c r="G49" s="7">
        <v>0</v>
      </c>
      <c r="H49" s="4">
        <v>1</v>
      </c>
      <c r="I49" s="7">
        <v>40</v>
      </c>
      <c r="J49" s="7">
        <v>1</v>
      </c>
      <c r="K49" s="4">
        <v>1</v>
      </c>
      <c r="L49" s="7">
        <v>40</v>
      </c>
      <c r="M49" s="7">
        <v>1</v>
      </c>
      <c r="N49" s="4">
        <v>1</v>
      </c>
      <c r="O49" s="7">
        <v>20</v>
      </c>
      <c r="P49" s="7">
        <v>0.5</v>
      </c>
      <c r="Q49" s="4">
        <v>2</v>
      </c>
      <c r="R49" s="7">
        <v>60</v>
      </c>
      <c r="S49" s="7">
        <v>1.5</v>
      </c>
    </row>
    <row r="50" spans="1:19" ht="13.5" thickBot="1" x14ac:dyDescent="0.25">
      <c r="A50" s="2" t="s">
        <v>570</v>
      </c>
      <c r="B50" s="1" t="s">
        <v>569</v>
      </c>
      <c r="C50" s="2" t="s">
        <v>19</v>
      </c>
      <c r="D50" s="4">
        <v>1830</v>
      </c>
      <c r="E50" s="4">
        <v>0</v>
      </c>
      <c r="F50" s="7">
        <v>0</v>
      </c>
      <c r="G50" s="7">
        <v>0</v>
      </c>
      <c r="H50" s="4">
        <v>1</v>
      </c>
      <c r="I50" s="7">
        <v>40</v>
      </c>
      <c r="J50" s="7">
        <v>1</v>
      </c>
      <c r="K50" s="4">
        <v>1</v>
      </c>
      <c r="L50" s="7">
        <v>40</v>
      </c>
      <c r="M50" s="7">
        <v>1</v>
      </c>
      <c r="N50" s="4">
        <v>1</v>
      </c>
      <c r="O50" s="7">
        <v>6</v>
      </c>
      <c r="P50" s="7">
        <v>0.15</v>
      </c>
      <c r="Q50" s="4">
        <v>2</v>
      </c>
      <c r="R50" s="7">
        <v>46</v>
      </c>
      <c r="S50" s="7">
        <v>1.1499999999999999</v>
      </c>
    </row>
    <row r="51" spans="1:19" ht="13.5" thickBot="1" x14ac:dyDescent="0.25">
      <c r="A51" s="2" t="s">
        <v>592</v>
      </c>
      <c r="B51" s="1" t="s">
        <v>591</v>
      </c>
      <c r="C51" s="2" t="s">
        <v>19</v>
      </c>
      <c r="D51" s="4">
        <v>1939</v>
      </c>
      <c r="E51" s="4">
        <v>0</v>
      </c>
      <c r="F51" s="7">
        <v>0</v>
      </c>
      <c r="G51" s="7">
        <v>0</v>
      </c>
      <c r="H51" s="4">
        <v>1</v>
      </c>
      <c r="I51" s="7">
        <v>40</v>
      </c>
      <c r="J51" s="7">
        <v>1</v>
      </c>
      <c r="K51" s="4">
        <v>5</v>
      </c>
      <c r="L51" s="7">
        <v>105</v>
      </c>
      <c r="M51" s="7">
        <v>2.625</v>
      </c>
      <c r="N51" s="4">
        <v>1</v>
      </c>
      <c r="O51" s="7">
        <v>0.25</v>
      </c>
      <c r="P51" s="7">
        <v>6.2500000000000003E-3</v>
      </c>
      <c r="Q51" s="4">
        <v>6</v>
      </c>
      <c r="R51" s="7">
        <v>105.25</v>
      </c>
      <c r="S51" s="7">
        <v>2.6312500000000001</v>
      </c>
    </row>
    <row r="52" spans="1:19" ht="13.5" thickBot="1" x14ac:dyDescent="0.25">
      <c r="A52" s="2" t="s">
        <v>612</v>
      </c>
      <c r="B52" s="1" t="s">
        <v>611</v>
      </c>
      <c r="C52" s="2" t="s">
        <v>19</v>
      </c>
      <c r="D52" s="4">
        <v>5033</v>
      </c>
      <c r="E52" s="4">
        <v>0</v>
      </c>
      <c r="F52" s="7">
        <v>0</v>
      </c>
      <c r="G52" s="7">
        <v>0</v>
      </c>
      <c r="H52" s="4">
        <v>1</v>
      </c>
      <c r="I52" s="7">
        <v>31</v>
      </c>
      <c r="J52" s="7">
        <v>0.77500000000000002</v>
      </c>
      <c r="K52" s="4">
        <v>1</v>
      </c>
      <c r="L52" s="7">
        <v>31</v>
      </c>
      <c r="M52" s="7">
        <v>0.77500000000000002</v>
      </c>
      <c r="N52" s="4">
        <v>0</v>
      </c>
      <c r="O52" s="7">
        <v>16</v>
      </c>
      <c r="P52" s="7">
        <v>0.4</v>
      </c>
      <c r="Q52" s="4">
        <v>5</v>
      </c>
      <c r="R52" s="7">
        <v>47</v>
      </c>
      <c r="S52" s="7">
        <v>1.175</v>
      </c>
    </row>
    <row r="53" spans="1:19" ht="13.5" thickBot="1" x14ac:dyDescent="0.25">
      <c r="A53" s="2" t="s">
        <v>632</v>
      </c>
      <c r="B53" s="1" t="s">
        <v>631</v>
      </c>
      <c r="C53" s="2" t="s">
        <v>19</v>
      </c>
      <c r="D53" s="4">
        <v>3739</v>
      </c>
      <c r="E53" s="4">
        <v>0</v>
      </c>
      <c r="F53" s="7">
        <v>0</v>
      </c>
      <c r="G53" s="7">
        <v>0</v>
      </c>
      <c r="H53" s="4">
        <v>1</v>
      </c>
      <c r="I53" s="7">
        <v>16.2</v>
      </c>
      <c r="J53" s="7">
        <v>0.40500000000000003</v>
      </c>
      <c r="K53" s="4">
        <v>1</v>
      </c>
      <c r="L53" s="7">
        <v>16.2</v>
      </c>
      <c r="M53" s="7">
        <v>0.40500000000000003</v>
      </c>
      <c r="N53" s="4">
        <v>6</v>
      </c>
      <c r="O53" s="7">
        <v>27.16</v>
      </c>
      <c r="P53" s="7">
        <v>0.67900000000000005</v>
      </c>
      <c r="Q53" s="4">
        <v>7</v>
      </c>
      <c r="R53" s="7">
        <v>43.36</v>
      </c>
      <c r="S53" s="7">
        <v>1.0840000000000001</v>
      </c>
    </row>
    <row r="54" spans="1:19" ht="13.5" thickBot="1" x14ac:dyDescent="0.25">
      <c r="A54" s="2" t="s">
        <v>642</v>
      </c>
      <c r="B54" s="1" t="s">
        <v>641</v>
      </c>
      <c r="C54" s="2" t="s">
        <v>19</v>
      </c>
      <c r="D54" s="4">
        <v>1508</v>
      </c>
      <c r="E54" s="4">
        <v>0</v>
      </c>
      <c r="F54" s="7">
        <v>0</v>
      </c>
      <c r="G54" s="7">
        <v>0</v>
      </c>
      <c r="H54" s="4">
        <v>1</v>
      </c>
      <c r="I54" s="7">
        <v>18</v>
      </c>
      <c r="J54" s="7">
        <v>0.45</v>
      </c>
      <c r="K54" s="4">
        <v>1</v>
      </c>
      <c r="L54" s="7">
        <v>18</v>
      </c>
      <c r="M54" s="7">
        <v>0.45</v>
      </c>
      <c r="N54" s="4">
        <v>0</v>
      </c>
      <c r="O54" s="7">
        <v>0</v>
      </c>
      <c r="P54" s="7">
        <v>0</v>
      </c>
      <c r="Q54" s="4">
        <v>1</v>
      </c>
      <c r="R54" s="7">
        <v>18</v>
      </c>
      <c r="S54" s="7">
        <v>0.45</v>
      </c>
    </row>
    <row r="55" spans="1:19" ht="13.5" thickBot="1" x14ac:dyDescent="0.25">
      <c r="A55" s="2" t="s">
        <v>644</v>
      </c>
      <c r="B55" s="1" t="s">
        <v>643</v>
      </c>
      <c r="C55" s="2" t="s">
        <v>19</v>
      </c>
      <c r="D55" s="4">
        <v>3731</v>
      </c>
      <c r="E55" s="4">
        <v>0</v>
      </c>
      <c r="F55" s="7">
        <v>0</v>
      </c>
      <c r="G55" s="7">
        <v>0</v>
      </c>
      <c r="H55" s="4">
        <v>1</v>
      </c>
      <c r="I55" s="7">
        <v>28</v>
      </c>
      <c r="J55" s="7">
        <v>0.7</v>
      </c>
      <c r="K55" s="4">
        <v>1</v>
      </c>
      <c r="L55" s="7">
        <v>28</v>
      </c>
      <c r="M55" s="7">
        <v>0.7</v>
      </c>
      <c r="N55" s="4">
        <v>2</v>
      </c>
      <c r="O55" s="7">
        <v>27</v>
      </c>
      <c r="P55" s="7">
        <v>0.67500000000000004</v>
      </c>
      <c r="Q55" s="4">
        <v>3</v>
      </c>
      <c r="R55" s="7">
        <v>55</v>
      </c>
      <c r="S55" s="7">
        <v>1.375</v>
      </c>
    </row>
    <row r="56" spans="1:19" ht="13.5" thickBot="1" x14ac:dyDescent="0.25">
      <c r="A56" s="2" t="s">
        <v>650</v>
      </c>
      <c r="B56" s="1" t="s">
        <v>649</v>
      </c>
      <c r="C56" s="2" t="s">
        <v>19</v>
      </c>
      <c r="D56" s="4">
        <v>3674</v>
      </c>
      <c r="E56" s="4">
        <v>0</v>
      </c>
      <c r="F56" s="7">
        <v>0</v>
      </c>
      <c r="G56" s="7">
        <v>0</v>
      </c>
      <c r="H56" s="4">
        <v>1</v>
      </c>
      <c r="I56" s="7">
        <v>32</v>
      </c>
      <c r="J56" s="7">
        <v>0.8</v>
      </c>
      <c r="K56" s="4">
        <v>1</v>
      </c>
      <c r="L56" s="7">
        <v>32</v>
      </c>
      <c r="M56" s="7">
        <v>0.8</v>
      </c>
      <c r="N56" s="4">
        <v>3</v>
      </c>
      <c r="O56" s="7">
        <v>46</v>
      </c>
      <c r="P56" s="7">
        <v>1.1499999999999999</v>
      </c>
      <c r="Q56" s="4">
        <v>4</v>
      </c>
      <c r="R56" s="7">
        <v>78</v>
      </c>
      <c r="S56" s="7">
        <v>1.95</v>
      </c>
    </row>
    <row r="57" spans="1:19" ht="13.5" thickBot="1" x14ac:dyDescent="0.25">
      <c r="A57" s="2" t="s">
        <v>652</v>
      </c>
      <c r="B57" s="1" t="s">
        <v>651</v>
      </c>
      <c r="C57" s="2" t="s">
        <v>19</v>
      </c>
      <c r="D57" s="4">
        <v>882</v>
      </c>
      <c r="E57" s="4">
        <v>0</v>
      </c>
      <c r="F57" s="7">
        <v>0</v>
      </c>
      <c r="G57" s="7">
        <v>0</v>
      </c>
      <c r="H57" s="4">
        <v>1</v>
      </c>
      <c r="I57" s="7">
        <v>26</v>
      </c>
      <c r="J57" s="7">
        <v>0.65</v>
      </c>
      <c r="K57" s="4">
        <v>1</v>
      </c>
      <c r="L57" s="7">
        <v>26</v>
      </c>
      <c r="M57" s="7">
        <v>0.65</v>
      </c>
      <c r="N57" s="4">
        <v>0</v>
      </c>
      <c r="O57" s="7">
        <v>0</v>
      </c>
      <c r="P57" s="7">
        <v>0</v>
      </c>
      <c r="Q57" s="4">
        <v>1</v>
      </c>
      <c r="R57" s="7">
        <v>26</v>
      </c>
      <c r="S57" s="7">
        <v>0.65</v>
      </c>
    </row>
    <row r="58" spans="1:19" ht="13.5" thickBot="1" x14ac:dyDescent="0.25">
      <c r="A58" s="2" t="s">
        <v>672</v>
      </c>
      <c r="B58" s="1" t="s">
        <v>671</v>
      </c>
      <c r="C58" s="2" t="s">
        <v>19</v>
      </c>
      <c r="D58" s="4">
        <v>2419</v>
      </c>
      <c r="E58" s="4">
        <v>1</v>
      </c>
      <c r="F58" s="7">
        <v>21</v>
      </c>
      <c r="G58" s="7">
        <v>0.52500000000000002</v>
      </c>
      <c r="H58" s="4">
        <v>0</v>
      </c>
      <c r="I58" s="7">
        <v>0</v>
      </c>
      <c r="J58" s="7">
        <v>0</v>
      </c>
      <c r="K58" s="4">
        <v>1</v>
      </c>
      <c r="L58" s="7">
        <v>21</v>
      </c>
      <c r="M58" s="7">
        <v>0.52500000000000002</v>
      </c>
      <c r="N58" s="4">
        <v>2</v>
      </c>
      <c r="O58" s="7">
        <v>11</v>
      </c>
      <c r="P58" s="7">
        <v>0.27500000000000002</v>
      </c>
      <c r="Q58" s="4">
        <v>3</v>
      </c>
      <c r="R58" s="7">
        <v>32</v>
      </c>
      <c r="S58" s="7">
        <v>0.8</v>
      </c>
    </row>
    <row r="59" spans="1:19" ht="13.5" thickBot="1" x14ac:dyDescent="0.25">
      <c r="A59" s="2" t="s">
        <v>698</v>
      </c>
      <c r="B59" s="1" t="s">
        <v>697</v>
      </c>
      <c r="C59" s="2" t="s">
        <v>19</v>
      </c>
      <c r="D59" s="4">
        <v>3775</v>
      </c>
      <c r="E59" s="4">
        <v>1</v>
      </c>
      <c r="F59" s="7">
        <v>40</v>
      </c>
      <c r="G59" s="7">
        <v>1</v>
      </c>
      <c r="H59" s="4">
        <v>2</v>
      </c>
      <c r="I59" s="7">
        <v>57</v>
      </c>
      <c r="J59" s="7">
        <v>1.425</v>
      </c>
      <c r="K59" s="4">
        <v>3</v>
      </c>
      <c r="L59" s="7">
        <v>97</v>
      </c>
      <c r="M59" s="7">
        <v>2.4249999999999998</v>
      </c>
      <c r="N59" s="4">
        <v>5</v>
      </c>
      <c r="O59" s="7">
        <v>64</v>
      </c>
      <c r="P59" s="7">
        <v>1.6</v>
      </c>
      <c r="Q59" s="4">
        <v>8</v>
      </c>
      <c r="R59" s="7">
        <v>161</v>
      </c>
      <c r="S59" s="7">
        <v>4.0250000000000004</v>
      </c>
    </row>
    <row r="60" spans="1:19" ht="13.5" thickBot="1" x14ac:dyDescent="0.25">
      <c r="A60" s="2" t="s">
        <v>704</v>
      </c>
      <c r="B60" s="1" t="s">
        <v>703</v>
      </c>
      <c r="C60" s="2" t="s">
        <v>19</v>
      </c>
      <c r="D60" s="4">
        <v>3138</v>
      </c>
      <c r="E60" s="4">
        <v>0</v>
      </c>
      <c r="F60" s="7">
        <v>0</v>
      </c>
      <c r="G60" s="7">
        <v>0</v>
      </c>
      <c r="H60" s="4">
        <v>1</v>
      </c>
      <c r="I60" s="7">
        <v>25</v>
      </c>
      <c r="J60" s="7">
        <v>0.625</v>
      </c>
      <c r="K60" s="4">
        <v>1</v>
      </c>
      <c r="L60" s="7">
        <v>25</v>
      </c>
      <c r="M60" s="7">
        <v>0.625</v>
      </c>
      <c r="N60" s="4">
        <v>3</v>
      </c>
      <c r="O60" s="7">
        <v>37</v>
      </c>
      <c r="P60" s="7">
        <v>0.92500000000000004</v>
      </c>
      <c r="Q60" s="4">
        <v>4</v>
      </c>
      <c r="R60" s="7">
        <v>62</v>
      </c>
      <c r="S60" s="7">
        <v>1.55</v>
      </c>
    </row>
    <row r="61" spans="1:19" ht="13.5" thickBot="1" x14ac:dyDescent="0.25">
      <c r="A61" s="2" t="s">
        <v>714</v>
      </c>
      <c r="B61" s="1" t="s">
        <v>713</v>
      </c>
      <c r="C61" s="2" t="s">
        <v>19</v>
      </c>
      <c r="D61" s="4">
        <v>3428</v>
      </c>
      <c r="E61" s="4">
        <v>0</v>
      </c>
      <c r="F61" s="7">
        <v>0</v>
      </c>
      <c r="G61" s="7">
        <v>0</v>
      </c>
      <c r="H61" s="4">
        <v>2</v>
      </c>
      <c r="I61" s="7">
        <v>51</v>
      </c>
      <c r="J61" s="7">
        <v>1.2749999999999999</v>
      </c>
      <c r="K61" s="4">
        <v>2</v>
      </c>
      <c r="L61" s="7">
        <v>51</v>
      </c>
      <c r="M61" s="7">
        <v>1.2749999999999999</v>
      </c>
      <c r="N61" s="4">
        <v>1</v>
      </c>
      <c r="O61" s="7">
        <v>4</v>
      </c>
      <c r="P61" s="7">
        <v>0.1</v>
      </c>
      <c r="Q61" s="4">
        <v>3</v>
      </c>
      <c r="R61" s="7">
        <v>55</v>
      </c>
      <c r="S61" s="7">
        <v>1.375</v>
      </c>
    </row>
    <row r="62" spans="1:19" ht="13.5" thickBot="1" x14ac:dyDescent="0.25">
      <c r="A62" s="2" t="s">
        <v>716</v>
      </c>
      <c r="B62" s="1" t="s">
        <v>715</v>
      </c>
      <c r="C62" s="2" t="s">
        <v>19</v>
      </c>
      <c r="D62" s="4">
        <v>1932</v>
      </c>
      <c r="E62" s="4">
        <v>0</v>
      </c>
      <c r="F62" s="7">
        <v>0</v>
      </c>
      <c r="G62" s="7">
        <v>0</v>
      </c>
      <c r="H62" s="4">
        <v>1</v>
      </c>
      <c r="I62" s="7">
        <v>27</v>
      </c>
      <c r="J62" s="7">
        <v>0.67500000000000004</v>
      </c>
      <c r="K62" s="4">
        <v>1</v>
      </c>
      <c r="L62" s="7">
        <v>27</v>
      </c>
      <c r="M62" s="7">
        <v>0.67500000000000004</v>
      </c>
      <c r="N62" s="4">
        <v>1</v>
      </c>
      <c r="O62" s="7">
        <v>10</v>
      </c>
      <c r="P62" s="7">
        <v>0.25</v>
      </c>
      <c r="Q62" s="4">
        <v>2</v>
      </c>
      <c r="R62" s="7">
        <v>37</v>
      </c>
      <c r="S62" s="7">
        <v>0.92500000000000004</v>
      </c>
    </row>
    <row r="63" spans="1:19" ht="13.5" thickBot="1" x14ac:dyDescent="0.25">
      <c r="A63" s="2" t="s">
        <v>738</v>
      </c>
      <c r="B63" s="1" t="s">
        <v>737</v>
      </c>
      <c r="C63" s="2" t="s">
        <v>19</v>
      </c>
      <c r="D63" s="4">
        <v>2387</v>
      </c>
      <c r="E63" s="4">
        <v>0</v>
      </c>
      <c r="F63" s="7">
        <v>0</v>
      </c>
      <c r="G63" s="7">
        <v>0</v>
      </c>
      <c r="H63" s="4">
        <v>1</v>
      </c>
      <c r="I63" s="7">
        <v>36</v>
      </c>
      <c r="J63" s="7">
        <v>0.9</v>
      </c>
      <c r="K63" s="4">
        <v>1</v>
      </c>
      <c r="L63" s="7">
        <v>36</v>
      </c>
      <c r="M63" s="7">
        <v>0.9</v>
      </c>
      <c r="N63" s="77">
        <v>3</v>
      </c>
      <c r="O63" s="7">
        <v>32</v>
      </c>
      <c r="P63" s="7">
        <v>0.8</v>
      </c>
      <c r="Q63" s="4">
        <v>4</v>
      </c>
      <c r="R63" s="7">
        <v>68</v>
      </c>
      <c r="S63" s="7">
        <v>1.7</v>
      </c>
    </row>
    <row r="64" spans="1:19" ht="13.5" thickBot="1" x14ac:dyDescent="0.25">
      <c r="A64" s="2" t="s">
        <v>757</v>
      </c>
      <c r="B64" s="1" t="s">
        <v>756</v>
      </c>
      <c r="C64" s="2" t="s">
        <v>19</v>
      </c>
      <c r="D64" s="4">
        <v>1873</v>
      </c>
      <c r="E64" s="4">
        <v>0</v>
      </c>
      <c r="F64" s="7">
        <v>0</v>
      </c>
      <c r="G64" s="7">
        <v>0</v>
      </c>
      <c r="H64" s="4">
        <v>1</v>
      </c>
      <c r="I64" s="7">
        <v>26</v>
      </c>
      <c r="J64" s="7">
        <v>0.65</v>
      </c>
      <c r="K64" s="4">
        <v>1</v>
      </c>
      <c r="L64" s="7">
        <v>26</v>
      </c>
      <c r="M64" s="7">
        <v>0.65</v>
      </c>
      <c r="N64" s="4">
        <v>3</v>
      </c>
      <c r="O64" s="7">
        <v>9</v>
      </c>
      <c r="P64" s="7">
        <v>0.22500000000000001</v>
      </c>
      <c r="Q64" s="4">
        <v>4</v>
      </c>
      <c r="R64" s="7">
        <v>35</v>
      </c>
      <c r="S64" s="7">
        <v>0.875</v>
      </c>
    </row>
    <row r="65" spans="1:19" ht="13.5" thickBot="1" x14ac:dyDescent="0.25">
      <c r="A65" s="2" t="s">
        <v>775</v>
      </c>
      <c r="B65" s="1" t="s">
        <v>774</v>
      </c>
      <c r="C65" s="2" t="s">
        <v>19</v>
      </c>
      <c r="D65" s="4">
        <v>1652</v>
      </c>
      <c r="E65" s="4">
        <v>0</v>
      </c>
      <c r="F65" s="7">
        <v>0</v>
      </c>
      <c r="G65" s="7">
        <v>0</v>
      </c>
      <c r="H65" s="4">
        <v>2</v>
      </c>
      <c r="I65" s="7">
        <v>38</v>
      </c>
      <c r="J65" s="7">
        <v>0.95</v>
      </c>
      <c r="K65" s="4">
        <v>2</v>
      </c>
      <c r="L65" s="7">
        <v>38</v>
      </c>
      <c r="M65" s="7">
        <v>0.95</v>
      </c>
      <c r="N65" s="4">
        <v>0</v>
      </c>
      <c r="O65" s="7">
        <v>0</v>
      </c>
      <c r="P65" s="7">
        <v>0</v>
      </c>
      <c r="Q65" s="4">
        <v>2</v>
      </c>
      <c r="R65" s="7">
        <v>38</v>
      </c>
      <c r="S65" s="7">
        <v>0.95</v>
      </c>
    </row>
    <row r="66" spans="1:19" ht="13.5" thickBot="1" x14ac:dyDescent="0.25">
      <c r="A66" s="2" t="s">
        <v>787</v>
      </c>
      <c r="B66" s="1" t="s">
        <v>786</v>
      </c>
      <c r="C66" s="2" t="s">
        <v>19</v>
      </c>
      <c r="D66" s="4">
        <v>3895</v>
      </c>
      <c r="E66" s="4">
        <v>0</v>
      </c>
      <c r="F66" s="7">
        <v>0</v>
      </c>
      <c r="G66" s="7">
        <v>0</v>
      </c>
      <c r="H66" s="4">
        <v>4</v>
      </c>
      <c r="I66" s="7">
        <v>67</v>
      </c>
      <c r="J66" s="7">
        <v>1.675</v>
      </c>
      <c r="K66" s="4">
        <v>4</v>
      </c>
      <c r="L66" s="7">
        <v>67</v>
      </c>
      <c r="M66" s="7">
        <v>1.675</v>
      </c>
      <c r="N66" s="4">
        <v>0</v>
      </c>
      <c r="O66" s="7">
        <v>0</v>
      </c>
      <c r="P66" s="7">
        <v>0</v>
      </c>
      <c r="Q66" s="4">
        <v>4</v>
      </c>
      <c r="R66" s="7">
        <v>67</v>
      </c>
      <c r="S66" s="7">
        <v>1.675</v>
      </c>
    </row>
    <row r="67" spans="1:19" ht="13.5" thickBot="1" x14ac:dyDescent="0.25">
      <c r="A67" s="2" t="s">
        <v>793</v>
      </c>
      <c r="B67" s="1" t="s">
        <v>792</v>
      </c>
      <c r="C67" s="2" t="s">
        <v>19</v>
      </c>
      <c r="D67" s="4">
        <v>2156</v>
      </c>
      <c r="E67" s="4">
        <v>0</v>
      </c>
      <c r="F67" s="7">
        <v>0</v>
      </c>
      <c r="G67" s="7">
        <v>0</v>
      </c>
      <c r="H67" s="4">
        <v>1</v>
      </c>
      <c r="I67" s="7">
        <v>36</v>
      </c>
      <c r="J67" s="7">
        <v>0.9</v>
      </c>
      <c r="K67" s="4">
        <v>1</v>
      </c>
      <c r="L67" s="7">
        <v>36</v>
      </c>
      <c r="M67" s="7">
        <v>0.9</v>
      </c>
      <c r="N67" s="4">
        <v>1</v>
      </c>
      <c r="O67" s="7">
        <v>6</v>
      </c>
      <c r="P67" s="7">
        <v>0.15</v>
      </c>
      <c r="Q67" s="4">
        <v>2</v>
      </c>
      <c r="R67" s="7">
        <v>42</v>
      </c>
      <c r="S67" s="7">
        <v>1.05</v>
      </c>
    </row>
    <row r="68" spans="1:19" ht="13.5" thickBot="1" x14ac:dyDescent="0.25">
      <c r="A68" s="2" t="s">
        <v>795</v>
      </c>
      <c r="B68" s="1" t="s">
        <v>794</v>
      </c>
      <c r="C68" s="2" t="s">
        <v>19</v>
      </c>
      <c r="D68" s="4">
        <v>2475</v>
      </c>
      <c r="E68" s="4">
        <v>0</v>
      </c>
      <c r="F68" s="7">
        <v>0</v>
      </c>
      <c r="G68" s="7">
        <v>0</v>
      </c>
      <c r="H68" s="4">
        <v>1</v>
      </c>
      <c r="I68" s="7">
        <v>35</v>
      </c>
      <c r="J68" s="7">
        <v>0.875</v>
      </c>
      <c r="K68" s="4">
        <v>1</v>
      </c>
      <c r="L68" s="7">
        <v>35</v>
      </c>
      <c r="M68" s="7">
        <v>0.875</v>
      </c>
      <c r="N68" s="4">
        <v>2</v>
      </c>
      <c r="O68" s="7">
        <v>29</v>
      </c>
      <c r="P68" s="7">
        <v>0.72499999999999998</v>
      </c>
      <c r="Q68" s="4">
        <v>3</v>
      </c>
      <c r="R68" s="7">
        <v>64</v>
      </c>
      <c r="S68" s="7">
        <v>1.6</v>
      </c>
    </row>
    <row r="69" spans="1:19" ht="13.5" thickBot="1" x14ac:dyDescent="0.25">
      <c r="A69" s="2" t="s">
        <v>799</v>
      </c>
      <c r="B69" s="1" t="s">
        <v>798</v>
      </c>
      <c r="C69" s="2" t="s">
        <v>19</v>
      </c>
      <c r="D69" s="4">
        <v>1968</v>
      </c>
      <c r="E69" s="4">
        <v>1</v>
      </c>
      <c r="F69" s="7">
        <v>16</v>
      </c>
      <c r="G69" s="7">
        <v>0.4</v>
      </c>
      <c r="H69" s="4">
        <v>0</v>
      </c>
      <c r="I69" s="7">
        <v>0</v>
      </c>
      <c r="J69" s="7">
        <v>0</v>
      </c>
      <c r="K69" s="4">
        <v>1</v>
      </c>
      <c r="L69" s="7">
        <v>16</v>
      </c>
      <c r="M69" s="7">
        <v>0.4</v>
      </c>
      <c r="N69" s="4">
        <v>0</v>
      </c>
      <c r="O69" s="7">
        <v>0</v>
      </c>
      <c r="P69" s="7">
        <v>0</v>
      </c>
      <c r="Q69" s="4">
        <v>1</v>
      </c>
      <c r="R69" s="7">
        <v>16</v>
      </c>
      <c r="S69" s="7">
        <v>0.4</v>
      </c>
    </row>
    <row r="70" spans="1:19" ht="13.5" thickBot="1" x14ac:dyDescent="0.25">
      <c r="A70" s="2" t="s">
        <v>809</v>
      </c>
      <c r="B70" s="1" t="s">
        <v>808</v>
      </c>
      <c r="C70" s="2" t="s">
        <v>19</v>
      </c>
      <c r="D70" s="4">
        <v>2202</v>
      </c>
      <c r="E70" s="4">
        <v>0</v>
      </c>
      <c r="F70" s="7">
        <v>0</v>
      </c>
      <c r="G70" s="7">
        <v>0</v>
      </c>
      <c r="H70" s="4">
        <v>1</v>
      </c>
      <c r="I70" s="7">
        <v>28</v>
      </c>
      <c r="J70" s="7">
        <v>0.7</v>
      </c>
      <c r="K70" s="4">
        <v>1</v>
      </c>
      <c r="L70" s="7">
        <v>28</v>
      </c>
      <c r="M70" s="7">
        <v>0.7</v>
      </c>
      <c r="N70" s="4">
        <v>0</v>
      </c>
      <c r="O70" s="7">
        <v>0</v>
      </c>
      <c r="P70" s="7">
        <v>0</v>
      </c>
      <c r="Q70" s="4">
        <v>0</v>
      </c>
      <c r="R70" s="7">
        <v>28</v>
      </c>
      <c r="S70" s="7">
        <v>0.7</v>
      </c>
    </row>
    <row r="71" spans="1:19" ht="13.5" thickBot="1" x14ac:dyDescent="0.25">
      <c r="A71" s="2" t="s">
        <v>821</v>
      </c>
      <c r="B71" s="1" t="s">
        <v>820</v>
      </c>
      <c r="C71" s="2" t="s">
        <v>19</v>
      </c>
      <c r="D71" s="4">
        <v>2913</v>
      </c>
      <c r="E71" s="4">
        <v>0</v>
      </c>
      <c r="F71" s="7">
        <v>0</v>
      </c>
      <c r="G71" s="7">
        <v>0</v>
      </c>
      <c r="H71" s="4">
        <v>3</v>
      </c>
      <c r="I71" s="7">
        <v>53</v>
      </c>
      <c r="J71" s="7">
        <v>1.325</v>
      </c>
      <c r="K71" s="4">
        <v>3</v>
      </c>
      <c r="L71" s="7">
        <v>53</v>
      </c>
      <c r="M71" s="7">
        <v>1.325</v>
      </c>
      <c r="N71" s="4">
        <v>0</v>
      </c>
      <c r="O71" s="7">
        <v>0</v>
      </c>
      <c r="P71" s="7">
        <v>0</v>
      </c>
      <c r="Q71" s="4">
        <v>3</v>
      </c>
      <c r="R71" s="7">
        <v>53</v>
      </c>
      <c r="S71" s="7">
        <v>1.325</v>
      </c>
    </row>
    <row r="72" spans="1:19" ht="13.5" thickBot="1" x14ac:dyDescent="0.25">
      <c r="A72" s="2" t="s">
        <v>833</v>
      </c>
      <c r="B72" s="1" t="s">
        <v>832</v>
      </c>
      <c r="C72" s="2" t="s">
        <v>19</v>
      </c>
      <c r="D72" s="4">
        <v>575</v>
      </c>
      <c r="E72" s="4">
        <v>1</v>
      </c>
      <c r="F72" s="7">
        <v>22</v>
      </c>
      <c r="G72" s="7">
        <v>0.55000000000000004</v>
      </c>
      <c r="H72" s="4">
        <v>0</v>
      </c>
      <c r="I72" s="7">
        <v>0</v>
      </c>
      <c r="J72" s="7">
        <v>0</v>
      </c>
      <c r="K72" s="4">
        <v>1</v>
      </c>
      <c r="L72" s="7">
        <v>22</v>
      </c>
      <c r="M72" s="7">
        <v>0.55000000000000004</v>
      </c>
      <c r="N72" s="4">
        <v>6</v>
      </c>
      <c r="O72" s="7">
        <v>14</v>
      </c>
      <c r="P72" s="7">
        <v>0.35</v>
      </c>
      <c r="Q72" s="4">
        <v>7</v>
      </c>
      <c r="R72" s="7">
        <v>36</v>
      </c>
      <c r="S72" s="7">
        <v>0.9</v>
      </c>
    </row>
    <row r="73" spans="1:19" ht="13.5" thickBot="1" x14ac:dyDescent="0.25">
      <c r="A73" s="2" t="s">
        <v>841</v>
      </c>
      <c r="B73" s="1" t="s">
        <v>840</v>
      </c>
      <c r="C73" s="2" t="s">
        <v>19</v>
      </c>
      <c r="D73" s="4">
        <v>2738</v>
      </c>
      <c r="E73" s="4">
        <v>0</v>
      </c>
      <c r="F73" s="7">
        <v>0</v>
      </c>
      <c r="G73" s="7">
        <v>0</v>
      </c>
      <c r="H73" s="4">
        <v>1</v>
      </c>
      <c r="I73" s="7">
        <v>35</v>
      </c>
      <c r="J73" s="7">
        <v>0.875</v>
      </c>
      <c r="K73" s="4">
        <v>0</v>
      </c>
      <c r="L73" s="7">
        <v>35</v>
      </c>
      <c r="M73" s="7">
        <v>0.875</v>
      </c>
      <c r="N73" s="4">
        <v>1</v>
      </c>
      <c r="O73" s="7">
        <v>14</v>
      </c>
      <c r="P73" s="7">
        <v>0.35</v>
      </c>
      <c r="Q73" s="4">
        <v>2</v>
      </c>
      <c r="R73" s="7">
        <v>49</v>
      </c>
      <c r="S73" s="7">
        <v>1.2250000000000001</v>
      </c>
    </row>
    <row r="74" spans="1:19" ht="13.5" thickBot="1" x14ac:dyDescent="0.25">
      <c r="A74" s="2" t="s">
        <v>21</v>
      </c>
      <c r="B74" s="1" t="s">
        <v>20</v>
      </c>
      <c r="C74" s="2" t="s">
        <v>24</v>
      </c>
      <c r="D74" s="4">
        <v>6351</v>
      </c>
      <c r="E74" s="4">
        <v>2</v>
      </c>
      <c r="F74" s="7">
        <v>56</v>
      </c>
      <c r="G74" s="7">
        <v>1.4</v>
      </c>
      <c r="H74" s="4">
        <v>0</v>
      </c>
      <c r="I74" s="7">
        <v>0</v>
      </c>
      <c r="J74" s="7">
        <v>0</v>
      </c>
      <c r="K74" s="4">
        <v>2</v>
      </c>
      <c r="L74" s="7">
        <v>56</v>
      </c>
      <c r="M74" s="7">
        <v>1.4</v>
      </c>
      <c r="N74" s="4">
        <v>8</v>
      </c>
      <c r="O74" s="7">
        <v>96</v>
      </c>
      <c r="P74" s="7">
        <v>2.4</v>
      </c>
      <c r="Q74" s="4">
        <v>14</v>
      </c>
      <c r="R74" s="7">
        <v>152</v>
      </c>
      <c r="S74" s="7">
        <v>3.8</v>
      </c>
    </row>
    <row r="75" spans="1:19" ht="13.5" thickBot="1" x14ac:dyDescent="0.25">
      <c r="A75" s="2" t="s">
        <v>51</v>
      </c>
      <c r="B75" s="1" t="s">
        <v>50</v>
      </c>
      <c r="C75" s="2" t="s">
        <v>24</v>
      </c>
      <c r="D75" s="4">
        <v>6583</v>
      </c>
      <c r="E75" s="4">
        <v>0</v>
      </c>
      <c r="F75" s="7">
        <v>0</v>
      </c>
      <c r="G75" s="7">
        <v>0</v>
      </c>
      <c r="H75" s="4">
        <v>4</v>
      </c>
      <c r="I75" s="7">
        <v>136</v>
      </c>
      <c r="J75" s="7">
        <v>3.4</v>
      </c>
      <c r="K75" s="4">
        <v>4</v>
      </c>
      <c r="L75" s="7">
        <v>136</v>
      </c>
      <c r="M75" s="7">
        <v>3.4</v>
      </c>
      <c r="N75" s="4">
        <v>4</v>
      </c>
      <c r="O75" s="7">
        <v>88</v>
      </c>
      <c r="P75" s="7">
        <v>2.2000000000000002</v>
      </c>
      <c r="Q75" s="4">
        <v>8</v>
      </c>
      <c r="R75" s="7">
        <v>224</v>
      </c>
      <c r="S75" s="7">
        <v>5.6</v>
      </c>
    </row>
    <row r="76" spans="1:19" ht="13.5" thickBot="1" x14ac:dyDescent="0.25">
      <c r="A76" s="2" t="s">
        <v>62</v>
      </c>
      <c r="B76" s="1" t="s">
        <v>61</v>
      </c>
      <c r="C76" s="2" t="s">
        <v>24</v>
      </c>
      <c r="D76" s="4">
        <v>5379</v>
      </c>
      <c r="E76" s="4">
        <v>1</v>
      </c>
      <c r="F76" s="7">
        <v>40</v>
      </c>
      <c r="G76" s="7">
        <v>1</v>
      </c>
      <c r="H76" s="4">
        <v>0</v>
      </c>
      <c r="I76" s="7">
        <v>0</v>
      </c>
      <c r="J76" s="7">
        <v>0</v>
      </c>
      <c r="K76" s="4">
        <v>1</v>
      </c>
      <c r="L76" s="7">
        <v>40</v>
      </c>
      <c r="M76" s="7">
        <v>1</v>
      </c>
      <c r="N76" s="4">
        <v>6</v>
      </c>
      <c r="O76" s="7">
        <v>110</v>
      </c>
      <c r="P76" s="7">
        <v>2.75</v>
      </c>
      <c r="Q76" s="4">
        <v>7</v>
      </c>
      <c r="R76" s="7">
        <v>150</v>
      </c>
      <c r="S76" s="7">
        <v>3.75</v>
      </c>
    </row>
    <row r="77" spans="1:19" ht="13.5" thickBot="1" x14ac:dyDescent="0.25">
      <c r="A77" s="2" t="s">
        <v>66</v>
      </c>
      <c r="B77" s="1" t="s">
        <v>65</v>
      </c>
      <c r="C77" s="2" t="s">
        <v>24</v>
      </c>
      <c r="D77" s="4">
        <v>4265</v>
      </c>
      <c r="E77" s="4">
        <v>0</v>
      </c>
      <c r="F77" s="7">
        <v>0</v>
      </c>
      <c r="G77" s="7">
        <v>0</v>
      </c>
      <c r="H77" s="4">
        <v>1</v>
      </c>
      <c r="I77" s="7">
        <v>20</v>
      </c>
      <c r="J77" s="7">
        <v>0.5</v>
      </c>
      <c r="K77" s="4">
        <v>1</v>
      </c>
      <c r="L77" s="7">
        <v>20</v>
      </c>
      <c r="M77" s="7">
        <v>0.5</v>
      </c>
      <c r="N77" s="4">
        <v>8</v>
      </c>
      <c r="O77" s="7">
        <v>31</v>
      </c>
      <c r="P77" s="7">
        <v>0.77500000000000002</v>
      </c>
      <c r="Q77" s="4">
        <v>8</v>
      </c>
      <c r="R77" s="7">
        <v>51</v>
      </c>
      <c r="S77" s="7">
        <v>1.2749999999999999</v>
      </c>
    </row>
    <row r="78" spans="1:19" ht="13.5" thickBot="1" x14ac:dyDescent="0.25">
      <c r="A78" s="2" t="s">
        <v>78</v>
      </c>
      <c r="B78" s="1" t="s">
        <v>77</v>
      </c>
      <c r="C78" s="2" t="s">
        <v>24</v>
      </c>
      <c r="D78" s="4">
        <v>6621</v>
      </c>
      <c r="E78" s="4">
        <v>0</v>
      </c>
      <c r="F78" s="7">
        <v>0</v>
      </c>
      <c r="G78" s="7">
        <v>0</v>
      </c>
      <c r="H78" s="4">
        <v>1</v>
      </c>
      <c r="I78" s="7">
        <v>40</v>
      </c>
      <c r="J78" s="7">
        <v>1</v>
      </c>
      <c r="K78" s="4">
        <v>1</v>
      </c>
      <c r="L78" s="7">
        <v>40</v>
      </c>
      <c r="M78" s="7">
        <v>1</v>
      </c>
      <c r="N78" s="4">
        <v>10</v>
      </c>
      <c r="O78" s="7">
        <v>100</v>
      </c>
      <c r="P78" s="7">
        <v>2.5</v>
      </c>
      <c r="Q78" s="4">
        <v>11</v>
      </c>
      <c r="R78" s="7">
        <v>140</v>
      </c>
      <c r="S78" s="7">
        <v>3.5</v>
      </c>
    </row>
    <row r="79" spans="1:19" ht="13.5" thickBot="1" x14ac:dyDescent="0.25">
      <c r="A79" s="2" t="s">
        <v>82</v>
      </c>
      <c r="B79" s="1" t="s">
        <v>81</v>
      </c>
      <c r="C79" s="2" t="s">
        <v>24</v>
      </c>
      <c r="D79" s="4">
        <v>4075</v>
      </c>
      <c r="E79" s="4">
        <v>0</v>
      </c>
      <c r="F79" s="7">
        <v>0</v>
      </c>
      <c r="G79" s="7">
        <v>0</v>
      </c>
      <c r="H79" s="4">
        <v>2</v>
      </c>
      <c r="I79" s="7">
        <v>76</v>
      </c>
      <c r="J79" s="7">
        <v>1.9</v>
      </c>
      <c r="K79" s="4">
        <v>2</v>
      </c>
      <c r="L79" s="7">
        <v>76</v>
      </c>
      <c r="M79" s="7">
        <v>1.9</v>
      </c>
      <c r="N79" s="4">
        <v>3</v>
      </c>
      <c r="O79" s="7">
        <v>38</v>
      </c>
      <c r="P79" s="7">
        <v>0.95</v>
      </c>
      <c r="Q79" s="4">
        <v>5</v>
      </c>
      <c r="R79" s="7">
        <v>114</v>
      </c>
      <c r="S79" s="7">
        <v>2.85</v>
      </c>
    </row>
    <row r="80" spans="1:19" ht="13.5" thickBot="1" x14ac:dyDescent="0.25">
      <c r="A80" s="2" t="s">
        <v>106</v>
      </c>
      <c r="B80" s="1" t="s">
        <v>105</v>
      </c>
      <c r="C80" s="2" t="s">
        <v>24</v>
      </c>
      <c r="D80" s="4">
        <v>5414</v>
      </c>
      <c r="E80" s="4">
        <v>1</v>
      </c>
      <c r="F80" s="7">
        <v>40</v>
      </c>
      <c r="G80" s="7">
        <v>1</v>
      </c>
      <c r="H80" s="4">
        <v>0</v>
      </c>
      <c r="I80" s="7">
        <v>0</v>
      </c>
      <c r="J80" s="7">
        <v>0</v>
      </c>
      <c r="K80" s="4">
        <v>1</v>
      </c>
      <c r="L80" s="7">
        <v>40</v>
      </c>
      <c r="M80" s="7">
        <v>1</v>
      </c>
      <c r="N80" s="4">
        <v>1</v>
      </c>
      <c r="O80" s="7">
        <v>14</v>
      </c>
      <c r="P80" s="7">
        <v>0.35</v>
      </c>
      <c r="Q80" s="4">
        <v>2</v>
      </c>
      <c r="R80" s="7">
        <v>54</v>
      </c>
      <c r="S80" s="7">
        <v>1.35</v>
      </c>
    </row>
    <row r="81" spans="1:19" ht="13.5" thickBot="1" x14ac:dyDescent="0.25">
      <c r="A81" s="2" t="s">
        <v>126</v>
      </c>
      <c r="B81" s="1" t="s">
        <v>125</v>
      </c>
      <c r="C81" s="2" t="s">
        <v>24</v>
      </c>
      <c r="D81" s="4">
        <v>6296</v>
      </c>
      <c r="E81" s="4">
        <v>1</v>
      </c>
      <c r="F81" s="7">
        <v>40</v>
      </c>
      <c r="G81" s="7">
        <v>1</v>
      </c>
      <c r="H81" s="4">
        <v>3</v>
      </c>
      <c r="I81" s="7">
        <v>112</v>
      </c>
      <c r="J81" s="7">
        <v>2.8</v>
      </c>
      <c r="K81" s="4">
        <v>4</v>
      </c>
      <c r="L81" s="7">
        <v>152</v>
      </c>
      <c r="M81" s="7">
        <v>3.8</v>
      </c>
      <c r="N81" s="4">
        <v>9</v>
      </c>
      <c r="O81" s="7">
        <v>120</v>
      </c>
      <c r="P81" s="7">
        <v>3</v>
      </c>
      <c r="Q81" s="4">
        <v>13</v>
      </c>
      <c r="R81" s="7">
        <v>272</v>
      </c>
      <c r="S81" s="7">
        <v>6.8</v>
      </c>
    </row>
    <row r="82" spans="1:19" ht="13.5" thickBot="1" x14ac:dyDescent="0.25">
      <c r="A82" s="2" t="s">
        <v>132</v>
      </c>
      <c r="B82" s="1" t="s">
        <v>131</v>
      </c>
      <c r="C82" s="2" t="s">
        <v>24</v>
      </c>
      <c r="D82" s="4">
        <v>4005</v>
      </c>
      <c r="E82" s="4">
        <v>0</v>
      </c>
      <c r="F82" s="7">
        <v>0</v>
      </c>
      <c r="G82" s="7">
        <v>0</v>
      </c>
      <c r="H82" s="4">
        <v>1</v>
      </c>
      <c r="I82" s="7">
        <v>32</v>
      </c>
      <c r="J82" s="7">
        <v>0.8</v>
      </c>
      <c r="K82" s="4">
        <v>1</v>
      </c>
      <c r="L82" s="7">
        <v>32</v>
      </c>
      <c r="M82" s="7">
        <v>0.8</v>
      </c>
      <c r="N82" s="4">
        <v>2</v>
      </c>
      <c r="O82" s="7">
        <v>5</v>
      </c>
      <c r="P82" s="7">
        <v>0.125</v>
      </c>
      <c r="Q82" s="4">
        <v>2</v>
      </c>
      <c r="R82" s="7">
        <v>37</v>
      </c>
      <c r="S82" s="7">
        <v>0.92500000000000004</v>
      </c>
    </row>
    <row r="83" spans="1:19" ht="13.5" thickBot="1" x14ac:dyDescent="0.25">
      <c r="A83" s="2" t="s">
        <v>146</v>
      </c>
      <c r="B83" s="1" t="s">
        <v>145</v>
      </c>
      <c r="C83" s="2" t="s">
        <v>24</v>
      </c>
      <c r="D83" s="4">
        <v>4191</v>
      </c>
      <c r="E83" s="4">
        <v>0</v>
      </c>
      <c r="F83" s="7">
        <v>0</v>
      </c>
      <c r="G83" s="7">
        <v>0</v>
      </c>
      <c r="H83" s="4">
        <v>1</v>
      </c>
      <c r="I83" s="7">
        <v>28</v>
      </c>
      <c r="J83" s="7">
        <v>0.7</v>
      </c>
      <c r="K83" s="4">
        <v>1</v>
      </c>
      <c r="L83" s="7">
        <v>28</v>
      </c>
      <c r="M83" s="7">
        <v>0.7</v>
      </c>
      <c r="N83" s="4">
        <v>1</v>
      </c>
      <c r="O83" s="7">
        <v>22</v>
      </c>
      <c r="P83" s="7">
        <v>0.55000000000000004</v>
      </c>
      <c r="Q83" s="4">
        <v>2</v>
      </c>
      <c r="R83" s="7">
        <v>50</v>
      </c>
      <c r="S83" s="7">
        <v>1.25</v>
      </c>
    </row>
    <row r="84" spans="1:19" ht="13.5" thickBot="1" x14ac:dyDescent="0.25">
      <c r="A84" s="2" t="s">
        <v>188</v>
      </c>
      <c r="B84" s="1" t="s">
        <v>187</v>
      </c>
      <c r="C84" s="2" t="s">
        <v>24</v>
      </c>
      <c r="D84" s="4">
        <v>4622</v>
      </c>
      <c r="E84" s="4">
        <v>0</v>
      </c>
      <c r="F84" s="7">
        <v>0</v>
      </c>
      <c r="G84" s="7">
        <v>0</v>
      </c>
      <c r="H84" s="4">
        <v>1</v>
      </c>
      <c r="I84" s="7">
        <v>33</v>
      </c>
      <c r="J84" s="7">
        <v>0.82499999999999996</v>
      </c>
      <c r="K84" s="4">
        <v>1</v>
      </c>
      <c r="L84" s="7">
        <v>33</v>
      </c>
      <c r="M84" s="7">
        <v>0.82499999999999996</v>
      </c>
      <c r="N84" s="4">
        <v>5</v>
      </c>
      <c r="O84" s="7">
        <v>87</v>
      </c>
      <c r="P84" s="7">
        <v>2.1749999999999998</v>
      </c>
      <c r="Q84" s="4">
        <v>6</v>
      </c>
      <c r="R84" s="7">
        <v>120</v>
      </c>
      <c r="S84" s="7">
        <v>3</v>
      </c>
    </row>
    <row r="85" spans="1:19" ht="13.5" thickBot="1" x14ac:dyDescent="0.25">
      <c r="A85" s="2" t="s">
        <v>202</v>
      </c>
      <c r="B85" s="1" t="s">
        <v>201</v>
      </c>
      <c r="C85" s="2" t="s">
        <v>24</v>
      </c>
      <c r="D85" s="4">
        <v>4986</v>
      </c>
      <c r="E85" s="4">
        <v>0</v>
      </c>
      <c r="F85" s="7">
        <v>0</v>
      </c>
      <c r="G85" s="7">
        <v>0</v>
      </c>
      <c r="H85" s="4">
        <v>4</v>
      </c>
      <c r="I85" s="7">
        <v>86.93</v>
      </c>
      <c r="J85" s="7">
        <v>2.1732499999999999</v>
      </c>
      <c r="K85" s="4">
        <v>4</v>
      </c>
      <c r="L85" s="7">
        <v>86.93</v>
      </c>
      <c r="M85" s="7">
        <v>2.1732499999999999</v>
      </c>
      <c r="N85" s="4">
        <v>5</v>
      </c>
      <c r="O85" s="7">
        <v>39.46</v>
      </c>
      <c r="P85" s="7">
        <v>0.98650000000000004</v>
      </c>
      <c r="Q85" s="4">
        <v>9</v>
      </c>
      <c r="R85" s="7">
        <v>126.39</v>
      </c>
      <c r="S85" s="7">
        <v>3.1597499999999998</v>
      </c>
    </row>
    <row r="86" spans="1:19" ht="13.5" thickBot="1" x14ac:dyDescent="0.25">
      <c r="A86" s="2" t="s">
        <v>225</v>
      </c>
      <c r="B86" s="1" t="s">
        <v>224</v>
      </c>
      <c r="C86" s="2" t="s">
        <v>24</v>
      </c>
      <c r="D86" s="4">
        <v>4514</v>
      </c>
      <c r="E86" s="4">
        <v>0</v>
      </c>
      <c r="F86" s="7">
        <v>0</v>
      </c>
      <c r="G86" s="7">
        <v>0</v>
      </c>
      <c r="H86" s="4">
        <v>2</v>
      </c>
      <c r="I86" s="7">
        <v>40</v>
      </c>
      <c r="J86" s="7">
        <v>1</v>
      </c>
      <c r="K86" s="4">
        <v>2</v>
      </c>
      <c r="L86" s="7">
        <v>44</v>
      </c>
      <c r="M86" s="7">
        <v>1.1000000000000001</v>
      </c>
      <c r="N86" s="4">
        <v>2</v>
      </c>
      <c r="O86" s="7">
        <v>16</v>
      </c>
      <c r="P86" s="7">
        <v>0.4</v>
      </c>
      <c r="Q86" s="4">
        <v>4</v>
      </c>
      <c r="R86" s="7">
        <v>60</v>
      </c>
      <c r="S86" s="7">
        <v>1.5</v>
      </c>
    </row>
    <row r="87" spans="1:19" ht="13.5" thickBot="1" x14ac:dyDescent="0.25">
      <c r="A87" s="2" t="s">
        <v>241</v>
      </c>
      <c r="B87" s="1" t="s">
        <v>240</v>
      </c>
      <c r="C87" s="2" t="s">
        <v>24</v>
      </c>
      <c r="D87" s="4">
        <v>6838</v>
      </c>
      <c r="E87" s="4">
        <v>2</v>
      </c>
      <c r="F87" s="7">
        <v>51</v>
      </c>
      <c r="G87" s="7">
        <v>1.2749999999999999</v>
      </c>
      <c r="H87" s="4">
        <v>0</v>
      </c>
      <c r="I87" s="7">
        <v>0</v>
      </c>
      <c r="J87" s="7">
        <v>0</v>
      </c>
      <c r="K87" s="4">
        <v>2</v>
      </c>
      <c r="L87" s="7">
        <v>51</v>
      </c>
      <c r="M87" s="7">
        <v>1.2749999999999999</v>
      </c>
      <c r="N87" s="4">
        <v>2</v>
      </c>
      <c r="O87" s="7">
        <v>24</v>
      </c>
      <c r="P87" s="7">
        <v>0.6</v>
      </c>
      <c r="Q87" s="4">
        <v>4</v>
      </c>
      <c r="R87" s="7">
        <v>75</v>
      </c>
      <c r="S87" s="7">
        <v>1.875</v>
      </c>
    </row>
    <row r="88" spans="1:19" ht="13.5" thickBot="1" x14ac:dyDescent="0.25">
      <c r="A88" s="2" t="s">
        <v>247</v>
      </c>
      <c r="B88" s="1" t="s">
        <v>246</v>
      </c>
      <c r="C88" s="2" t="s">
        <v>24</v>
      </c>
      <c r="D88" s="4">
        <v>4869</v>
      </c>
      <c r="E88" s="77">
        <v>0</v>
      </c>
      <c r="F88" s="7">
        <v>0</v>
      </c>
      <c r="G88" s="7">
        <v>0</v>
      </c>
      <c r="H88" s="4">
        <v>1</v>
      </c>
      <c r="I88" s="7">
        <v>29</v>
      </c>
      <c r="J88" s="7">
        <v>0.72499999999999998</v>
      </c>
      <c r="K88" s="4">
        <v>1</v>
      </c>
      <c r="L88" s="7">
        <v>29</v>
      </c>
      <c r="M88" s="7">
        <v>0.72499999999999998</v>
      </c>
      <c r="N88" s="4">
        <v>4</v>
      </c>
      <c r="O88" s="7">
        <v>29</v>
      </c>
      <c r="P88" s="7">
        <v>0.72499999999999998</v>
      </c>
      <c r="Q88" s="4">
        <v>4</v>
      </c>
      <c r="R88" s="7">
        <v>58</v>
      </c>
      <c r="S88" s="7">
        <v>1.45</v>
      </c>
    </row>
    <row r="89" spans="1:19" ht="13.5" thickBot="1" x14ac:dyDescent="0.25">
      <c r="A89" s="2" t="s">
        <v>249</v>
      </c>
      <c r="B89" s="1" t="s">
        <v>248</v>
      </c>
      <c r="C89" s="2" t="s">
        <v>24</v>
      </c>
      <c r="D89" s="4">
        <v>4768</v>
      </c>
      <c r="E89" s="4">
        <v>0</v>
      </c>
      <c r="F89" s="7">
        <v>0</v>
      </c>
      <c r="G89" s="7">
        <v>0</v>
      </c>
      <c r="H89" s="4">
        <v>1</v>
      </c>
      <c r="I89" s="7">
        <v>32</v>
      </c>
      <c r="J89" s="7">
        <v>0.8</v>
      </c>
      <c r="K89" s="4">
        <v>1</v>
      </c>
      <c r="L89" s="7">
        <v>32</v>
      </c>
      <c r="M89" s="7">
        <v>0.8</v>
      </c>
      <c r="N89" s="4">
        <v>2</v>
      </c>
      <c r="O89" s="7">
        <v>58</v>
      </c>
      <c r="P89" s="7">
        <v>1.45</v>
      </c>
      <c r="Q89" s="4">
        <v>3</v>
      </c>
      <c r="R89" s="7">
        <v>90</v>
      </c>
      <c r="S89" s="7">
        <v>2.25</v>
      </c>
    </row>
    <row r="90" spans="1:19" ht="13.5" thickBot="1" x14ac:dyDescent="0.25">
      <c r="A90" s="2" t="s">
        <v>263</v>
      </c>
      <c r="B90" s="1" t="s">
        <v>262</v>
      </c>
      <c r="C90" s="2" t="s">
        <v>24</v>
      </c>
      <c r="D90" s="4">
        <v>5432</v>
      </c>
      <c r="E90" s="77">
        <v>0</v>
      </c>
      <c r="F90" s="7">
        <v>0</v>
      </c>
      <c r="G90" s="7">
        <v>0</v>
      </c>
      <c r="H90" s="4">
        <v>1</v>
      </c>
      <c r="I90" s="7">
        <v>40</v>
      </c>
      <c r="J90" s="7">
        <v>1</v>
      </c>
      <c r="K90" s="4">
        <v>1</v>
      </c>
      <c r="L90" s="7">
        <v>40</v>
      </c>
      <c r="M90" s="7">
        <v>1</v>
      </c>
      <c r="N90" s="4">
        <v>10</v>
      </c>
      <c r="O90" s="7">
        <v>145</v>
      </c>
      <c r="P90" s="7">
        <v>3.625</v>
      </c>
      <c r="Q90" s="4">
        <v>11</v>
      </c>
      <c r="R90" s="7">
        <v>185</v>
      </c>
      <c r="S90" s="7">
        <v>4.625</v>
      </c>
    </row>
    <row r="91" spans="1:19" ht="13.5" thickBot="1" x14ac:dyDescent="0.25">
      <c r="A91" s="2" t="s">
        <v>293</v>
      </c>
      <c r="B91" s="1" t="s">
        <v>292</v>
      </c>
      <c r="C91" s="2" t="s">
        <v>24</v>
      </c>
      <c r="D91" s="4">
        <v>6164</v>
      </c>
      <c r="E91" s="4">
        <v>0</v>
      </c>
      <c r="F91" s="7">
        <v>0</v>
      </c>
      <c r="G91" s="7">
        <v>0</v>
      </c>
      <c r="H91" s="4">
        <v>1</v>
      </c>
      <c r="I91" s="7">
        <v>40</v>
      </c>
      <c r="J91" s="7">
        <v>1</v>
      </c>
      <c r="K91" s="4">
        <v>1</v>
      </c>
      <c r="L91" s="7">
        <v>40</v>
      </c>
      <c r="M91" s="7">
        <v>1</v>
      </c>
      <c r="N91" s="4">
        <v>4</v>
      </c>
      <c r="O91" s="7">
        <v>97.5</v>
      </c>
      <c r="P91" s="7">
        <v>2.4375</v>
      </c>
      <c r="Q91" s="4">
        <v>5</v>
      </c>
      <c r="R91" s="7">
        <v>137.5</v>
      </c>
      <c r="S91" s="7">
        <v>3.4375</v>
      </c>
    </row>
    <row r="92" spans="1:19" ht="13.5" thickBot="1" x14ac:dyDescent="0.25">
      <c r="A92" s="2" t="s">
        <v>303</v>
      </c>
      <c r="B92" s="1" t="s">
        <v>302</v>
      </c>
      <c r="C92" s="2" t="s">
        <v>24</v>
      </c>
      <c r="D92" s="4">
        <v>5641</v>
      </c>
      <c r="E92" s="77">
        <v>0</v>
      </c>
      <c r="F92" s="7">
        <v>0</v>
      </c>
      <c r="G92" s="7">
        <v>0</v>
      </c>
      <c r="H92" s="4">
        <v>4</v>
      </c>
      <c r="I92" s="7">
        <v>58</v>
      </c>
      <c r="J92" s="7">
        <v>1.45</v>
      </c>
      <c r="K92" s="4">
        <v>4</v>
      </c>
      <c r="L92" s="7">
        <v>58</v>
      </c>
      <c r="M92" s="7">
        <v>1.45</v>
      </c>
      <c r="N92" s="4">
        <v>3</v>
      </c>
      <c r="O92" s="7">
        <v>7</v>
      </c>
      <c r="P92" s="7">
        <v>0.17499999999999999</v>
      </c>
      <c r="Q92" s="4">
        <v>7</v>
      </c>
      <c r="R92" s="7">
        <v>65</v>
      </c>
      <c r="S92" s="7">
        <v>1.625</v>
      </c>
    </row>
    <row r="93" spans="1:19" ht="13.5" thickBot="1" x14ac:dyDescent="0.25">
      <c r="A93" s="2" t="s">
        <v>347</v>
      </c>
      <c r="B93" s="1" t="s">
        <v>346</v>
      </c>
      <c r="C93" s="2" t="s">
        <v>24</v>
      </c>
      <c r="D93" s="4">
        <v>6831</v>
      </c>
      <c r="E93" s="4">
        <v>0</v>
      </c>
      <c r="F93" s="7">
        <v>0</v>
      </c>
      <c r="G93" s="7">
        <v>0</v>
      </c>
      <c r="H93" s="4">
        <v>2</v>
      </c>
      <c r="I93" s="7">
        <v>38</v>
      </c>
      <c r="J93" s="7">
        <v>0.95</v>
      </c>
      <c r="K93" s="4">
        <v>1</v>
      </c>
      <c r="L93" s="7">
        <v>38</v>
      </c>
      <c r="M93" s="7">
        <v>0.95</v>
      </c>
      <c r="N93" s="4">
        <v>1</v>
      </c>
      <c r="O93" s="7">
        <v>8</v>
      </c>
      <c r="P93" s="7">
        <v>0.2</v>
      </c>
      <c r="Q93" s="4">
        <v>3</v>
      </c>
      <c r="R93" s="7">
        <v>46</v>
      </c>
      <c r="S93" s="7">
        <v>1.1499999999999999</v>
      </c>
    </row>
    <row r="94" spans="1:19" ht="13.5" thickBot="1" x14ac:dyDescent="0.25">
      <c r="A94" s="2" t="s">
        <v>349</v>
      </c>
      <c r="B94" s="1" t="s">
        <v>348</v>
      </c>
      <c r="C94" s="2" t="s">
        <v>24</v>
      </c>
      <c r="D94" s="4">
        <v>6119</v>
      </c>
      <c r="E94" s="4">
        <v>0</v>
      </c>
      <c r="F94" s="7">
        <v>0</v>
      </c>
      <c r="G94" s="7">
        <v>0</v>
      </c>
      <c r="H94" s="4">
        <v>4</v>
      </c>
      <c r="I94" s="7">
        <v>108</v>
      </c>
      <c r="J94" s="7">
        <v>2.7</v>
      </c>
      <c r="K94" s="4">
        <v>4</v>
      </c>
      <c r="L94" s="7">
        <v>108</v>
      </c>
      <c r="M94" s="7">
        <v>2.7</v>
      </c>
      <c r="N94" s="4">
        <v>4</v>
      </c>
      <c r="O94" s="7">
        <v>104</v>
      </c>
      <c r="P94" s="7">
        <v>2.6</v>
      </c>
      <c r="Q94" s="4">
        <v>8</v>
      </c>
      <c r="R94" s="7">
        <v>212</v>
      </c>
      <c r="S94" s="7">
        <v>5.3</v>
      </c>
    </row>
    <row r="95" spans="1:19" ht="13.5" thickBot="1" x14ac:dyDescent="0.25">
      <c r="A95" s="2" t="s">
        <v>359</v>
      </c>
      <c r="B95" s="1" t="s">
        <v>358</v>
      </c>
      <c r="C95" s="2" t="s">
        <v>24</v>
      </c>
      <c r="D95" s="4">
        <v>6582</v>
      </c>
      <c r="E95" s="4">
        <v>0</v>
      </c>
      <c r="F95" s="7">
        <v>0</v>
      </c>
      <c r="G95" s="7">
        <v>0</v>
      </c>
      <c r="H95" s="4">
        <v>1</v>
      </c>
      <c r="I95" s="7">
        <v>40</v>
      </c>
      <c r="J95" s="7">
        <v>1</v>
      </c>
      <c r="K95" s="4">
        <v>1</v>
      </c>
      <c r="L95" s="7">
        <v>40</v>
      </c>
      <c r="M95" s="7">
        <v>1</v>
      </c>
      <c r="N95" s="4">
        <v>6</v>
      </c>
      <c r="O95" s="7">
        <v>111</v>
      </c>
      <c r="P95" s="7">
        <v>2.7749999999999999</v>
      </c>
      <c r="Q95" s="4">
        <v>7</v>
      </c>
      <c r="R95" s="7">
        <v>151</v>
      </c>
      <c r="S95" s="7">
        <v>3.7749999999999999</v>
      </c>
    </row>
    <row r="96" spans="1:19" ht="13.5" thickBot="1" x14ac:dyDescent="0.25">
      <c r="A96" s="2" t="s">
        <v>369</v>
      </c>
      <c r="B96" s="1" t="s">
        <v>368</v>
      </c>
      <c r="C96" s="2" t="s">
        <v>24</v>
      </c>
      <c r="D96" s="4">
        <v>5933</v>
      </c>
      <c r="E96" s="77">
        <v>0</v>
      </c>
      <c r="F96" s="7">
        <v>0</v>
      </c>
      <c r="G96" s="7">
        <v>0</v>
      </c>
      <c r="H96" s="4">
        <v>1</v>
      </c>
      <c r="I96" s="7">
        <v>30</v>
      </c>
      <c r="J96" s="7">
        <v>0.75</v>
      </c>
      <c r="K96" s="4">
        <v>1</v>
      </c>
      <c r="L96" s="7">
        <v>30</v>
      </c>
      <c r="M96" s="7">
        <v>0.75</v>
      </c>
      <c r="N96" s="4">
        <v>9</v>
      </c>
      <c r="O96" s="7">
        <v>130</v>
      </c>
      <c r="P96" s="7">
        <v>3.25</v>
      </c>
      <c r="Q96" s="4">
        <v>10</v>
      </c>
      <c r="R96" s="7">
        <v>160</v>
      </c>
      <c r="S96" s="7">
        <v>4</v>
      </c>
    </row>
    <row r="97" spans="1:19" ht="13.5" thickBot="1" x14ac:dyDescent="0.25">
      <c r="A97" s="2" t="s">
        <v>377</v>
      </c>
      <c r="B97" s="1" t="s">
        <v>376</v>
      </c>
      <c r="C97" s="2" t="s">
        <v>24</v>
      </c>
      <c r="D97" s="4">
        <v>4220</v>
      </c>
      <c r="E97" s="4">
        <v>0</v>
      </c>
      <c r="F97" s="7">
        <v>0</v>
      </c>
      <c r="G97" s="7">
        <v>0</v>
      </c>
      <c r="H97" s="4">
        <v>2</v>
      </c>
      <c r="I97" s="7">
        <v>64</v>
      </c>
      <c r="J97" s="7">
        <v>1.6</v>
      </c>
      <c r="K97" s="4">
        <v>2</v>
      </c>
      <c r="L97" s="7">
        <v>64</v>
      </c>
      <c r="M97" s="7">
        <v>1.6</v>
      </c>
      <c r="N97" s="4">
        <v>1</v>
      </c>
      <c r="O97" s="7">
        <v>3</v>
      </c>
      <c r="P97" s="7">
        <v>7.4999999999999997E-2</v>
      </c>
      <c r="Q97" s="4">
        <v>3</v>
      </c>
      <c r="R97" s="7">
        <v>67</v>
      </c>
      <c r="S97" s="7">
        <v>1.675</v>
      </c>
    </row>
    <row r="98" spans="1:19" ht="13.5" thickBot="1" x14ac:dyDescent="0.25">
      <c r="A98" s="2" t="s">
        <v>381</v>
      </c>
      <c r="B98" s="1" t="s">
        <v>380</v>
      </c>
      <c r="C98" s="2" t="s">
        <v>24</v>
      </c>
      <c r="D98" s="4">
        <v>4610</v>
      </c>
      <c r="E98" s="4">
        <v>1</v>
      </c>
      <c r="F98" s="7">
        <v>25</v>
      </c>
      <c r="G98" s="7">
        <v>0.625</v>
      </c>
      <c r="H98" s="4">
        <v>0</v>
      </c>
      <c r="I98" s="7">
        <v>0</v>
      </c>
      <c r="J98" s="7">
        <v>0</v>
      </c>
      <c r="K98" s="4">
        <v>1</v>
      </c>
      <c r="L98" s="7">
        <v>25</v>
      </c>
      <c r="M98" s="7">
        <v>0.625</v>
      </c>
      <c r="N98" s="4">
        <v>2</v>
      </c>
      <c r="O98" s="7">
        <v>37</v>
      </c>
      <c r="P98" s="7">
        <v>0.92500000000000004</v>
      </c>
      <c r="Q98" s="4">
        <v>2</v>
      </c>
      <c r="R98" s="7">
        <v>62</v>
      </c>
      <c r="S98" s="7">
        <v>1.55</v>
      </c>
    </row>
    <row r="99" spans="1:19" ht="13.5" thickBot="1" x14ac:dyDescent="0.25">
      <c r="A99" s="2" t="s">
        <v>387</v>
      </c>
      <c r="B99" s="1" t="s">
        <v>386</v>
      </c>
      <c r="C99" s="2" t="s">
        <v>24</v>
      </c>
      <c r="D99" s="4">
        <v>5531</v>
      </c>
      <c r="E99" s="4">
        <v>0</v>
      </c>
      <c r="F99" s="7">
        <v>0</v>
      </c>
      <c r="G99" s="7">
        <v>0</v>
      </c>
      <c r="H99" s="4">
        <v>3</v>
      </c>
      <c r="I99" s="7">
        <v>66</v>
      </c>
      <c r="J99" s="7">
        <v>1.65</v>
      </c>
      <c r="K99" s="4">
        <v>3</v>
      </c>
      <c r="L99" s="7">
        <v>66</v>
      </c>
      <c r="M99" s="7">
        <v>1.65</v>
      </c>
      <c r="N99" s="4">
        <v>1</v>
      </c>
      <c r="O99" s="7">
        <v>2</v>
      </c>
      <c r="P99" s="7">
        <v>0.05</v>
      </c>
      <c r="Q99" s="4">
        <v>4</v>
      </c>
      <c r="R99" s="7">
        <v>68</v>
      </c>
      <c r="S99" s="7">
        <v>1.7</v>
      </c>
    </row>
    <row r="100" spans="1:19" ht="13.5" thickBot="1" x14ac:dyDescent="0.25">
      <c r="A100" s="2" t="s">
        <v>391</v>
      </c>
      <c r="B100" s="1" t="s">
        <v>390</v>
      </c>
      <c r="C100" s="2" t="s">
        <v>24</v>
      </c>
      <c r="D100" s="4">
        <v>5107</v>
      </c>
      <c r="E100" s="4">
        <v>0</v>
      </c>
      <c r="F100" s="7">
        <v>0</v>
      </c>
      <c r="G100" s="7">
        <v>0</v>
      </c>
      <c r="H100" s="4">
        <v>1</v>
      </c>
      <c r="I100" s="7">
        <v>40</v>
      </c>
      <c r="J100" s="7">
        <v>1</v>
      </c>
      <c r="K100" s="4">
        <v>1</v>
      </c>
      <c r="L100" s="7">
        <v>40</v>
      </c>
      <c r="M100" s="7">
        <v>1</v>
      </c>
      <c r="N100" s="4">
        <v>3</v>
      </c>
      <c r="O100" s="7">
        <v>45</v>
      </c>
      <c r="P100" s="7">
        <v>1.125</v>
      </c>
      <c r="Q100" s="4">
        <v>4</v>
      </c>
      <c r="R100" s="7">
        <v>85</v>
      </c>
      <c r="S100" s="7">
        <v>2.125</v>
      </c>
    </row>
    <row r="101" spans="1:19" ht="13.5" thickBot="1" x14ac:dyDescent="0.25">
      <c r="A101" s="2" t="s">
        <v>397</v>
      </c>
      <c r="B101" s="1" t="s">
        <v>396</v>
      </c>
      <c r="C101" s="2" t="s">
        <v>24</v>
      </c>
      <c r="D101" s="4">
        <v>5784</v>
      </c>
      <c r="E101" s="4">
        <v>0</v>
      </c>
      <c r="F101" s="7">
        <v>0</v>
      </c>
      <c r="G101" s="7">
        <v>0</v>
      </c>
      <c r="H101" s="4">
        <v>1</v>
      </c>
      <c r="I101" s="7">
        <v>40</v>
      </c>
      <c r="J101" s="7">
        <v>1</v>
      </c>
      <c r="K101" s="4">
        <v>1</v>
      </c>
      <c r="L101" s="7">
        <v>40</v>
      </c>
      <c r="M101" s="7">
        <v>1</v>
      </c>
      <c r="N101" s="4">
        <v>7</v>
      </c>
      <c r="O101" s="7">
        <v>86</v>
      </c>
      <c r="P101" s="7">
        <v>2.15</v>
      </c>
      <c r="Q101" s="4">
        <v>8</v>
      </c>
      <c r="R101" s="7">
        <v>126</v>
      </c>
      <c r="S101" s="7">
        <v>3.15</v>
      </c>
    </row>
    <row r="102" spans="1:19" ht="13.5" thickBot="1" x14ac:dyDescent="0.25">
      <c r="A102" s="2" t="s">
        <v>403</v>
      </c>
      <c r="B102" s="1" t="s">
        <v>402</v>
      </c>
      <c r="C102" s="2" t="s">
        <v>24</v>
      </c>
      <c r="D102" s="4">
        <v>5713</v>
      </c>
      <c r="E102" s="4">
        <v>0</v>
      </c>
      <c r="F102" s="7">
        <v>0</v>
      </c>
      <c r="G102" s="7">
        <v>0</v>
      </c>
      <c r="H102" s="4">
        <v>1</v>
      </c>
      <c r="I102" s="7">
        <v>40</v>
      </c>
      <c r="J102" s="7">
        <v>1</v>
      </c>
      <c r="K102" s="4">
        <v>1</v>
      </c>
      <c r="L102" s="7">
        <v>40</v>
      </c>
      <c r="M102" s="7">
        <v>1</v>
      </c>
      <c r="N102" s="4">
        <v>4</v>
      </c>
      <c r="O102" s="7">
        <v>40</v>
      </c>
      <c r="P102" s="7">
        <v>1</v>
      </c>
      <c r="Q102" s="4">
        <v>5</v>
      </c>
      <c r="R102" s="7">
        <v>80</v>
      </c>
      <c r="S102" s="7">
        <v>2</v>
      </c>
    </row>
    <row r="103" spans="1:19" ht="13.5" thickBot="1" x14ac:dyDescent="0.25">
      <c r="A103" s="2" t="s">
        <v>407</v>
      </c>
      <c r="B103" s="1" t="s">
        <v>406</v>
      </c>
      <c r="C103" s="2" t="s">
        <v>24</v>
      </c>
      <c r="D103" s="4">
        <v>6443</v>
      </c>
      <c r="E103" s="4">
        <v>0</v>
      </c>
      <c r="F103" s="7">
        <v>0</v>
      </c>
      <c r="G103" s="7">
        <v>0</v>
      </c>
      <c r="H103" s="4">
        <v>1</v>
      </c>
      <c r="I103" s="7">
        <v>32</v>
      </c>
      <c r="J103" s="7">
        <v>0.8</v>
      </c>
      <c r="K103" s="4">
        <v>1</v>
      </c>
      <c r="L103" s="7">
        <v>32</v>
      </c>
      <c r="M103" s="7">
        <v>0.8</v>
      </c>
      <c r="N103" s="4">
        <v>2</v>
      </c>
      <c r="O103" s="7">
        <v>34</v>
      </c>
      <c r="P103" s="7">
        <v>0.85</v>
      </c>
      <c r="Q103" s="4">
        <v>3</v>
      </c>
      <c r="R103" s="7">
        <v>66</v>
      </c>
      <c r="S103" s="7">
        <v>1.65</v>
      </c>
    </row>
    <row r="104" spans="1:19" ht="13.5" thickBot="1" x14ac:dyDescent="0.25">
      <c r="A104" s="2" t="s">
        <v>411</v>
      </c>
      <c r="B104" s="1" t="s">
        <v>410</v>
      </c>
      <c r="C104" s="2" t="s">
        <v>24</v>
      </c>
      <c r="D104" s="4">
        <v>4080</v>
      </c>
      <c r="E104" s="4">
        <v>0</v>
      </c>
      <c r="F104" s="7">
        <v>0</v>
      </c>
      <c r="G104" s="7">
        <v>0</v>
      </c>
      <c r="H104" s="4">
        <v>1</v>
      </c>
      <c r="I104" s="7">
        <v>35</v>
      </c>
      <c r="J104" s="7">
        <v>0.875</v>
      </c>
      <c r="K104" s="4">
        <v>1</v>
      </c>
      <c r="L104" s="7">
        <v>35</v>
      </c>
      <c r="M104" s="7">
        <v>0.875</v>
      </c>
      <c r="N104" s="4">
        <v>1</v>
      </c>
      <c r="O104" s="7">
        <v>11</v>
      </c>
      <c r="P104" s="7">
        <v>0.27500000000000002</v>
      </c>
      <c r="Q104" s="4">
        <v>2</v>
      </c>
      <c r="R104" s="7">
        <v>46</v>
      </c>
      <c r="S104" s="7">
        <v>1.1499999999999999</v>
      </c>
    </row>
    <row r="105" spans="1:19" ht="13.5" thickBot="1" x14ac:dyDescent="0.25">
      <c r="A105" s="2" t="s">
        <v>413</v>
      </c>
      <c r="B105" s="1" t="s">
        <v>412</v>
      </c>
      <c r="C105" s="2" t="s">
        <v>24</v>
      </c>
      <c r="D105" s="4">
        <v>5210</v>
      </c>
      <c r="E105" s="4">
        <v>1</v>
      </c>
      <c r="F105" s="7">
        <v>40</v>
      </c>
      <c r="G105" s="7">
        <v>1</v>
      </c>
      <c r="H105" s="4">
        <v>3</v>
      </c>
      <c r="I105" s="7">
        <v>100</v>
      </c>
      <c r="J105" s="7">
        <v>2.5</v>
      </c>
      <c r="K105" s="4">
        <v>4</v>
      </c>
      <c r="L105" s="7">
        <v>140</v>
      </c>
      <c r="M105" s="7">
        <v>3.5</v>
      </c>
      <c r="N105" s="4">
        <v>1</v>
      </c>
      <c r="O105" s="7">
        <v>6</v>
      </c>
      <c r="P105" s="7">
        <v>0.15</v>
      </c>
      <c r="Q105" s="4">
        <v>5</v>
      </c>
      <c r="R105" s="7">
        <v>146</v>
      </c>
      <c r="S105" s="7">
        <v>3.65</v>
      </c>
    </row>
    <row r="106" spans="1:19" ht="13.5" thickBot="1" x14ac:dyDescent="0.25">
      <c r="A106" s="2" t="s">
        <v>415</v>
      </c>
      <c r="B106" s="1" t="s">
        <v>414</v>
      </c>
      <c r="C106" s="2" t="s">
        <v>24</v>
      </c>
      <c r="D106" s="4">
        <v>6997</v>
      </c>
      <c r="E106" s="4">
        <v>1</v>
      </c>
      <c r="F106" s="7">
        <v>40</v>
      </c>
      <c r="G106" s="7">
        <v>1</v>
      </c>
      <c r="H106" s="4">
        <v>0</v>
      </c>
      <c r="I106" s="7">
        <v>0</v>
      </c>
      <c r="J106" s="7">
        <v>0</v>
      </c>
      <c r="K106" s="4">
        <v>1</v>
      </c>
      <c r="L106" s="7">
        <v>40</v>
      </c>
      <c r="M106" s="7">
        <v>1</v>
      </c>
      <c r="N106" s="4">
        <v>12</v>
      </c>
      <c r="O106" s="7">
        <v>138</v>
      </c>
      <c r="P106" s="7">
        <v>3.45</v>
      </c>
      <c r="Q106" s="4">
        <v>13</v>
      </c>
      <c r="R106" s="7">
        <v>178</v>
      </c>
      <c r="S106" s="7">
        <v>4.45</v>
      </c>
    </row>
    <row r="107" spans="1:19" ht="13.5" thickBot="1" x14ac:dyDescent="0.25">
      <c r="A107" s="2" t="s">
        <v>429</v>
      </c>
      <c r="B107" s="1" t="s">
        <v>428</v>
      </c>
      <c r="C107" s="2" t="s">
        <v>24</v>
      </c>
      <c r="D107" s="4">
        <v>4168</v>
      </c>
      <c r="E107" s="4">
        <v>1</v>
      </c>
      <c r="F107" s="7">
        <v>36</v>
      </c>
      <c r="G107" s="7">
        <v>0.9</v>
      </c>
      <c r="H107" s="4">
        <v>0</v>
      </c>
      <c r="I107" s="7">
        <v>0</v>
      </c>
      <c r="J107" s="7">
        <v>0</v>
      </c>
      <c r="K107" s="4">
        <v>1</v>
      </c>
      <c r="L107" s="7">
        <v>36</v>
      </c>
      <c r="M107" s="7">
        <v>0.9</v>
      </c>
      <c r="N107" s="4">
        <v>6</v>
      </c>
      <c r="O107" s="7">
        <v>110</v>
      </c>
      <c r="P107" s="7">
        <v>2.75</v>
      </c>
      <c r="Q107" s="4">
        <v>7</v>
      </c>
      <c r="R107" s="7">
        <v>146</v>
      </c>
      <c r="S107" s="7">
        <v>3.65</v>
      </c>
    </row>
    <row r="108" spans="1:19" ht="13.5" thickBot="1" x14ac:dyDescent="0.25">
      <c r="A108" s="2" t="s">
        <v>441</v>
      </c>
      <c r="B108" s="1" t="s">
        <v>440</v>
      </c>
      <c r="C108" s="2" t="s">
        <v>24</v>
      </c>
      <c r="D108" s="4">
        <v>4934</v>
      </c>
      <c r="E108" s="4">
        <v>1</v>
      </c>
      <c r="F108" s="7">
        <v>18</v>
      </c>
      <c r="G108" s="7">
        <v>0.45</v>
      </c>
      <c r="H108" s="4">
        <v>5</v>
      </c>
      <c r="I108" s="7">
        <v>117</v>
      </c>
      <c r="J108" s="7">
        <v>2.9249999999999998</v>
      </c>
      <c r="K108" s="4">
        <v>6</v>
      </c>
      <c r="L108" s="7">
        <v>135</v>
      </c>
      <c r="M108" s="7">
        <v>3.375</v>
      </c>
      <c r="N108" s="4">
        <v>2</v>
      </c>
      <c r="O108" s="7">
        <v>13</v>
      </c>
      <c r="P108" s="7">
        <v>0.32500000000000001</v>
      </c>
      <c r="Q108" s="4">
        <v>8</v>
      </c>
      <c r="R108" s="7">
        <v>148</v>
      </c>
      <c r="S108" s="7">
        <v>3.7</v>
      </c>
    </row>
    <row r="109" spans="1:19" ht="13.5" thickBot="1" x14ac:dyDescent="0.25">
      <c r="A109" s="2" t="s">
        <v>443</v>
      </c>
      <c r="B109" s="1" t="s">
        <v>442</v>
      </c>
      <c r="C109" s="2" t="s">
        <v>24</v>
      </c>
      <c r="D109" s="4">
        <v>5857</v>
      </c>
      <c r="E109" s="4">
        <v>0</v>
      </c>
      <c r="F109" s="7">
        <v>0</v>
      </c>
      <c r="G109" s="7">
        <v>0</v>
      </c>
      <c r="H109" s="4">
        <v>3</v>
      </c>
      <c r="I109" s="7">
        <v>96</v>
      </c>
      <c r="J109" s="7">
        <v>2.4</v>
      </c>
      <c r="K109" s="4">
        <v>3</v>
      </c>
      <c r="L109" s="7">
        <v>96</v>
      </c>
      <c r="M109" s="7">
        <v>2.4</v>
      </c>
      <c r="N109" s="4">
        <v>1</v>
      </c>
      <c r="O109" s="7">
        <v>7</v>
      </c>
      <c r="P109" s="7">
        <v>0.17499999999999999</v>
      </c>
      <c r="Q109" s="4">
        <v>4</v>
      </c>
      <c r="R109" s="7">
        <v>103</v>
      </c>
      <c r="S109" s="7">
        <v>2.5750000000000002</v>
      </c>
    </row>
    <row r="110" spans="1:19" ht="13.5" thickBot="1" x14ac:dyDescent="0.25">
      <c r="A110" s="2" t="s">
        <v>465</v>
      </c>
      <c r="B110" s="1" t="s">
        <v>464</v>
      </c>
      <c r="C110" s="2" t="s">
        <v>24</v>
      </c>
      <c r="D110" s="4">
        <v>4141</v>
      </c>
      <c r="E110" s="4">
        <v>0</v>
      </c>
      <c r="F110" s="7">
        <v>0</v>
      </c>
      <c r="G110" s="7">
        <v>0</v>
      </c>
      <c r="H110" s="4">
        <v>2</v>
      </c>
      <c r="I110" s="7">
        <v>42</v>
      </c>
      <c r="J110" s="7">
        <v>1.05</v>
      </c>
      <c r="K110" s="4">
        <v>2</v>
      </c>
      <c r="L110" s="7">
        <v>42</v>
      </c>
      <c r="M110" s="7">
        <v>1.05</v>
      </c>
      <c r="N110" s="4">
        <v>1</v>
      </c>
      <c r="O110" s="7">
        <v>6</v>
      </c>
      <c r="P110" s="7">
        <v>0.15</v>
      </c>
      <c r="Q110" s="4">
        <v>3</v>
      </c>
      <c r="R110" s="7">
        <v>48</v>
      </c>
      <c r="S110" s="7">
        <v>1.2</v>
      </c>
    </row>
    <row r="111" spans="1:19" ht="13.5" thickBot="1" x14ac:dyDescent="0.25">
      <c r="A111" s="2" t="s">
        <v>472</v>
      </c>
      <c r="B111" s="1" t="s">
        <v>471</v>
      </c>
      <c r="C111" s="2" t="s">
        <v>24</v>
      </c>
      <c r="D111" s="4">
        <v>4197</v>
      </c>
      <c r="E111" s="4">
        <v>0</v>
      </c>
      <c r="F111" s="7">
        <v>0</v>
      </c>
      <c r="G111" s="7">
        <v>0</v>
      </c>
      <c r="H111" s="4">
        <v>1</v>
      </c>
      <c r="I111" s="7">
        <v>33</v>
      </c>
      <c r="J111" s="7">
        <v>0.82499999999999996</v>
      </c>
      <c r="K111" s="4">
        <v>1</v>
      </c>
      <c r="L111" s="7">
        <v>33</v>
      </c>
      <c r="M111" s="7">
        <v>0.82499999999999996</v>
      </c>
      <c r="N111" s="4">
        <v>3</v>
      </c>
      <c r="O111" s="7">
        <v>22</v>
      </c>
      <c r="P111" s="7">
        <v>0.55000000000000004</v>
      </c>
      <c r="Q111" s="4">
        <v>4</v>
      </c>
      <c r="R111" s="7">
        <v>55</v>
      </c>
      <c r="S111" s="7">
        <v>1.375</v>
      </c>
    </row>
    <row r="112" spans="1:19" ht="13.5" thickBot="1" x14ac:dyDescent="0.25">
      <c r="A112" s="2" t="s">
        <v>478</v>
      </c>
      <c r="B112" s="1" t="s">
        <v>477</v>
      </c>
      <c r="C112" s="2" t="s">
        <v>24</v>
      </c>
      <c r="D112" s="4">
        <v>5068</v>
      </c>
      <c r="E112" s="4">
        <v>1</v>
      </c>
      <c r="F112" s="7">
        <v>34</v>
      </c>
      <c r="G112" s="7">
        <v>0.85</v>
      </c>
      <c r="H112" s="4">
        <v>4</v>
      </c>
      <c r="I112" s="7">
        <v>88</v>
      </c>
      <c r="J112" s="7">
        <v>2.2000000000000002</v>
      </c>
      <c r="K112" s="4">
        <v>5</v>
      </c>
      <c r="L112" s="7">
        <v>122</v>
      </c>
      <c r="M112" s="7">
        <v>3.05</v>
      </c>
      <c r="N112" s="4">
        <v>1</v>
      </c>
      <c r="O112" s="7">
        <v>13</v>
      </c>
      <c r="P112" s="7">
        <v>0.32500000000000001</v>
      </c>
      <c r="Q112" s="4">
        <v>6</v>
      </c>
      <c r="R112" s="7">
        <v>135</v>
      </c>
      <c r="S112" s="7">
        <v>3.375</v>
      </c>
    </row>
    <row r="113" spans="1:19" ht="13.5" thickBot="1" x14ac:dyDescent="0.25">
      <c r="A113" s="2" t="s">
        <v>482</v>
      </c>
      <c r="B113" s="1" t="s">
        <v>481</v>
      </c>
      <c r="C113" s="2" t="s">
        <v>24</v>
      </c>
      <c r="D113" s="4">
        <v>4968</v>
      </c>
      <c r="E113" s="4">
        <v>0</v>
      </c>
      <c r="F113" s="7">
        <v>0</v>
      </c>
      <c r="G113" s="7">
        <v>0</v>
      </c>
      <c r="H113" s="4">
        <v>1</v>
      </c>
      <c r="I113" s="7">
        <v>35</v>
      </c>
      <c r="J113" s="7">
        <v>0.875</v>
      </c>
      <c r="K113" s="4">
        <v>1</v>
      </c>
      <c r="L113" s="7">
        <v>35</v>
      </c>
      <c r="M113" s="7">
        <v>0.875</v>
      </c>
      <c r="N113" s="4">
        <v>1</v>
      </c>
      <c r="O113" s="7">
        <v>20</v>
      </c>
      <c r="P113" s="7">
        <v>0.5</v>
      </c>
      <c r="Q113" s="4">
        <v>2</v>
      </c>
      <c r="R113" s="7">
        <v>55</v>
      </c>
      <c r="S113" s="7">
        <v>1.375</v>
      </c>
    </row>
    <row r="114" spans="1:19" ht="13.5" thickBot="1" x14ac:dyDescent="0.25">
      <c r="A114" s="2" t="s">
        <v>494</v>
      </c>
      <c r="B114" s="1" t="s">
        <v>493</v>
      </c>
      <c r="C114" s="2" t="s">
        <v>24</v>
      </c>
      <c r="D114" s="4">
        <v>4101</v>
      </c>
      <c r="E114" s="77">
        <v>0</v>
      </c>
      <c r="F114" s="7">
        <v>0</v>
      </c>
      <c r="G114" s="7">
        <v>0</v>
      </c>
      <c r="H114" s="4">
        <v>1</v>
      </c>
      <c r="I114" s="7">
        <v>60</v>
      </c>
      <c r="J114" s="7">
        <v>1.5</v>
      </c>
      <c r="K114" s="4">
        <v>1</v>
      </c>
      <c r="L114" s="7">
        <v>38</v>
      </c>
      <c r="M114" s="7">
        <v>0.95</v>
      </c>
      <c r="N114" s="4">
        <v>4</v>
      </c>
      <c r="O114" s="7">
        <v>57</v>
      </c>
      <c r="P114" s="7">
        <v>1.425</v>
      </c>
      <c r="Q114" s="4">
        <v>5</v>
      </c>
      <c r="R114" s="7">
        <v>95</v>
      </c>
      <c r="S114" s="7">
        <v>2.375</v>
      </c>
    </row>
    <row r="115" spans="1:19" ht="13.5" thickBot="1" x14ac:dyDescent="0.25">
      <c r="A115" s="2" t="s">
        <v>496</v>
      </c>
      <c r="B115" s="1" t="s">
        <v>495</v>
      </c>
      <c r="C115" s="2" t="s">
        <v>24</v>
      </c>
      <c r="D115" s="4">
        <v>5241</v>
      </c>
      <c r="E115" s="4">
        <v>0</v>
      </c>
      <c r="F115" s="7">
        <v>0</v>
      </c>
      <c r="G115" s="7">
        <v>0</v>
      </c>
      <c r="H115" s="4">
        <v>4</v>
      </c>
      <c r="I115" s="7">
        <v>84</v>
      </c>
      <c r="J115" s="7">
        <v>2.1</v>
      </c>
      <c r="K115" s="4">
        <v>4</v>
      </c>
      <c r="L115" s="7">
        <v>84</v>
      </c>
      <c r="M115" s="7">
        <v>2.1</v>
      </c>
      <c r="N115" s="4">
        <v>0</v>
      </c>
      <c r="O115" s="7">
        <v>0</v>
      </c>
      <c r="P115" s="7">
        <v>0</v>
      </c>
      <c r="Q115" s="4">
        <v>4</v>
      </c>
      <c r="R115" s="7">
        <v>84</v>
      </c>
      <c r="S115" s="7">
        <v>2.1</v>
      </c>
    </row>
    <row r="116" spans="1:19" ht="13.5" thickBot="1" x14ac:dyDescent="0.25">
      <c r="A116" s="2" t="s">
        <v>504</v>
      </c>
      <c r="B116" s="1" t="s">
        <v>503</v>
      </c>
      <c r="C116" s="2" t="s">
        <v>24</v>
      </c>
      <c r="D116" s="4">
        <v>5160</v>
      </c>
      <c r="E116" s="4">
        <v>0</v>
      </c>
      <c r="F116" s="7">
        <v>0</v>
      </c>
      <c r="G116" s="7">
        <v>0</v>
      </c>
      <c r="H116" s="4">
        <v>1</v>
      </c>
      <c r="I116" s="7">
        <v>40</v>
      </c>
      <c r="J116" s="7">
        <v>1</v>
      </c>
      <c r="K116" s="4">
        <v>1</v>
      </c>
      <c r="L116" s="7">
        <v>40</v>
      </c>
      <c r="M116" s="7">
        <v>1</v>
      </c>
      <c r="N116" s="4">
        <v>6</v>
      </c>
      <c r="O116" s="7">
        <v>82</v>
      </c>
      <c r="P116" s="7">
        <v>2.0499999999999998</v>
      </c>
      <c r="Q116" s="4">
        <v>7</v>
      </c>
      <c r="R116" s="7">
        <v>122</v>
      </c>
      <c r="S116" s="7">
        <v>3.05</v>
      </c>
    </row>
    <row r="117" spans="1:19" ht="13.5" thickBot="1" x14ac:dyDescent="0.25">
      <c r="A117" s="2" t="s">
        <v>506</v>
      </c>
      <c r="B117" s="1" t="s">
        <v>505</v>
      </c>
      <c r="C117" s="2" t="s">
        <v>24</v>
      </c>
      <c r="D117" s="4">
        <v>5841</v>
      </c>
      <c r="E117" s="4">
        <v>0</v>
      </c>
      <c r="F117" s="7">
        <v>0</v>
      </c>
      <c r="G117" s="7">
        <v>0</v>
      </c>
      <c r="H117" s="4">
        <v>1</v>
      </c>
      <c r="I117" s="7">
        <v>37.5</v>
      </c>
      <c r="J117" s="7">
        <v>0.9375</v>
      </c>
      <c r="K117" s="4">
        <v>1</v>
      </c>
      <c r="L117" s="7">
        <v>37.5</v>
      </c>
      <c r="M117" s="7">
        <v>0.9375</v>
      </c>
      <c r="N117" s="4">
        <v>4</v>
      </c>
      <c r="O117" s="7">
        <v>52</v>
      </c>
      <c r="P117" s="7">
        <v>1.3</v>
      </c>
      <c r="Q117" s="4">
        <v>5</v>
      </c>
      <c r="R117" s="7">
        <v>89.5</v>
      </c>
      <c r="S117" s="7">
        <v>2.2374999999999998</v>
      </c>
    </row>
    <row r="118" spans="1:19" ht="13.5" thickBot="1" x14ac:dyDescent="0.25">
      <c r="A118" s="2" t="s">
        <v>512</v>
      </c>
      <c r="B118" s="1" t="s">
        <v>511</v>
      </c>
      <c r="C118" s="2" t="s">
        <v>24</v>
      </c>
      <c r="D118" s="4">
        <v>4730</v>
      </c>
      <c r="E118" s="4">
        <v>0</v>
      </c>
      <c r="F118" s="7">
        <v>0</v>
      </c>
      <c r="G118" s="7">
        <v>0</v>
      </c>
      <c r="H118" s="4">
        <v>1</v>
      </c>
      <c r="I118" s="7">
        <v>32</v>
      </c>
      <c r="J118" s="7">
        <v>0.8</v>
      </c>
      <c r="K118" s="4">
        <v>1</v>
      </c>
      <c r="L118" s="7">
        <v>32</v>
      </c>
      <c r="M118" s="7">
        <v>0.8</v>
      </c>
      <c r="N118" s="4">
        <v>3</v>
      </c>
      <c r="O118" s="7">
        <v>30</v>
      </c>
      <c r="P118" s="7">
        <v>0.75</v>
      </c>
      <c r="Q118" s="4">
        <v>4</v>
      </c>
      <c r="R118" s="7">
        <v>62</v>
      </c>
      <c r="S118" s="7">
        <v>1.55</v>
      </c>
    </row>
    <row r="119" spans="1:19" ht="13.5" thickBot="1" x14ac:dyDescent="0.25">
      <c r="A119" s="2" t="s">
        <v>530</v>
      </c>
      <c r="B119" s="1" t="s">
        <v>529</v>
      </c>
      <c r="C119" s="2" t="s">
        <v>24</v>
      </c>
      <c r="D119" s="4">
        <v>5072</v>
      </c>
      <c r="E119" s="77">
        <v>0</v>
      </c>
      <c r="F119" s="7">
        <v>0</v>
      </c>
      <c r="G119" s="7">
        <v>0</v>
      </c>
      <c r="H119" s="4">
        <v>1</v>
      </c>
      <c r="I119" s="7">
        <v>40</v>
      </c>
      <c r="J119" s="7">
        <v>1</v>
      </c>
      <c r="K119" s="4">
        <v>1</v>
      </c>
      <c r="L119" s="7">
        <v>40</v>
      </c>
      <c r="M119" s="7">
        <v>1</v>
      </c>
      <c r="N119" s="4">
        <v>4</v>
      </c>
      <c r="O119" s="7">
        <v>77</v>
      </c>
      <c r="P119" s="7">
        <v>1.925</v>
      </c>
      <c r="Q119" s="4">
        <v>5</v>
      </c>
      <c r="R119" s="7">
        <v>117</v>
      </c>
      <c r="S119" s="7">
        <v>2.9249999999999998</v>
      </c>
    </row>
    <row r="120" spans="1:19" ht="13.5" thickBot="1" x14ac:dyDescent="0.25">
      <c r="A120" s="2" t="s">
        <v>532</v>
      </c>
      <c r="B120" s="1" t="s">
        <v>531</v>
      </c>
      <c r="C120" s="2" t="s">
        <v>24</v>
      </c>
      <c r="D120" s="4">
        <v>6634</v>
      </c>
      <c r="E120" s="4">
        <v>1</v>
      </c>
      <c r="F120" s="7">
        <v>40</v>
      </c>
      <c r="G120" s="7">
        <v>1</v>
      </c>
      <c r="H120" s="4">
        <v>2</v>
      </c>
      <c r="I120" s="7">
        <v>80</v>
      </c>
      <c r="J120" s="7">
        <v>2</v>
      </c>
      <c r="K120" s="4">
        <v>3</v>
      </c>
      <c r="L120" s="7">
        <v>120</v>
      </c>
      <c r="M120" s="7">
        <v>3</v>
      </c>
      <c r="N120" s="4">
        <v>1</v>
      </c>
      <c r="O120" s="7">
        <v>33</v>
      </c>
      <c r="P120" s="7">
        <v>0.82499999999999996</v>
      </c>
      <c r="Q120" s="4">
        <v>4</v>
      </c>
      <c r="R120" s="7">
        <v>153</v>
      </c>
      <c r="S120" s="7">
        <v>3.8250000000000002</v>
      </c>
    </row>
    <row r="121" spans="1:19" ht="13.5" thickBot="1" x14ac:dyDescent="0.25">
      <c r="A121" s="2" t="s">
        <v>544</v>
      </c>
      <c r="B121" s="1" t="s">
        <v>543</v>
      </c>
      <c r="C121" s="2" t="s">
        <v>24</v>
      </c>
      <c r="D121" s="4">
        <v>5302</v>
      </c>
      <c r="E121" s="4">
        <v>0</v>
      </c>
      <c r="F121" s="7">
        <v>0</v>
      </c>
      <c r="G121" s="7">
        <v>0</v>
      </c>
      <c r="H121" s="4">
        <v>3</v>
      </c>
      <c r="I121" s="7">
        <v>110</v>
      </c>
      <c r="J121" s="7">
        <v>2.75</v>
      </c>
      <c r="K121" s="4">
        <v>3</v>
      </c>
      <c r="L121" s="7">
        <v>110</v>
      </c>
      <c r="M121" s="7">
        <v>2.75</v>
      </c>
      <c r="N121" s="4">
        <v>11</v>
      </c>
      <c r="O121" s="7">
        <v>120</v>
      </c>
      <c r="P121" s="7">
        <v>3</v>
      </c>
      <c r="Q121" s="4">
        <v>14</v>
      </c>
      <c r="R121" s="7">
        <v>230</v>
      </c>
      <c r="S121" s="7">
        <v>5.75</v>
      </c>
    </row>
    <row r="122" spans="1:19" ht="13.5" thickBot="1" x14ac:dyDescent="0.25">
      <c r="A122" s="2" t="s">
        <v>546</v>
      </c>
      <c r="B122" s="1" t="s">
        <v>545</v>
      </c>
      <c r="C122" s="2" t="s">
        <v>24</v>
      </c>
      <c r="D122" s="4">
        <v>6834</v>
      </c>
      <c r="E122" s="4">
        <v>0</v>
      </c>
      <c r="F122" s="7">
        <v>0</v>
      </c>
      <c r="G122" s="7">
        <v>0</v>
      </c>
      <c r="H122" s="4">
        <v>4</v>
      </c>
      <c r="I122" s="7">
        <v>129</v>
      </c>
      <c r="J122" s="7">
        <v>3.2250000000000001</v>
      </c>
      <c r="K122" s="4">
        <v>4</v>
      </c>
      <c r="L122" s="7">
        <v>129</v>
      </c>
      <c r="M122" s="7">
        <v>3.2250000000000001</v>
      </c>
      <c r="N122" s="4">
        <v>4</v>
      </c>
      <c r="O122" s="7">
        <v>75</v>
      </c>
      <c r="P122" s="7">
        <v>1.875</v>
      </c>
      <c r="Q122" s="4">
        <v>8</v>
      </c>
      <c r="R122" s="7">
        <v>204</v>
      </c>
      <c r="S122" s="7">
        <v>5.0999999999999996</v>
      </c>
    </row>
    <row r="123" spans="1:19" ht="13.5" thickBot="1" x14ac:dyDescent="0.25">
      <c r="A123" s="2" t="s">
        <v>550</v>
      </c>
      <c r="B123" s="1" t="s">
        <v>549</v>
      </c>
      <c r="C123" s="2" t="s">
        <v>24</v>
      </c>
      <c r="D123" s="4">
        <v>4469</v>
      </c>
      <c r="E123" s="4">
        <v>0</v>
      </c>
      <c r="F123" s="7">
        <v>0</v>
      </c>
      <c r="G123" s="7">
        <v>0</v>
      </c>
      <c r="H123" s="4">
        <v>1</v>
      </c>
      <c r="I123" s="7">
        <v>30</v>
      </c>
      <c r="J123" s="7">
        <v>0.75</v>
      </c>
      <c r="K123" s="4">
        <v>1</v>
      </c>
      <c r="L123" s="7">
        <v>30</v>
      </c>
      <c r="M123" s="7">
        <v>0.75</v>
      </c>
      <c r="N123" s="4">
        <v>1</v>
      </c>
      <c r="O123" s="7">
        <v>18</v>
      </c>
      <c r="P123" s="7">
        <v>0.45</v>
      </c>
      <c r="Q123" s="4">
        <v>2</v>
      </c>
      <c r="R123" s="7">
        <v>48</v>
      </c>
      <c r="S123" s="7">
        <v>1.2</v>
      </c>
    </row>
    <row r="124" spans="1:19" ht="13.5" thickBot="1" x14ac:dyDescent="0.25">
      <c r="A124" s="2" t="s">
        <v>558</v>
      </c>
      <c r="B124" s="1" t="s">
        <v>557</v>
      </c>
      <c r="C124" s="2" t="s">
        <v>24</v>
      </c>
      <c r="D124" s="4">
        <v>6174</v>
      </c>
      <c r="E124" s="4">
        <v>0</v>
      </c>
      <c r="F124" s="7">
        <v>0</v>
      </c>
      <c r="G124" s="7">
        <v>0</v>
      </c>
      <c r="H124" s="4">
        <v>1</v>
      </c>
      <c r="I124" s="7">
        <v>24</v>
      </c>
      <c r="J124" s="7">
        <v>0.6</v>
      </c>
      <c r="K124" s="4">
        <v>1</v>
      </c>
      <c r="L124" s="7">
        <v>24</v>
      </c>
      <c r="M124" s="7">
        <v>0.6</v>
      </c>
      <c r="N124" s="4">
        <v>7</v>
      </c>
      <c r="O124" s="7">
        <v>114</v>
      </c>
      <c r="P124" s="7">
        <v>2.85</v>
      </c>
      <c r="Q124" s="4">
        <v>8</v>
      </c>
      <c r="R124" s="7">
        <v>138</v>
      </c>
      <c r="S124" s="7">
        <v>3.45</v>
      </c>
    </row>
    <row r="125" spans="1:19" ht="13.5" thickBot="1" x14ac:dyDescent="0.25">
      <c r="A125" s="2" t="s">
        <v>578</v>
      </c>
      <c r="B125" s="1" t="s">
        <v>577</v>
      </c>
      <c r="C125" s="2" t="s">
        <v>24</v>
      </c>
      <c r="D125" s="4">
        <v>5305</v>
      </c>
      <c r="E125" s="4">
        <v>0</v>
      </c>
      <c r="F125" s="7">
        <v>0</v>
      </c>
      <c r="G125" s="7">
        <v>0</v>
      </c>
      <c r="H125" s="4">
        <v>2</v>
      </c>
      <c r="I125" s="7">
        <v>60</v>
      </c>
      <c r="J125" s="7">
        <v>1.5</v>
      </c>
      <c r="K125" s="4">
        <v>2</v>
      </c>
      <c r="L125" s="7">
        <v>60</v>
      </c>
      <c r="M125" s="7">
        <v>1.5</v>
      </c>
      <c r="N125" s="4">
        <v>5</v>
      </c>
      <c r="O125" s="173">
        <v>58</v>
      </c>
      <c r="P125" s="56">
        <v>1.45</v>
      </c>
      <c r="Q125" s="4">
        <v>7</v>
      </c>
      <c r="R125" s="7">
        <v>118</v>
      </c>
      <c r="S125" s="7">
        <v>2.95</v>
      </c>
    </row>
    <row r="126" spans="1:19" ht="13.5" thickBot="1" x14ac:dyDescent="0.25">
      <c r="A126" s="2" t="s">
        <v>584</v>
      </c>
      <c r="B126" s="1" t="s">
        <v>583</v>
      </c>
      <c r="C126" s="2" t="s">
        <v>24</v>
      </c>
      <c r="D126" s="4">
        <v>6341</v>
      </c>
      <c r="E126" s="4">
        <v>0</v>
      </c>
      <c r="F126" s="7">
        <v>0</v>
      </c>
      <c r="G126" s="7">
        <v>0</v>
      </c>
      <c r="H126" s="4">
        <v>1</v>
      </c>
      <c r="I126" s="7">
        <v>40</v>
      </c>
      <c r="J126" s="7">
        <v>1</v>
      </c>
      <c r="K126" s="4">
        <v>1</v>
      </c>
      <c r="L126" s="7">
        <v>40</v>
      </c>
      <c r="M126" s="7">
        <v>1</v>
      </c>
      <c r="N126" s="4">
        <v>7</v>
      </c>
      <c r="O126" s="7">
        <v>120</v>
      </c>
      <c r="P126" s="7">
        <v>3</v>
      </c>
      <c r="Q126" s="4">
        <v>8</v>
      </c>
      <c r="R126" s="7">
        <v>160</v>
      </c>
      <c r="S126" s="7">
        <v>4</v>
      </c>
    </row>
    <row r="127" spans="1:19" ht="13.5" thickBot="1" x14ac:dyDescent="0.25">
      <c r="A127" s="2" t="s">
        <v>590</v>
      </c>
      <c r="B127" s="1" t="s">
        <v>589</v>
      </c>
      <c r="C127" s="2" t="s">
        <v>24</v>
      </c>
      <c r="D127" s="4">
        <v>5433</v>
      </c>
      <c r="E127" s="4">
        <v>0</v>
      </c>
      <c r="F127" s="7">
        <v>0</v>
      </c>
      <c r="G127" s="7">
        <v>0</v>
      </c>
      <c r="H127" s="4">
        <v>10</v>
      </c>
      <c r="I127" s="7">
        <v>114</v>
      </c>
      <c r="J127" s="7">
        <v>2.85</v>
      </c>
      <c r="K127" s="4">
        <v>10</v>
      </c>
      <c r="L127" s="7">
        <v>114</v>
      </c>
      <c r="M127" s="7">
        <v>2.85</v>
      </c>
      <c r="N127" s="4">
        <v>0</v>
      </c>
      <c r="O127" s="7">
        <v>0</v>
      </c>
      <c r="P127" s="7">
        <v>0</v>
      </c>
      <c r="Q127" s="4">
        <v>10</v>
      </c>
      <c r="R127" s="7">
        <v>114</v>
      </c>
      <c r="S127" s="7">
        <v>2.85</v>
      </c>
    </row>
    <row r="128" spans="1:19" ht="13.5" thickBot="1" x14ac:dyDescent="0.25">
      <c r="A128" s="2" t="s">
        <v>602</v>
      </c>
      <c r="B128" s="1" t="s">
        <v>601</v>
      </c>
      <c r="C128" s="2" t="s">
        <v>24</v>
      </c>
      <c r="D128" s="4">
        <v>6654</v>
      </c>
      <c r="E128" s="4">
        <v>0</v>
      </c>
      <c r="F128" s="7">
        <v>0</v>
      </c>
      <c r="G128" s="7">
        <v>0</v>
      </c>
      <c r="H128" s="4">
        <v>1</v>
      </c>
      <c r="I128" s="7">
        <v>40</v>
      </c>
      <c r="J128" s="7">
        <v>1</v>
      </c>
      <c r="K128" s="4">
        <v>1</v>
      </c>
      <c r="L128" s="7">
        <v>40</v>
      </c>
      <c r="M128" s="7">
        <v>1</v>
      </c>
      <c r="N128" s="4">
        <v>6</v>
      </c>
      <c r="O128" s="7">
        <v>163</v>
      </c>
      <c r="P128" s="7">
        <v>4.0750000000000002</v>
      </c>
      <c r="Q128" s="4">
        <v>9</v>
      </c>
      <c r="R128" s="7">
        <v>203</v>
      </c>
      <c r="S128" s="7">
        <v>5.0750000000000002</v>
      </c>
    </row>
    <row r="129" spans="1:19" ht="13.5" thickBot="1" x14ac:dyDescent="0.25">
      <c r="A129" s="2" t="s">
        <v>606</v>
      </c>
      <c r="B129" s="1" t="s">
        <v>605</v>
      </c>
      <c r="C129" s="2" t="s">
        <v>24</v>
      </c>
      <c r="D129" s="4">
        <v>4105</v>
      </c>
      <c r="E129" s="4">
        <v>0</v>
      </c>
      <c r="F129" s="7">
        <v>0</v>
      </c>
      <c r="G129" s="7">
        <v>0</v>
      </c>
      <c r="H129" s="4">
        <v>1</v>
      </c>
      <c r="I129" s="7">
        <v>28</v>
      </c>
      <c r="J129" s="7">
        <v>0.7</v>
      </c>
      <c r="K129" s="4">
        <v>1</v>
      </c>
      <c r="L129" s="7">
        <v>28</v>
      </c>
      <c r="M129" s="7">
        <v>0.7</v>
      </c>
      <c r="N129" s="4">
        <v>3</v>
      </c>
      <c r="O129" s="7">
        <v>10</v>
      </c>
      <c r="P129" s="7">
        <v>0.25</v>
      </c>
      <c r="Q129" s="4">
        <v>4</v>
      </c>
      <c r="R129" s="7">
        <v>38</v>
      </c>
      <c r="S129" s="7">
        <v>0.95</v>
      </c>
    </row>
    <row r="130" spans="1:19" ht="13.5" thickBot="1" x14ac:dyDescent="0.25">
      <c r="A130" s="2" t="s">
        <v>620</v>
      </c>
      <c r="B130" s="1" t="s">
        <v>619</v>
      </c>
      <c r="C130" s="2" t="s">
        <v>24</v>
      </c>
      <c r="D130" s="4">
        <v>5413</v>
      </c>
      <c r="E130" s="4">
        <v>0</v>
      </c>
      <c r="F130" s="7">
        <v>0</v>
      </c>
      <c r="G130" s="7">
        <v>0</v>
      </c>
      <c r="H130" s="4">
        <v>1</v>
      </c>
      <c r="I130" s="7">
        <v>27</v>
      </c>
      <c r="J130" s="7">
        <v>0.67500000000000004</v>
      </c>
      <c r="K130" s="4">
        <v>1</v>
      </c>
      <c r="L130" s="7">
        <v>27</v>
      </c>
      <c r="M130" s="7">
        <v>0.67500000000000004</v>
      </c>
      <c r="N130" s="4">
        <v>2</v>
      </c>
      <c r="O130" s="7">
        <v>46</v>
      </c>
      <c r="P130" s="7">
        <v>1.1499999999999999</v>
      </c>
      <c r="Q130" s="4">
        <v>3</v>
      </c>
      <c r="R130" s="7">
        <v>73</v>
      </c>
      <c r="S130" s="7">
        <v>1.825</v>
      </c>
    </row>
    <row r="131" spans="1:19" ht="13.5" thickBot="1" x14ac:dyDescent="0.25">
      <c r="A131" s="2" t="s">
        <v>626</v>
      </c>
      <c r="B131" s="1" t="s">
        <v>625</v>
      </c>
      <c r="C131" s="2" t="s">
        <v>24</v>
      </c>
      <c r="D131" s="4">
        <v>6847</v>
      </c>
      <c r="E131" s="4">
        <v>0</v>
      </c>
      <c r="F131" s="7">
        <v>0</v>
      </c>
      <c r="G131" s="7">
        <v>0</v>
      </c>
      <c r="H131" s="4">
        <v>2</v>
      </c>
      <c r="I131" s="7">
        <v>44</v>
      </c>
      <c r="J131" s="7">
        <v>1.1000000000000001</v>
      </c>
      <c r="K131" s="4">
        <v>2</v>
      </c>
      <c r="L131" s="7">
        <v>44</v>
      </c>
      <c r="M131" s="7">
        <v>1.1000000000000001</v>
      </c>
      <c r="N131" s="4">
        <v>6</v>
      </c>
      <c r="O131" s="7">
        <v>67</v>
      </c>
      <c r="P131" s="7">
        <v>1.675</v>
      </c>
      <c r="Q131" s="4">
        <v>8</v>
      </c>
      <c r="R131" s="7">
        <v>111</v>
      </c>
      <c r="S131" s="7">
        <v>2.7749999999999999</v>
      </c>
    </row>
    <row r="132" spans="1:19" ht="13.5" thickBot="1" x14ac:dyDescent="0.25">
      <c r="A132" s="2" t="s">
        <v>628</v>
      </c>
      <c r="B132" s="1" t="s">
        <v>627</v>
      </c>
      <c r="C132" s="2" t="s">
        <v>24</v>
      </c>
      <c r="D132" s="4">
        <v>6240</v>
      </c>
      <c r="E132" s="4">
        <v>0</v>
      </c>
      <c r="F132" s="7">
        <v>0</v>
      </c>
      <c r="G132" s="7">
        <v>0</v>
      </c>
      <c r="H132" s="4">
        <v>1</v>
      </c>
      <c r="I132" s="7">
        <v>45</v>
      </c>
      <c r="J132" s="7">
        <v>1.125</v>
      </c>
      <c r="K132" s="4">
        <v>1</v>
      </c>
      <c r="L132" s="7">
        <v>45</v>
      </c>
      <c r="M132" s="7">
        <v>1.125</v>
      </c>
      <c r="N132" s="4">
        <v>3</v>
      </c>
      <c r="O132" s="7">
        <v>70</v>
      </c>
      <c r="P132" s="7">
        <v>1.75</v>
      </c>
      <c r="Q132" s="4">
        <v>4</v>
      </c>
      <c r="R132" s="7">
        <v>115</v>
      </c>
      <c r="S132" s="7">
        <v>2.875</v>
      </c>
    </row>
    <row r="133" spans="1:19" ht="13.5" thickBot="1" x14ac:dyDescent="0.25">
      <c r="A133" s="2" t="s">
        <v>634</v>
      </c>
      <c r="B133" s="1" t="s">
        <v>633</v>
      </c>
      <c r="C133" s="2" t="s">
        <v>24</v>
      </c>
      <c r="D133" s="4">
        <v>5376</v>
      </c>
      <c r="E133" s="4">
        <v>0</v>
      </c>
      <c r="F133" s="7">
        <v>0</v>
      </c>
      <c r="G133" s="7">
        <v>0</v>
      </c>
      <c r="H133" s="4">
        <v>1</v>
      </c>
      <c r="I133" s="7">
        <v>37</v>
      </c>
      <c r="J133" s="7">
        <v>0.92500000000000004</v>
      </c>
      <c r="K133" s="4">
        <v>1</v>
      </c>
      <c r="L133" s="7">
        <v>37</v>
      </c>
      <c r="M133" s="7">
        <v>0.92500000000000004</v>
      </c>
      <c r="N133" s="4">
        <v>2</v>
      </c>
      <c r="O133" s="7">
        <v>27</v>
      </c>
      <c r="P133" s="7">
        <v>0.67500000000000004</v>
      </c>
      <c r="Q133" s="4">
        <v>3</v>
      </c>
      <c r="R133" s="7">
        <v>64</v>
      </c>
      <c r="S133" s="7">
        <v>1.6</v>
      </c>
    </row>
    <row r="134" spans="1:19" ht="13.5" thickBot="1" x14ac:dyDescent="0.25">
      <c r="A134" s="2" t="s">
        <v>640</v>
      </c>
      <c r="B134" s="1" t="s">
        <v>639</v>
      </c>
      <c r="C134" s="2" t="s">
        <v>24</v>
      </c>
      <c r="D134" s="4">
        <v>5523</v>
      </c>
      <c r="E134" s="4">
        <v>1</v>
      </c>
      <c r="F134" s="7">
        <v>35</v>
      </c>
      <c r="G134" s="7">
        <v>0.875</v>
      </c>
      <c r="H134" s="77">
        <v>4</v>
      </c>
      <c r="I134" s="7">
        <v>79</v>
      </c>
      <c r="J134" s="7">
        <v>1.9750000000000001</v>
      </c>
      <c r="K134" s="4">
        <v>5</v>
      </c>
      <c r="L134" s="7">
        <v>114</v>
      </c>
      <c r="M134" s="7">
        <v>2.85</v>
      </c>
      <c r="N134" s="4">
        <v>1</v>
      </c>
      <c r="O134" s="7">
        <v>1</v>
      </c>
      <c r="P134" s="7">
        <v>2.5000000000000001E-2</v>
      </c>
      <c r="Q134" s="4">
        <v>6</v>
      </c>
      <c r="R134" s="7">
        <v>115</v>
      </c>
      <c r="S134" s="7">
        <v>2.875</v>
      </c>
    </row>
    <row r="135" spans="1:19" ht="13.5" thickBot="1" x14ac:dyDescent="0.25">
      <c r="A135" s="2" t="s">
        <v>654</v>
      </c>
      <c r="B135" s="1" t="s">
        <v>653</v>
      </c>
      <c r="C135" s="2" t="s">
        <v>24</v>
      </c>
      <c r="D135" s="4">
        <v>4659</v>
      </c>
      <c r="E135" s="4">
        <v>0</v>
      </c>
      <c r="F135" s="7">
        <v>0</v>
      </c>
      <c r="G135" s="7">
        <v>0</v>
      </c>
      <c r="H135" s="4">
        <v>1</v>
      </c>
      <c r="I135" s="7">
        <v>40</v>
      </c>
      <c r="J135" s="7">
        <v>1</v>
      </c>
      <c r="K135" s="4">
        <v>1</v>
      </c>
      <c r="L135" s="7">
        <v>40</v>
      </c>
      <c r="M135" s="7">
        <v>1</v>
      </c>
      <c r="N135" s="4">
        <v>5</v>
      </c>
      <c r="O135" s="7">
        <v>88</v>
      </c>
      <c r="P135" s="7">
        <v>2.2000000000000002</v>
      </c>
      <c r="Q135" s="4">
        <v>6</v>
      </c>
      <c r="R135" s="7">
        <v>128</v>
      </c>
      <c r="S135" s="7">
        <v>3.2</v>
      </c>
    </row>
    <row r="136" spans="1:19" ht="13.5" thickBot="1" x14ac:dyDescent="0.25">
      <c r="A136" s="2" t="s">
        <v>666</v>
      </c>
      <c r="B136" s="1" t="s">
        <v>665</v>
      </c>
      <c r="C136" s="2" t="s">
        <v>24</v>
      </c>
      <c r="D136" s="4">
        <v>6295</v>
      </c>
      <c r="E136" s="4">
        <v>1</v>
      </c>
      <c r="F136" s="7">
        <v>40</v>
      </c>
      <c r="G136" s="7">
        <v>1</v>
      </c>
      <c r="H136" s="4">
        <v>0</v>
      </c>
      <c r="I136" s="7">
        <v>0</v>
      </c>
      <c r="J136" s="7">
        <v>0</v>
      </c>
      <c r="K136" s="4">
        <v>1</v>
      </c>
      <c r="L136" s="7">
        <v>40</v>
      </c>
      <c r="M136" s="7">
        <v>1</v>
      </c>
      <c r="N136" s="4">
        <v>6</v>
      </c>
      <c r="O136" s="7">
        <v>172</v>
      </c>
      <c r="P136" s="7">
        <v>4.3</v>
      </c>
      <c r="Q136" s="4">
        <v>7</v>
      </c>
      <c r="R136" s="7">
        <v>212</v>
      </c>
      <c r="S136" s="7">
        <v>5.3</v>
      </c>
    </row>
    <row r="137" spans="1:19" ht="13.5" thickBot="1" x14ac:dyDescent="0.25">
      <c r="A137" s="2" t="s">
        <v>682</v>
      </c>
      <c r="B137" s="1" t="s">
        <v>681</v>
      </c>
      <c r="C137" s="2" t="s">
        <v>24</v>
      </c>
      <c r="D137" s="4">
        <v>4434</v>
      </c>
      <c r="E137" s="4">
        <v>0</v>
      </c>
      <c r="F137" s="7">
        <v>0</v>
      </c>
      <c r="G137" s="7">
        <v>0</v>
      </c>
      <c r="H137" s="4">
        <v>1</v>
      </c>
      <c r="I137" s="7">
        <v>40</v>
      </c>
      <c r="J137" s="7">
        <v>1</v>
      </c>
      <c r="K137" s="4">
        <v>1</v>
      </c>
      <c r="L137" s="7">
        <v>40</v>
      </c>
      <c r="M137" s="7">
        <v>1</v>
      </c>
      <c r="N137" s="4">
        <v>2</v>
      </c>
      <c r="O137" s="7">
        <v>52</v>
      </c>
      <c r="P137" s="7">
        <v>1.3</v>
      </c>
      <c r="Q137" s="4">
        <v>2</v>
      </c>
      <c r="R137" s="7">
        <v>92</v>
      </c>
      <c r="S137" s="7">
        <v>2.2999999999999998</v>
      </c>
    </row>
    <row r="138" spans="1:19" ht="13.5" thickBot="1" x14ac:dyDescent="0.25">
      <c r="A138" s="2" t="s">
        <v>692</v>
      </c>
      <c r="B138" s="1" t="s">
        <v>691</v>
      </c>
      <c r="C138" s="2" t="s">
        <v>24</v>
      </c>
      <c r="D138" s="4">
        <v>4375</v>
      </c>
      <c r="E138" s="4">
        <v>1</v>
      </c>
      <c r="F138" s="7">
        <v>30</v>
      </c>
      <c r="G138" s="7">
        <v>0.75</v>
      </c>
      <c r="H138" s="4">
        <v>1</v>
      </c>
      <c r="I138" s="7">
        <v>40</v>
      </c>
      <c r="J138" s="7">
        <v>1</v>
      </c>
      <c r="K138" s="4">
        <v>2</v>
      </c>
      <c r="L138" s="7">
        <v>70</v>
      </c>
      <c r="M138" s="7">
        <v>1.75</v>
      </c>
      <c r="N138" s="4">
        <v>4</v>
      </c>
      <c r="O138" s="7">
        <v>63</v>
      </c>
      <c r="P138" s="7">
        <v>1.575</v>
      </c>
      <c r="Q138" s="4">
        <v>6</v>
      </c>
      <c r="R138" s="7">
        <v>133</v>
      </c>
      <c r="S138" s="7">
        <v>3.3250000000000002</v>
      </c>
    </row>
    <row r="139" spans="1:19" ht="13.5" thickBot="1" x14ac:dyDescent="0.25">
      <c r="A139" s="2" t="s">
        <v>696</v>
      </c>
      <c r="B139" s="1" t="s">
        <v>695</v>
      </c>
      <c r="C139" s="2" t="s">
        <v>24</v>
      </c>
      <c r="D139" s="4">
        <v>5101</v>
      </c>
      <c r="E139" s="77">
        <v>1</v>
      </c>
      <c r="F139" s="7">
        <v>35</v>
      </c>
      <c r="G139" s="7">
        <v>0.875</v>
      </c>
      <c r="H139" s="4">
        <v>0</v>
      </c>
      <c r="I139" s="7">
        <v>0</v>
      </c>
      <c r="J139" s="7">
        <v>0</v>
      </c>
      <c r="K139" s="4">
        <v>1</v>
      </c>
      <c r="L139" s="7">
        <v>35</v>
      </c>
      <c r="M139" s="7">
        <v>0.875</v>
      </c>
      <c r="N139" s="4">
        <v>10</v>
      </c>
      <c r="O139" s="7">
        <v>131.75</v>
      </c>
      <c r="P139" s="7">
        <v>3.2937500000000002</v>
      </c>
      <c r="Q139" s="4">
        <v>11</v>
      </c>
      <c r="R139" s="7">
        <v>166.75</v>
      </c>
      <c r="S139" s="7">
        <v>4.1687500000000002</v>
      </c>
    </row>
    <row r="140" spans="1:19" ht="13.5" thickBot="1" x14ac:dyDescent="0.25">
      <c r="A140" s="2" t="s">
        <v>702</v>
      </c>
      <c r="B140" s="1" t="s">
        <v>701</v>
      </c>
      <c r="C140" s="2" t="s">
        <v>24</v>
      </c>
      <c r="D140" s="4">
        <v>4038</v>
      </c>
      <c r="E140" s="4">
        <v>0</v>
      </c>
      <c r="F140" s="7">
        <v>0</v>
      </c>
      <c r="G140" s="7">
        <v>0</v>
      </c>
      <c r="H140" s="4">
        <v>1</v>
      </c>
      <c r="I140" s="7">
        <v>35</v>
      </c>
      <c r="J140" s="7">
        <v>0.875</v>
      </c>
      <c r="K140" s="4">
        <v>1</v>
      </c>
      <c r="L140" s="7">
        <v>35</v>
      </c>
      <c r="M140" s="7">
        <v>0.875</v>
      </c>
      <c r="N140" s="4">
        <v>3</v>
      </c>
      <c r="O140" s="7">
        <v>38</v>
      </c>
      <c r="P140" s="7">
        <v>0.95</v>
      </c>
      <c r="Q140" s="4">
        <v>4</v>
      </c>
      <c r="R140" s="7">
        <v>73</v>
      </c>
      <c r="S140" s="7">
        <v>1.825</v>
      </c>
    </row>
    <row r="141" spans="1:19" ht="13.5" thickBot="1" x14ac:dyDescent="0.25">
      <c r="A141" s="2" t="s">
        <v>710</v>
      </c>
      <c r="B141" s="1" t="s">
        <v>709</v>
      </c>
      <c r="C141" s="2" t="s">
        <v>24</v>
      </c>
      <c r="D141" s="4">
        <v>5635</v>
      </c>
      <c r="E141" s="4">
        <v>0</v>
      </c>
      <c r="F141" s="7">
        <v>0</v>
      </c>
      <c r="G141" s="7">
        <v>0</v>
      </c>
      <c r="H141" s="4">
        <v>1</v>
      </c>
      <c r="I141" s="7">
        <v>40</v>
      </c>
      <c r="J141" s="7">
        <v>1</v>
      </c>
      <c r="K141" s="4">
        <v>1</v>
      </c>
      <c r="L141" s="7">
        <v>40</v>
      </c>
      <c r="M141" s="7">
        <v>1</v>
      </c>
      <c r="N141" s="4">
        <v>3</v>
      </c>
      <c r="O141" s="7">
        <v>38</v>
      </c>
      <c r="P141" s="7">
        <v>0.95</v>
      </c>
      <c r="Q141" s="4">
        <v>4</v>
      </c>
      <c r="R141" s="7">
        <v>78</v>
      </c>
      <c r="S141" s="7">
        <v>1.95</v>
      </c>
    </row>
    <row r="142" spans="1:19" ht="13.5" thickBot="1" x14ac:dyDescent="0.25">
      <c r="A142" s="2" t="s">
        <v>732</v>
      </c>
      <c r="B142" s="1" t="s">
        <v>731</v>
      </c>
      <c r="C142" s="2" t="s">
        <v>24</v>
      </c>
      <c r="D142" s="4">
        <v>4046</v>
      </c>
      <c r="E142" s="4">
        <v>1</v>
      </c>
      <c r="F142" s="7">
        <v>11.1</v>
      </c>
      <c r="G142" s="7">
        <v>0.27750000000000002</v>
      </c>
      <c r="H142" s="4">
        <v>2</v>
      </c>
      <c r="I142" s="7">
        <v>60.97</v>
      </c>
      <c r="J142" s="7">
        <v>1.5242500000000001</v>
      </c>
      <c r="K142" s="4">
        <v>3</v>
      </c>
      <c r="L142" s="7">
        <v>72.069999999999993</v>
      </c>
      <c r="M142" s="7">
        <v>1.80175</v>
      </c>
      <c r="N142" s="4">
        <v>2</v>
      </c>
      <c r="O142" s="7">
        <v>30.06</v>
      </c>
      <c r="P142" s="7">
        <v>0.75149999999999995</v>
      </c>
      <c r="Q142" s="4">
        <v>5</v>
      </c>
      <c r="R142" s="7">
        <v>102.13</v>
      </c>
      <c r="S142" s="7">
        <v>2.5532499999999998</v>
      </c>
    </row>
    <row r="143" spans="1:19" ht="13.5" thickBot="1" x14ac:dyDescent="0.25">
      <c r="A143" s="2" t="s">
        <v>744</v>
      </c>
      <c r="B143" s="1" t="s">
        <v>743</v>
      </c>
      <c r="C143" s="2" t="s">
        <v>24</v>
      </c>
      <c r="D143" s="4">
        <v>5479</v>
      </c>
      <c r="E143" s="77">
        <v>1</v>
      </c>
      <c r="F143" s="7">
        <v>40</v>
      </c>
      <c r="G143" s="7">
        <v>1</v>
      </c>
      <c r="H143" s="77">
        <v>0</v>
      </c>
      <c r="I143" s="7">
        <v>0</v>
      </c>
      <c r="J143" s="7">
        <v>0</v>
      </c>
      <c r="K143" s="77">
        <v>1</v>
      </c>
      <c r="L143" s="7">
        <v>40</v>
      </c>
      <c r="M143" s="7">
        <v>1</v>
      </c>
      <c r="N143" s="77">
        <v>5</v>
      </c>
      <c r="O143" s="7">
        <v>63</v>
      </c>
      <c r="P143" s="7">
        <v>1.575</v>
      </c>
      <c r="Q143" s="77">
        <v>6</v>
      </c>
      <c r="R143" s="7">
        <v>103</v>
      </c>
      <c r="S143" s="7">
        <v>2.5750000000000002</v>
      </c>
    </row>
    <row r="144" spans="1:19" ht="13.5" thickBot="1" x14ac:dyDescent="0.25">
      <c r="A144" s="2" t="s">
        <v>753</v>
      </c>
      <c r="B144" s="1" t="s">
        <v>752</v>
      </c>
      <c r="C144" s="2" t="s">
        <v>24</v>
      </c>
      <c r="D144" s="4">
        <v>6680</v>
      </c>
      <c r="E144" s="4">
        <v>0</v>
      </c>
      <c r="F144" s="7">
        <v>0</v>
      </c>
      <c r="G144" s="7">
        <v>0</v>
      </c>
      <c r="H144" s="4">
        <v>1</v>
      </c>
      <c r="I144" s="7">
        <v>35</v>
      </c>
      <c r="J144" s="7">
        <v>0.875</v>
      </c>
      <c r="K144" s="4">
        <v>1</v>
      </c>
      <c r="L144" s="7">
        <v>35</v>
      </c>
      <c r="M144" s="7">
        <v>0.875</v>
      </c>
      <c r="N144" s="77">
        <v>1</v>
      </c>
      <c r="O144" s="7">
        <v>22</v>
      </c>
      <c r="P144" s="7">
        <v>0.55000000000000004</v>
      </c>
      <c r="Q144" s="4">
        <v>2</v>
      </c>
      <c r="R144" s="7">
        <v>57</v>
      </c>
      <c r="S144" s="7">
        <v>1.425</v>
      </c>
    </row>
    <row r="145" spans="1:19" ht="13.5" thickBot="1" x14ac:dyDescent="0.25">
      <c r="A145" s="2" t="s">
        <v>761</v>
      </c>
      <c r="B145" s="1" t="s">
        <v>760</v>
      </c>
      <c r="C145" s="2" t="s">
        <v>24</v>
      </c>
      <c r="D145" s="4">
        <v>6033</v>
      </c>
      <c r="E145" s="4">
        <v>0</v>
      </c>
      <c r="F145" s="7">
        <v>0</v>
      </c>
      <c r="G145" s="7">
        <v>0</v>
      </c>
      <c r="H145" s="4">
        <v>1</v>
      </c>
      <c r="I145" s="7">
        <v>40</v>
      </c>
      <c r="J145" s="7">
        <v>1</v>
      </c>
      <c r="K145" s="4">
        <v>1</v>
      </c>
      <c r="L145" s="7">
        <v>40</v>
      </c>
      <c r="M145" s="7">
        <v>1</v>
      </c>
      <c r="N145" s="4">
        <v>2</v>
      </c>
      <c r="O145" s="7">
        <v>21</v>
      </c>
      <c r="P145" s="7">
        <v>0.52500000000000002</v>
      </c>
      <c r="Q145" s="4">
        <v>3</v>
      </c>
      <c r="R145" s="7">
        <v>61</v>
      </c>
      <c r="S145" s="7">
        <v>1.5249999999999999</v>
      </c>
    </row>
    <row r="146" spans="1:19" ht="13.5" thickBot="1" x14ac:dyDescent="0.25">
      <c r="A146" s="2" t="s">
        <v>769</v>
      </c>
      <c r="B146" s="1" t="s">
        <v>768</v>
      </c>
      <c r="C146" s="2" t="s">
        <v>24</v>
      </c>
      <c r="D146" s="4">
        <v>4576</v>
      </c>
      <c r="E146" s="4">
        <v>0</v>
      </c>
      <c r="F146" s="7">
        <v>0</v>
      </c>
      <c r="G146" s="7">
        <v>0</v>
      </c>
      <c r="H146" s="4">
        <v>1</v>
      </c>
      <c r="I146" s="7">
        <v>32</v>
      </c>
      <c r="J146" s="7">
        <v>0.8</v>
      </c>
      <c r="K146" s="4">
        <v>1</v>
      </c>
      <c r="L146" s="7">
        <v>32</v>
      </c>
      <c r="M146" s="7">
        <v>0.8</v>
      </c>
      <c r="N146" s="4">
        <v>5</v>
      </c>
      <c r="O146" s="7">
        <v>32</v>
      </c>
      <c r="P146" s="7">
        <v>0.8</v>
      </c>
      <c r="Q146" s="4">
        <v>6</v>
      </c>
      <c r="R146" s="7">
        <v>64</v>
      </c>
      <c r="S146" s="7">
        <v>1.6</v>
      </c>
    </row>
    <row r="147" spans="1:19" ht="13.5" thickBot="1" x14ac:dyDescent="0.25">
      <c r="A147" s="2" t="s">
        <v>783</v>
      </c>
      <c r="B147" s="1" t="s">
        <v>782</v>
      </c>
      <c r="C147" s="2" t="s">
        <v>24</v>
      </c>
      <c r="D147" s="4">
        <v>4757</v>
      </c>
      <c r="E147" s="4">
        <v>0</v>
      </c>
      <c r="F147" s="7">
        <v>0</v>
      </c>
      <c r="G147" s="7">
        <v>0</v>
      </c>
      <c r="H147" s="4">
        <v>2</v>
      </c>
      <c r="I147" s="7">
        <v>60</v>
      </c>
      <c r="J147" s="7">
        <v>1.5</v>
      </c>
      <c r="K147" s="4">
        <v>2</v>
      </c>
      <c r="L147" s="7">
        <v>60</v>
      </c>
      <c r="M147" s="7">
        <v>1.5</v>
      </c>
      <c r="N147" s="4">
        <v>5</v>
      </c>
      <c r="O147" s="7">
        <v>54</v>
      </c>
      <c r="P147" s="7">
        <v>1.35</v>
      </c>
      <c r="Q147" s="4">
        <v>7</v>
      </c>
      <c r="R147" s="7">
        <v>114</v>
      </c>
      <c r="S147" s="7">
        <v>2.85</v>
      </c>
    </row>
    <row r="148" spans="1:19" ht="13.5" thickBot="1" x14ac:dyDescent="0.25">
      <c r="A148" s="2" t="s">
        <v>789</v>
      </c>
      <c r="B148" s="1" t="s">
        <v>788</v>
      </c>
      <c r="C148" s="2" t="s">
        <v>24</v>
      </c>
      <c r="D148" s="4">
        <v>4614</v>
      </c>
      <c r="E148" s="4">
        <v>0</v>
      </c>
      <c r="F148" s="7">
        <v>0</v>
      </c>
      <c r="G148" s="7">
        <v>0</v>
      </c>
      <c r="H148" s="4">
        <v>1</v>
      </c>
      <c r="I148" s="7">
        <v>320</v>
      </c>
      <c r="J148" s="7">
        <v>8</v>
      </c>
      <c r="K148" s="4">
        <v>1</v>
      </c>
      <c r="L148" s="7">
        <v>32</v>
      </c>
      <c r="M148" s="7">
        <v>0.8</v>
      </c>
      <c r="N148" s="4">
        <v>3</v>
      </c>
      <c r="O148" s="7">
        <v>33</v>
      </c>
      <c r="P148" s="7">
        <v>0.82499999999999996</v>
      </c>
      <c r="Q148" s="4">
        <v>4</v>
      </c>
      <c r="R148" s="7">
        <v>65</v>
      </c>
      <c r="S148" s="7">
        <v>1.625</v>
      </c>
    </row>
    <row r="149" spans="1:19" ht="13.5" thickBot="1" x14ac:dyDescent="0.25">
      <c r="A149" s="2" t="s">
        <v>801</v>
      </c>
      <c r="B149" s="1" t="s">
        <v>800</v>
      </c>
      <c r="C149" s="2" t="s">
        <v>24</v>
      </c>
      <c r="D149" s="4">
        <v>6999</v>
      </c>
      <c r="E149" s="4">
        <v>5</v>
      </c>
      <c r="F149" s="7">
        <v>88</v>
      </c>
      <c r="G149" s="7">
        <v>2.2000000000000002</v>
      </c>
      <c r="H149" s="4">
        <v>0</v>
      </c>
      <c r="I149" s="7">
        <v>0</v>
      </c>
      <c r="J149" s="7">
        <v>0</v>
      </c>
      <c r="K149" s="4">
        <v>5</v>
      </c>
      <c r="L149" s="7">
        <v>88</v>
      </c>
      <c r="M149" s="7">
        <v>2.2000000000000002</v>
      </c>
      <c r="N149" s="4">
        <v>5</v>
      </c>
      <c r="O149" s="7">
        <v>70</v>
      </c>
      <c r="P149" s="7">
        <v>1.75</v>
      </c>
      <c r="Q149" s="4">
        <v>10</v>
      </c>
      <c r="R149" s="7">
        <v>158</v>
      </c>
      <c r="S149" s="7">
        <v>3.95</v>
      </c>
    </row>
    <row r="150" spans="1:19" ht="13.5" thickBot="1" x14ac:dyDescent="0.25">
      <c r="A150" s="2" t="s">
        <v>811</v>
      </c>
      <c r="B150" s="1" t="s">
        <v>810</v>
      </c>
      <c r="C150" s="2" t="s">
        <v>24</v>
      </c>
      <c r="D150" s="4">
        <v>4837</v>
      </c>
      <c r="E150" s="4">
        <v>1</v>
      </c>
      <c r="F150" s="7">
        <v>32</v>
      </c>
      <c r="G150" s="7">
        <v>0.8</v>
      </c>
      <c r="H150" s="4">
        <v>0</v>
      </c>
      <c r="I150" s="7">
        <v>0</v>
      </c>
      <c r="J150" s="7">
        <v>0</v>
      </c>
      <c r="K150" s="4">
        <v>1</v>
      </c>
      <c r="L150" s="7">
        <v>32</v>
      </c>
      <c r="M150" s="7">
        <v>0.8</v>
      </c>
      <c r="N150" s="4">
        <v>4</v>
      </c>
      <c r="O150" s="7">
        <v>107</v>
      </c>
      <c r="P150" s="7">
        <v>2.6749999999999998</v>
      </c>
      <c r="Q150" s="4">
        <v>5</v>
      </c>
      <c r="R150" s="7">
        <v>139</v>
      </c>
      <c r="S150" s="7">
        <v>3.4750000000000001</v>
      </c>
    </row>
    <row r="151" spans="1:19" ht="13.5" thickBot="1" x14ac:dyDescent="0.25">
      <c r="A151" s="2" t="s">
        <v>829</v>
      </c>
      <c r="B151" s="1" t="s">
        <v>828</v>
      </c>
      <c r="C151" s="2" t="s">
        <v>24</v>
      </c>
      <c r="D151" s="4">
        <v>5240</v>
      </c>
      <c r="E151" s="4">
        <v>0</v>
      </c>
      <c r="F151" s="7">
        <v>0</v>
      </c>
      <c r="G151" s="7">
        <v>0</v>
      </c>
      <c r="H151" s="4">
        <v>8</v>
      </c>
      <c r="I151" s="7">
        <v>126.5</v>
      </c>
      <c r="J151" s="7">
        <v>3.1625000000000001</v>
      </c>
      <c r="K151" s="4">
        <v>8</v>
      </c>
      <c r="L151" s="7">
        <v>126.5</v>
      </c>
      <c r="M151" s="7">
        <v>3.1625000000000001</v>
      </c>
      <c r="N151" s="4">
        <v>0</v>
      </c>
      <c r="O151" s="7">
        <v>0</v>
      </c>
      <c r="P151" s="7">
        <v>0</v>
      </c>
      <c r="Q151" s="4">
        <v>8</v>
      </c>
      <c r="R151" s="7">
        <v>126.5</v>
      </c>
      <c r="S151" s="7">
        <v>3.1625000000000001</v>
      </c>
    </row>
    <row r="152" spans="1:19" ht="13.5" thickBot="1" x14ac:dyDescent="0.25">
      <c r="A152" s="2" t="s">
        <v>31</v>
      </c>
      <c r="B152" s="1" t="s">
        <v>30</v>
      </c>
      <c r="C152" s="2" t="s">
        <v>32</v>
      </c>
      <c r="D152" s="4">
        <v>7410</v>
      </c>
      <c r="E152" s="4">
        <v>1</v>
      </c>
      <c r="F152" s="7">
        <v>40</v>
      </c>
      <c r="G152" s="7">
        <v>1</v>
      </c>
      <c r="H152" s="4">
        <v>1</v>
      </c>
      <c r="I152" s="7">
        <v>29</v>
      </c>
      <c r="J152" s="7">
        <v>0.72499999999999998</v>
      </c>
      <c r="K152" s="4">
        <v>2</v>
      </c>
      <c r="L152" s="7">
        <v>69</v>
      </c>
      <c r="M152" s="7">
        <v>1.7250000000000001</v>
      </c>
      <c r="N152" s="4">
        <v>4</v>
      </c>
      <c r="O152" s="7">
        <v>56</v>
      </c>
      <c r="P152" s="7">
        <v>1.4</v>
      </c>
      <c r="Q152" s="4">
        <v>6</v>
      </c>
      <c r="R152" s="7">
        <v>125</v>
      </c>
      <c r="S152" s="7">
        <v>3.125</v>
      </c>
    </row>
    <row r="153" spans="1:19" ht="13.5" thickBot="1" x14ac:dyDescent="0.25">
      <c r="A153" s="2" t="s">
        <v>34</v>
      </c>
      <c r="B153" s="1" t="s">
        <v>33</v>
      </c>
      <c r="C153" s="2" t="s">
        <v>32</v>
      </c>
      <c r="D153" s="4">
        <v>11600</v>
      </c>
      <c r="E153" s="4">
        <v>1</v>
      </c>
      <c r="F153" s="7">
        <v>40</v>
      </c>
      <c r="G153" s="7">
        <v>1</v>
      </c>
      <c r="H153" s="4">
        <v>0</v>
      </c>
      <c r="I153" s="7">
        <v>0</v>
      </c>
      <c r="J153" s="7">
        <v>0</v>
      </c>
      <c r="K153" s="4">
        <v>1</v>
      </c>
      <c r="L153" s="7">
        <v>40</v>
      </c>
      <c r="M153" s="7">
        <v>1</v>
      </c>
      <c r="N153" s="4">
        <v>4</v>
      </c>
      <c r="O153" s="7">
        <v>58</v>
      </c>
      <c r="P153" s="7">
        <v>1.45</v>
      </c>
      <c r="Q153" s="4">
        <v>5</v>
      </c>
      <c r="R153" s="7">
        <v>98</v>
      </c>
      <c r="S153" s="7">
        <v>2.4500000000000002</v>
      </c>
    </row>
    <row r="154" spans="1:19" ht="13.5" thickBot="1" x14ac:dyDescent="0.25">
      <c r="A154" s="2" t="s">
        <v>36</v>
      </c>
      <c r="B154" s="1" t="s">
        <v>35</v>
      </c>
      <c r="C154" s="2" t="s">
        <v>32</v>
      </c>
      <c r="D154" s="4">
        <v>11569</v>
      </c>
      <c r="E154" s="4">
        <v>2</v>
      </c>
      <c r="F154" s="7">
        <v>70</v>
      </c>
      <c r="G154" s="7">
        <v>1.75</v>
      </c>
      <c r="H154" s="4">
        <v>0</v>
      </c>
      <c r="I154" s="7">
        <v>0</v>
      </c>
      <c r="J154" s="7">
        <v>0</v>
      </c>
      <c r="K154" s="4">
        <v>2</v>
      </c>
      <c r="L154" s="7">
        <v>70</v>
      </c>
      <c r="M154" s="7">
        <v>1.75</v>
      </c>
      <c r="N154" s="4">
        <v>17</v>
      </c>
      <c r="O154" s="7">
        <v>297</v>
      </c>
      <c r="P154" s="7">
        <v>7.4249999999999998</v>
      </c>
      <c r="Q154" s="4">
        <v>19</v>
      </c>
      <c r="R154" s="7">
        <v>367</v>
      </c>
      <c r="S154" s="7">
        <v>9.1750000000000007</v>
      </c>
    </row>
    <row r="155" spans="1:19" ht="13.5" thickBot="1" x14ac:dyDescent="0.25">
      <c r="A155" s="2" t="s">
        <v>38</v>
      </c>
      <c r="B155" s="1" t="s">
        <v>37</v>
      </c>
      <c r="C155" s="2" t="s">
        <v>32</v>
      </c>
      <c r="D155" s="4">
        <v>9706</v>
      </c>
      <c r="E155" s="4">
        <v>1</v>
      </c>
      <c r="F155" s="7">
        <v>40</v>
      </c>
      <c r="G155" s="7">
        <v>1</v>
      </c>
      <c r="H155" s="4">
        <v>2</v>
      </c>
      <c r="I155" s="7">
        <v>70</v>
      </c>
      <c r="J155" s="7">
        <v>1.75</v>
      </c>
      <c r="K155" s="4">
        <v>3</v>
      </c>
      <c r="L155" s="7">
        <v>110</v>
      </c>
      <c r="M155" s="7">
        <v>2.75</v>
      </c>
      <c r="N155" s="4">
        <v>12</v>
      </c>
      <c r="O155" s="7">
        <v>229</v>
      </c>
      <c r="P155" s="7">
        <v>5.7249999999999996</v>
      </c>
      <c r="Q155" s="4">
        <v>15</v>
      </c>
      <c r="R155" s="7">
        <v>339</v>
      </c>
      <c r="S155" s="7">
        <v>8.4749999999999996</v>
      </c>
    </row>
    <row r="156" spans="1:19" ht="13.5" thickBot="1" x14ac:dyDescent="0.25">
      <c r="A156" s="2" t="s">
        <v>49</v>
      </c>
      <c r="B156" s="1" t="s">
        <v>48</v>
      </c>
      <c r="C156" s="2" t="s">
        <v>32</v>
      </c>
      <c r="D156" s="4">
        <v>11902</v>
      </c>
      <c r="E156" s="4">
        <v>2</v>
      </c>
      <c r="F156" s="7">
        <v>80</v>
      </c>
      <c r="G156" s="7">
        <v>2</v>
      </c>
      <c r="H156" s="4">
        <v>2</v>
      </c>
      <c r="I156" s="7">
        <v>80</v>
      </c>
      <c r="J156" s="7">
        <v>2</v>
      </c>
      <c r="K156" s="4">
        <v>4</v>
      </c>
      <c r="L156" s="7">
        <v>160</v>
      </c>
      <c r="M156" s="7">
        <v>4</v>
      </c>
      <c r="N156" s="4">
        <v>3</v>
      </c>
      <c r="O156" s="7">
        <v>45</v>
      </c>
      <c r="P156" s="7">
        <v>1.125</v>
      </c>
      <c r="Q156" s="4">
        <v>7</v>
      </c>
      <c r="R156" s="7">
        <v>205</v>
      </c>
      <c r="S156" s="7">
        <v>5.125</v>
      </c>
    </row>
    <row r="157" spans="1:19" ht="13.5" thickBot="1" x14ac:dyDescent="0.25">
      <c r="A157" s="2" t="s">
        <v>57</v>
      </c>
      <c r="B157" s="1" t="s">
        <v>56</v>
      </c>
      <c r="C157" s="2" t="s">
        <v>32</v>
      </c>
      <c r="D157" s="4">
        <v>11000</v>
      </c>
      <c r="E157" s="4">
        <v>1</v>
      </c>
      <c r="F157" s="7">
        <v>32</v>
      </c>
      <c r="G157" s="7">
        <v>0.8</v>
      </c>
      <c r="H157" s="4">
        <v>3</v>
      </c>
      <c r="I157" s="7">
        <v>104</v>
      </c>
      <c r="J157" s="7">
        <v>2.6</v>
      </c>
      <c r="K157" s="4">
        <v>3</v>
      </c>
      <c r="L157" s="7">
        <v>104</v>
      </c>
      <c r="M157" s="7">
        <v>2.6</v>
      </c>
      <c r="N157" s="4">
        <v>3</v>
      </c>
      <c r="O157" s="7">
        <v>84</v>
      </c>
      <c r="P157" s="7">
        <v>2.1</v>
      </c>
      <c r="Q157" s="4">
        <v>6</v>
      </c>
      <c r="R157" s="7">
        <v>188</v>
      </c>
      <c r="S157" s="7">
        <v>4.7</v>
      </c>
    </row>
    <row r="158" spans="1:19" ht="13.5" thickBot="1" x14ac:dyDescent="0.25">
      <c r="A158" s="2" t="s">
        <v>74</v>
      </c>
      <c r="B158" s="1" t="s">
        <v>73</v>
      </c>
      <c r="C158" s="2" t="s">
        <v>32</v>
      </c>
      <c r="D158" s="4">
        <v>7172</v>
      </c>
      <c r="E158" s="4">
        <v>0</v>
      </c>
      <c r="F158" s="7">
        <v>0</v>
      </c>
      <c r="G158" s="7">
        <v>0</v>
      </c>
      <c r="H158" s="4">
        <v>2</v>
      </c>
      <c r="I158" s="7">
        <v>88</v>
      </c>
      <c r="J158" s="7">
        <v>2.2000000000000002</v>
      </c>
      <c r="K158" s="4">
        <v>2</v>
      </c>
      <c r="L158" s="7">
        <v>86</v>
      </c>
      <c r="M158" s="7">
        <v>2.15</v>
      </c>
      <c r="N158" s="4">
        <v>2</v>
      </c>
      <c r="O158" s="7">
        <v>8.5</v>
      </c>
      <c r="P158" s="7">
        <v>0.21249999999999999</v>
      </c>
      <c r="Q158" s="4">
        <v>4</v>
      </c>
      <c r="R158" s="7">
        <v>94.5</v>
      </c>
      <c r="S158" s="7">
        <v>2.3624999999999998</v>
      </c>
    </row>
    <row r="159" spans="1:19" ht="13.5" thickBot="1" x14ac:dyDescent="0.25">
      <c r="A159" s="2" t="s">
        <v>84</v>
      </c>
      <c r="B159" s="1" t="s">
        <v>83</v>
      </c>
      <c r="C159" s="2" t="s">
        <v>32</v>
      </c>
      <c r="D159" s="4">
        <v>11598</v>
      </c>
      <c r="E159" s="4">
        <v>2</v>
      </c>
      <c r="F159" s="7">
        <v>70</v>
      </c>
      <c r="G159" s="7">
        <v>1.75</v>
      </c>
      <c r="H159" s="77">
        <v>1</v>
      </c>
      <c r="I159" s="7">
        <v>30</v>
      </c>
      <c r="J159" s="7">
        <v>0.75</v>
      </c>
      <c r="K159" s="4">
        <v>3</v>
      </c>
      <c r="L159" s="7">
        <v>100</v>
      </c>
      <c r="M159" s="7">
        <v>2.5</v>
      </c>
      <c r="N159" s="4">
        <v>3</v>
      </c>
      <c r="O159" s="7">
        <v>44</v>
      </c>
      <c r="P159" s="7">
        <v>1.1000000000000001</v>
      </c>
      <c r="Q159" s="4">
        <v>6</v>
      </c>
      <c r="R159" s="7">
        <v>144</v>
      </c>
      <c r="S159" s="7">
        <v>3.6</v>
      </c>
    </row>
    <row r="160" spans="1:19" ht="13.5" thickBot="1" x14ac:dyDescent="0.25">
      <c r="A160" s="2" t="s">
        <v>104</v>
      </c>
      <c r="B160" s="1" t="s">
        <v>103</v>
      </c>
      <c r="C160" s="2" t="s">
        <v>32</v>
      </c>
      <c r="D160" s="4">
        <v>9197</v>
      </c>
      <c r="E160" s="4">
        <v>1</v>
      </c>
      <c r="F160" s="7">
        <v>40</v>
      </c>
      <c r="G160" s="7">
        <v>1</v>
      </c>
      <c r="H160" s="4">
        <v>1</v>
      </c>
      <c r="I160" s="7">
        <v>40</v>
      </c>
      <c r="J160" s="7">
        <v>1</v>
      </c>
      <c r="K160" s="4">
        <v>2</v>
      </c>
      <c r="L160" s="7">
        <v>80</v>
      </c>
      <c r="M160" s="7">
        <v>2</v>
      </c>
      <c r="N160" s="4">
        <v>9</v>
      </c>
      <c r="O160" s="7">
        <v>173</v>
      </c>
      <c r="P160" s="7">
        <v>4.3250000000000002</v>
      </c>
      <c r="Q160" s="4">
        <v>10</v>
      </c>
      <c r="R160" s="7">
        <v>253</v>
      </c>
      <c r="S160" s="7">
        <v>6.3250000000000002</v>
      </c>
    </row>
    <row r="161" spans="1:19" ht="13.5" thickBot="1" x14ac:dyDescent="0.25">
      <c r="A161" s="2" t="s">
        <v>112</v>
      </c>
      <c r="B161" s="1" t="s">
        <v>111</v>
      </c>
      <c r="C161" s="2" t="s">
        <v>32</v>
      </c>
      <c r="D161" s="4">
        <v>11825</v>
      </c>
      <c r="E161" s="4">
        <v>2</v>
      </c>
      <c r="F161" s="7">
        <v>72</v>
      </c>
      <c r="G161" s="7">
        <v>1.8</v>
      </c>
      <c r="H161" s="4">
        <v>0</v>
      </c>
      <c r="I161" s="7">
        <v>0</v>
      </c>
      <c r="J161" s="7">
        <v>0</v>
      </c>
      <c r="K161" s="4">
        <v>2</v>
      </c>
      <c r="L161" s="7">
        <v>72</v>
      </c>
      <c r="M161" s="7">
        <v>1.8</v>
      </c>
      <c r="N161" s="4">
        <v>11</v>
      </c>
      <c r="O161" s="7">
        <v>163.5</v>
      </c>
      <c r="P161" s="7">
        <v>4.0875000000000004</v>
      </c>
      <c r="Q161" s="4">
        <v>13</v>
      </c>
      <c r="R161" s="7">
        <v>235.5</v>
      </c>
      <c r="S161" s="7">
        <v>5.8875000000000002</v>
      </c>
    </row>
    <row r="162" spans="1:19" ht="13.5" thickBot="1" x14ac:dyDescent="0.25">
      <c r="A162" s="2" t="s">
        <v>116</v>
      </c>
      <c r="B162" s="1" t="s">
        <v>115</v>
      </c>
      <c r="C162" s="2" t="s">
        <v>32</v>
      </c>
      <c r="D162" s="4">
        <v>7226</v>
      </c>
      <c r="E162" s="4">
        <v>1</v>
      </c>
      <c r="F162" s="7">
        <v>40</v>
      </c>
      <c r="G162" s="7">
        <v>1</v>
      </c>
      <c r="H162" s="4">
        <v>0</v>
      </c>
      <c r="I162" s="7">
        <v>0</v>
      </c>
      <c r="J162" s="7">
        <v>0</v>
      </c>
      <c r="K162" s="4">
        <v>1</v>
      </c>
      <c r="L162" s="7">
        <v>40</v>
      </c>
      <c r="M162" s="7">
        <v>1</v>
      </c>
      <c r="N162" s="4">
        <v>11</v>
      </c>
      <c r="O162" s="7">
        <v>267.5</v>
      </c>
      <c r="P162" s="7">
        <v>6.6875</v>
      </c>
      <c r="Q162" s="4">
        <v>12</v>
      </c>
      <c r="R162" s="7">
        <v>307.5</v>
      </c>
      <c r="S162" s="7">
        <v>7.6875</v>
      </c>
    </row>
    <row r="163" spans="1:19" ht="13.5" thickBot="1" x14ac:dyDescent="0.25">
      <c r="A163" s="2" t="s">
        <v>134</v>
      </c>
      <c r="B163" s="1" t="s">
        <v>133</v>
      </c>
      <c r="C163" s="2" t="s">
        <v>32</v>
      </c>
      <c r="D163" s="4">
        <v>10090</v>
      </c>
      <c r="E163" s="4">
        <v>1</v>
      </c>
      <c r="F163" s="7">
        <v>40</v>
      </c>
      <c r="G163" s="7">
        <v>1</v>
      </c>
      <c r="H163" s="4">
        <v>4</v>
      </c>
      <c r="I163" s="7">
        <v>160</v>
      </c>
      <c r="J163" s="7">
        <v>4</v>
      </c>
      <c r="K163" s="4">
        <v>5</v>
      </c>
      <c r="L163" s="7">
        <v>200</v>
      </c>
      <c r="M163" s="7">
        <v>5</v>
      </c>
      <c r="N163" s="4">
        <v>8</v>
      </c>
      <c r="O163" s="7">
        <v>90</v>
      </c>
      <c r="P163" s="7">
        <v>2.25</v>
      </c>
      <c r="Q163" s="4">
        <v>13</v>
      </c>
      <c r="R163" s="7">
        <v>290</v>
      </c>
      <c r="S163" s="7">
        <v>7.25</v>
      </c>
    </row>
    <row r="164" spans="1:19" ht="13.5" thickBot="1" x14ac:dyDescent="0.25">
      <c r="A164" s="2" t="s">
        <v>136</v>
      </c>
      <c r="B164" s="1" t="s">
        <v>135</v>
      </c>
      <c r="C164" s="2" t="s">
        <v>32</v>
      </c>
      <c r="D164" s="4">
        <v>9705</v>
      </c>
      <c r="E164" s="4">
        <v>1</v>
      </c>
      <c r="F164" s="7">
        <v>40</v>
      </c>
      <c r="G164" s="7">
        <v>1</v>
      </c>
      <c r="H164" s="4">
        <v>0</v>
      </c>
      <c r="I164" s="7">
        <v>0</v>
      </c>
      <c r="J164" s="7">
        <v>0</v>
      </c>
      <c r="K164" s="4">
        <v>1</v>
      </c>
      <c r="L164" s="7">
        <v>40</v>
      </c>
      <c r="M164" s="7">
        <v>1</v>
      </c>
      <c r="N164" s="4">
        <v>8</v>
      </c>
      <c r="O164" s="7">
        <v>151</v>
      </c>
      <c r="P164" s="7">
        <v>3.7749999999999999</v>
      </c>
      <c r="Q164" s="4">
        <v>9</v>
      </c>
      <c r="R164" s="7">
        <v>191</v>
      </c>
      <c r="S164" s="7">
        <v>4.7750000000000004</v>
      </c>
    </row>
    <row r="165" spans="1:19" ht="13.5" thickBot="1" x14ac:dyDescent="0.25">
      <c r="A165" s="2" t="s">
        <v>144</v>
      </c>
      <c r="B165" s="1" t="s">
        <v>143</v>
      </c>
      <c r="C165" s="2" t="s">
        <v>32</v>
      </c>
      <c r="D165" s="4">
        <v>8692</v>
      </c>
      <c r="E165" s="4">
        <v>0</v>
      </c>
      <c r="F165" s="7">
        <v>0</v>
      </c>
      <c r="G165" s="7">
        <v>0</v>
      </c>
      <c r="H165" s="4">
        <v>2</v>
      </c>
      <c r="I165" s="7">
        <v>85.5</v>
      </c>
      <c r="J165" s="7">
        <v>2.1375000000000002</v>
      </c>
      <c r="K165" s="4">
        <v>2</v>
      </c>
      <c r="L165" s="7">
        <v>85.5</v>
      </c>
      <c r="M165" s="7">
        <v>2.1375000000000002</v>
      </c>
      <c r="N165" s="4">
        <v>2</v>
      </c>
      <c r="O165" s="7">
        <v>95</v>
      </c>
      <c r="P165" s="7">
        <v>2.375</v>
      </c>
      <c r="Q165" s="4">
        <v>4</v>
      </c>
      <c r="R165" s="7">
        <v>180.5</v>
      </c>
      <c r="S165" s="7">
        <v>4.5125000000000002</v>
      </c>
    </row>
    <row r="166" spans="1:19" ht="13.5" thickBot="1" x14ac:dyDescent="0.25">
      <c r="A166" s="2" t="s">
        <v>152</v>
      </c>
      <c r="B166" s="1" t="s">
        <v>151</v>
      </c>
      <c r="C166" s="2" t="s">
        <v>32</v>
      </c>
      <c r="D166" s="4">
        <v>11833</v>
      </c>
      <c r="E166" s="4">
        <v>2</v>
      </c>
      <c r="F166" s="7">
        <v>80</v>
      </c>
      <c r="G166" s="7">
        <v>2</v>
      </c>
      <c r="H166" s="4">
        <v>0</v>
      </c>
      <c r="I166" s="7">
        <v>0</v>
      </c>
      <c r="J166" s="7">
        <v>0</v>
      </c>
      <c r="K166" s="4">
        <v>2</v>
      </c>
      <c r="L166" s="7">
        <v>80</v>
      </c>
      <c r="M166" s="7">
        <v>2</v>
      </c>
      <c r="N166" s="4">
        <v>12</v>
      </c>
      <c r="O166" s="7">
        <v>266</v>
      </c>
      <c r="P166" s="7">
        <v>6.65</v>
      </c>
      <c r="Q166" s="4">
        <v>14</v>
      </c>
      <c r="R166" s="7">
        <v>346</v>
      </c>
      <c r="S166" s="7">
        <v>8.65</v>
      </c>
    </row>
    <row r="167" spans="1:19" ht="13.5" thickBot="1" x14ac:dyDescent="0.25">
      <c r="A167" s="2" t="s">
        <v>156</v>
      </c>
      <c r="B167" s="1" t="s">
        <v>155</v>
      </c>
      <c r="C167" s="2" t="s">
        <v>32</v>
      </c>
      <c r="D167" s="4">
        <v>10857</v>
      </c>
      <c r="E167" s="4">
        <v>0</v>
      </c>
      <c r="F167" s="7">
        <v>0</v>
      </c>
      <c r="G167" s="7">
        <v>0</v>
      </c>
      <c r="H167" s="4">
        <v>4</v>
      </c>
      <c r="I167" s="7">
        <v>133</v>
      </c>
      <c r="J167" s="7">
        <v>3.3250000000000002</v>
      </c>
      <c r="K167" s="4">
        <v>4</v>
      </c>
      <c r="L167" s="7">
        <v>133</v>
      </c>
      <c r="M167" s="7">
        <v>3.3250000000000002</v>
      </c>
      <c r="N167" s="4">
        <v>2</v>
      </c>
      <c r="O167" s="7">
        <v>37</v>
      </c>
      <c r="P167" s="7">
        <v>0.92500000000000004</v>
      </c>
      <c r="Q167" s="4">
        <v>6</v>
      </c>
      <c r="R167" s="7">
        <v>170</v>
      </c>
      <c r="S167" s="7">
        <v>4.25</v>
      </c>
    </row>
    <row r="168" spans="1:19" ht="13.5" thickBot="1" x14ac:dyDescent="0.25">
      <c r="A168" s="2" t="s">
        <v>160</v>
      </c>
      <c r="B168" s="1" t="s">
        <v>159</v>
      </c>
      <c r="C168" s="2" t="s">
        <v>32</v>
      </c>
      <c r="D168" s="4">
        <v>9483</v>
      </c>
      <c r="E168" s="4">
        <v>0</v>
      </c>
      <c r="F168" s="7">
        <v>0</v>
      </c>
      <c r="G168" s="7">
        <v>0</v>
      </c>
      <c r="H168" s="4">
        <v>1</v>
      </c>
      <c r="I168" s="7">
        <v>40</v>
      </c>
      <c r="J168" s="7">
        <v>1</v>
      </c>
      <c r="K168" s="4">
        <v>1</v>
      </c>
      <c r="L168" s="7">
        <v>40</v>
      </c>
      <c r="M168" s="7">
        <v>1</v>
      </c>
      <c r="N168" s="4">
        <v>7</v>
      </c>
      <c r="O168" s="7">
        <v>80</v>
      </c>
      <c r="P168" s="7">
        <v>2</v>
      </c>
      <c r="Q168" s="4">
        <v>8</v>
      </c>
      <c r="R168" s="7">
        <v>120</v>
      </c>
      <c r="S168" s="7">
        <v>3</v>
      </c>
    </row>
    <row r="169" spans="1:19" ht="13.5" thickBot="1" x14ac:dyDescent="0.25">
      <c r="A169" s="2" t="s">
        <v>162</v>
      </c>
      <c r="B169" s="1" t="s">
        <v>161</v>
      </c>
      <c r="C169" s="2" t="s">
        <v>32</v>
      </c>
      <c r="D169" s="4">
        <v>8257</v>
      </c>
      <c r="E169" s="4">
        <v>2</v>
      </c>
      <c r="F169" s="7">
        <v>80</v>
      </c>
      <c r="G169" s="7">
        <v>2</v>
      </c>
      <c r="H169" s="4">
        <v>0</v>
      </c>
      <c r="I169" s="7">
        <v>0</v>
      </c>
      <c r="J169" s="7">
        <v>0</v>
      </c>
      <c r="K169" s="4">
        <v>2</v>
      </c>
      <c r="L169" s="7">
        <v>80</v>
      </c>
      <c r="M169" s="7">
        <v>2</v>
      </c>
      <c r="N169" s="4">
        <v>10</v>
      </c>
      <c r="O169" s="7">
        <v>127</v>
      </c>
      <c r="P169" s="7">
        <v>3.1749999999999998</v>
      </c>
      <c r="Q169" s="4">
        <v>12</v>
      </c>
      <c r="R169" s="7">
        <v>207</v>
      </c>
      <c r="S169" s="7">
        <v>5.1749999999999998</v>
      </c>
    </row>
    <row r="170" spans="1:19" ht="13.5" thickBot="1" x14ac:dyDescent="0.25">
      <c r="A170" s="2" t="s">
        <v>168</v>
      </c>
      <c r="B170" s="1" t="s">
        <v>167</v>
      </c>
      <c r="C170" s="2" t="s">
        <v>32</v>
      </c>
      <c r="D170" s="4">
        <v>9810</v>
      </c>
      <c r="E170" s="77">
        <v>6</v>
      </c>
      <c r="F170" s="7">
        <v>183</v>
      </c>
      <c r="G170" s="7">
        <v>4.5750000000000002</v>
      </c>
      <c r="H170" s="4">
        <v>2</v>
      </c>
      <c r="I170" s="7">
        <v>75</v>
      </c>
      <c r="J170" s="7">
        <v>1.875</v>
      </c>
      <c r="K170" s="4">
        <v>8</v>
      </c>
      <c r="L170" s="7">
        <v>258</v>
      </c>
      <c r="M170" s="7">
        <v>6.45</v>
      </c>
      <c r="N170" s="4">
        <v>11</v>
      </c>
      <c r="O170" s="7">
        <v>242</v>
      </c>
      <c r="P170" s="7">
        <v>6.05</v>
      </c>
      <c r="Q170" s="4">
        <v>19</v>
      </c>
      <c r="R170" s="7">
        <v>500</v>
      </c>
      <c r="S170" s="7">
        <v>12.5</v>
      </c>
    </row>
    <row r="171" spans="1:19" ht="13.5" thickBot="1" x14ac:dyDescent="0.25">
      <c r="A171" s="2" t="s">
        <v>204</v>
      </c>
      <c r="B171" s="1" t="s">
        <v>203</v>
      </c>
      <c r="C171" s="2" t="s">
        <v>32</v>
      </c>
      <c r="D171" s="4">
        <v>11862</v>
      </c>
      <c r="E171" s="4">
        <v>2</v>
      </c>
      <c r="F171" s="7">
        <v>57</v>
      </c>
      <c r="G171" s="7">
        <v>1.425</v>
      </c>
      <c r="H171" s="4">
        <v>4</v>
      </c>
      <c r="I171" s="7">
        <v>132</v>
      </c>
      <c r="J171" s="7">
        <v>3.3</v>
      </c>
      <c r="K171" s="4">
        <v>6</v>
      </c>
      <c r="L171" s="7">
        <v>189</v>
      </c>
      <c r="M171" s="7">
        <v>4.7249999999999996</v>
      </c>
      <c r="N171" s="4">
        <v>3</v>
      </c>
      <c r="O171" s="7">
        <v>10</v>
      </c>
      <c r="P171" s="7">
        <v>0.25</v>
      </c>
      <c r="Q171" s="4">
        <v>9</v>
      </c>
      <c r="R171" s="7">
        <v>199</v>
      </c>
      <c r="S171" s="7">
        <v>4.9749999999999996</v>
      </c>
    </row>
    <row r="172" spans="1:19" ht="13.5" thickBot="1" x14ac:dyDescent="0.25">
      <c r="A172" s="2" t="s">
        <v>229</v>
      </c>
      <c r="B172" s="1" t="s">
        <v>228</v>
      </c>
      <c r="C172" s="2" t="s">
        <v>32</v>
      </c>
      <c r="D172" s="4">
        <v>10021</v>
      </c>
      <c r="E172" s="4">
        <v>0</v>
      </c>
      <c r="F172" s="7">
        <v>0</v>
      </c>
      <c r="G172" s="7">
        <v>0</v>
      </c>
      <c r="H172" s="4">
        <v>3</v>
      </c>
      <c r="I172" s="7">
        <v>84</v>
      </c>
      <c r="J172" s="7">
        <v>2.1</v>
      </c>
      <c r="K172" s="4">
        <v>3</v>
      </c>
      <c r="L172" s="7">
        <v>84</v>
      </c>
      <c r="M172" s="7">
        <v>2.1</v>
      </c>
      <c r="N172" s="77">
        <v>4</v>
      </c>
      <c r="O172" s="7">
        <v>23</v>
      </c>
      <c r="P172" s="7">
        <v>0.57499999999999996</v>
      </c>
      <c r="Q172" s="4">
        <v>7</v>
      </c>
      <c r="R172" s="7">
        <v>107</v>
      </c>
      <c r="S172" s="7">
        <v>2.6749999999999998</v>
      </c>
    </row>
    <row r="173" spans="1:19" ht="13.5" thickBot="1" x14ac:dyDescent="0.25">
      <c r="A173" s="2" t="s">
        <v>243</v>
      </c>
      <c r="B173" s="1" t="s">
        <v>242</v>
      </c>
      <c r="C173" s="2" t="s">
        <v>32</v>
      </c>
      <c r="D173" s="4">
        <v>7439</v>
      </c>
      <c r="E173" s="4">
        <v>1</v>
      </c>
      <c r="F173" s="7">
        <v>40</v>
      </c>
      <c r="G173" s="7">
        <v>1</v>
      </c>
      <c r="H173" s="4">
        <v>2</v>
      </c>
      <c r="I173" s="7">
        <v>52</v>
      </c>
      <c r="J173" s="7">
        <v>1.3</v>
      </c>
      <c r="K173" s="4">
        <v>3</v>
      </c>
      <c r="L173" s="7">
        <v>92</v>
      </c>
      <c r="M173" s="7">
        <v>2.2999999999999998</v>
      </c>
      <c r="N173" s="4">
        <v>4</v>
      </c>
      <c r="O173" s="7">
        <v>70</v>
      </c>
      <c r="P173" s="7">
        <v>1.75</v>
      </c>
      <c r="Q173" s="4">
        <v>7</v>
      </c>
      <c r="R173" s="7">
        <v>162</v>
      </c>
      <c r="S173" s="7">
        <v>4.05</v>
      </c>
    </row>
    <row r="174" spans="1:19" ht="13.5" thickBot="1" x14ac:dyDescent="0.25">
      <c r="A174" s="2" t="s">
        <v>257</v>
      </c>
      <c r="B174" s="1" t="s">
        <v>256</v>
      </c>
      <c r="C174" s="2" t="s">
        <v>32</v>
      </c>
      <c r="D174" s="4">
        <v>7392</v>
      </c>
      <c r="E174" s="4">
        <v>1</v>
      </c>
      <c r="F174" s="7">
        <v>40</v>
      </c>
      <c r="G174" s="7">
        <v>1</v>
      </c>
      <c r="H174" s="4">
        <v>0</v>
      </c>
      <c r="I174" s="7">
        <v>0</v>
      </c>
      <c r="J174" s="7">
        <v>0</v>
      </c>
      <c r="K174" s="4">
        <v>1</v>
      </c>
      <c r="L174" s="7">
        <v>40</v>
      </c>
      <c r="M174" s="7">
        <v>1</v>
      </c>
      <c r="N174" s="4">
        <v>7</v>
      </c>
      <c r="O174" s="7">
        <v>97</v>
      </c>
      <c r="P174" s="7">
        <v>2.4249999999999998</v>
      </c>
      <c r="Q174" s="4">
        <v>8</v>
      </c>
      <c r="R174" s="7">
        <v>137</v>
      </c>
      <c r="S174" s="7">
        <v>3.4249999999999998</v>
      </c>
    </row>
    <row r="175" spans="1:19" ht="13.5" thickBot="1" x14ac:dyDescent="0.25">
      <c r="A175" s="2" t="s">
        <v>261</v>
      </c>
      <c r="B175" s="1" t="s">
        <v>260</v>
      </c>
      <c r="C175" s="2" t="s">
        <v>32</v>
      </c>
      <c r="D175" s="4">
        <v>9512</v>
      </c>
      <c r="E175" s="4">
        <v>1</v>
      </c>
      <c r="F175" s="7">
        <v>29</v>
      </c>
      <c r="G175" s="7">
        <v>0.72499999999999998</v>
      </c>
      <c r="H175" s="4">
        <v>0</v>
      </c>
      <c r="I175" s="7">
        <v>0</v>
      </c>
      <c r="J175" s="7">
        <v>0</v>
      </c>
      <c r="K175" s="4">
        <v>1</v>
      </c>
      <c r="L175" s="7">
        <v>29</v>
      </c>
      <c r="M175" s="7">
        <v>0.72499999999999998</v>
      </c>
      <c r="N175" s="4">
        <v>1</v>
      </c>
      <c r="O175" s="7">
        <v>29</v>
      </c>
      <c r="P175" s="7">
        <v>0.72499999999999998</v>
      </c>
      <c r="Q175" s="4">
        <v>2</v>
      </c>
      <c r="R175" s="7">
        <v>58</v>
      </c>
      <c r="S175" s="7">
        <v>1.45</v>
      </c>
    </row>
    <row r="176" spans="1:19" ht="13.5" thickBot="1" x14ac:dyDescent="0.25">
      <c r="A176" s="2" t="s">
        <v>273</v>
      </c>
      <c r="B176" s="1" t="s">
        <v>272</v>
      </c>
      <c r="C176" s="2" t="s">
        <v>32</v>
      </c>
      <c r="D176" s="4">
        <v>7717</v>
      </c>
      <c r="E176" s="4">
        <v>1</v>
      </c>
      <c r="F176" s="7">
        <v>7.5</v>
      </c>
      <c r="G176" s="7">
        <v>0.1875</v>
      </c>
      <c r="H176" s="4">
        <v>3</v>
      </c>
      <c r="I176" s="7">
        <v>66</v>
      </c>
      <c r="J176" s="7">
        <v>1.65</v>
      </c>
      <c r="K176" s="4">
        <v>4</v>
      </c>
      <c r="L176" s="7">
        <v>73.5</v>
      </c>
      <c r="M176" s="7">
        <v>1.8374999999999999</v>
      </c>
      <c r="N176" s="4">
        <v>1</v>
      </c>
      <c r="O176" s="7">
        <v>7.5</v>
      </c>
      <c r="P176" s="7">
        <v>0.1875</v>
      </c>
      <c r="Q176" s="4">
        <v>5</v>
      </c>
      <c r="R176" s="7">
        <v>81</v>
      </c>
      <c r="S176" s="7">
        <v>2.0249999999999999</v>
      </c>
    </row>
    <row r="177" spans="1:19" ht="13.5" thickBot="1" x14ac:dyDescent="0.25">
      <c r="A177" s="2" t="s">
        <v>297</v>
      </c>
      <c r="B177" s="1" t="s">
        <v>296</v>
      </c>
      <c r="C177" s="2" t="s">
        <v>32</v>
      </c>
      <c r="D177" s="4">
        <v>7824</v>
      </c>
      <c r="E177" s="4">
        <v>1</v>
      </c>
      <c r="F177" s="7">
        <v>25</v>
      </c>
      <c r="G177" s="7">
        <v>0.625</v>
      </c>
      <c r="H177" s="4">
        <v>7</v>
      </c>
      <c r="I177" s="7">
        <v>168</v>
      </c>
      <c r="J177" s="7">
        <v>4.2</v>
      </c>
      <c r="K177" s="4">
        <v>8</v>
      </c>
      <c r="L177" s="7">
        <v>193</v>
      </c>
      <c r="M177" s="7">
        <v>4.8250000000000002</v>
      </c>
      <c r="N177" s="77">
        <v>4</v>
      </c>
      <c r="O177" s="7">
        <v>28</v>
      </c>
      <c r="P177" s="7">
        <v>0.7</v>
      </c>
      <c r="Q177" s="4">
        <v>11</v>
      </c>
      <c r="R177" s="7">
        <v>221</v>
      </c>
      <c r="S177" s="7">
        <v>5.5250000000000004</v>
      </c>
    </row>
    <row r="178" spans="1:19" ht="13.5" thickBot="1" x14ac:dyDescent="0.25">
      <c r="A178" s="2" t="s">
        <v>309</v>
      </c>
      <c r="B178" s="1" t="s">
        <v>308</v>
      </c>
      <c r="C178" s="2" t="s">
        <v>32</v>
      </c>
      <c r="D178" s="4">
        <v>9476</v>
      </c>
      <c r="E178" s="4">
        <v>1</v>
      </c>
      <c r="F178" s="7">
        <v>40</v>
      </c>
      <c r="G178" s="7">
        <v>1</v>
      </c>
      <c r="H178" s="4">
        <v>0</v>
      </c>
      <c r="I178" s="7">
        <v>0</v>
      </c>
      <c r="J178" s="7">
        <v>0</v>
      </c>
      <c r="K178" s="4">
        <v>1</v>
      </c>
      <c r="L178" s="7">
        <v>40</v>
      </c>
      <c r="M178" s="7">
        <v>1</v>
      </c>
      <c r="N178" s="4">
        <v>3</v>
      </c>
      <c r="O178" s="7">
        <v>42</v>
      </c>
      <c r="P178" s="7">
        <v>1.05</v>
      </c>
      <c r="Q178" s="4">
        <v>4</v>
      </c>
      <c r="R178" s="7">
        <v>82</v>
      </c>
      <c r="S178" s="7">
        <v>2.0499999999999998</v>
      </c>
    </row>
    <row r="179" spans="1:19" ht="13.5" thickBot="1" x14ac:dyDescent="0.25">
      <c r="A179" s="2" t="s">
        <v>315</v>
      </c>
      <c r="B179" s="1" t="s">
        <v>314</v>
      </c>
      <c r="C179" s="2" t="s">
        <v>32</v>
      </c>
      <c r="D179" s="4">
        <v>10983</v>
      </c>
      <c r="E179" s="4">
        <v>2</v>
      </c>
      <c r="F179" s="7">
        <v>55</v>
      </c>
      <c r="G179" s="7">
        <v>1.375</v>
      </c>
      <c r="H179" s="4">
        <v>1</v>
      </c>
      <c r="I179" s="7">
        <v>20</v>
      </c>
      <c r="J179" s="7">
        <v>0.5</v>
      </c>
      <c r="K179" s="4">
        <v>3</v>
      </c>
      <c r="L179" s="7">
        <v>75</v>
      </c>
      <c r="M179" s="7">
        <v>1.875</v>
      </c>
      <c r="N179" s="4">
        <v>12</v>
      </c>
      <c r="O179" s="7">
        <v>158</v>
      </c>
      <c r="P179" s="7">
        <v>3.95</v>
      </c>
      <c r="Q179" s="4">
        <v>15</v>
      </c>
      <c r="R179" s="7">
        <v>233</v>
      </c>
      <c r="S179" s="7">
        <v>5.8250000000000002</v>
      </c>
    </row>
    <row r="180" spans="1:19" ht="13.5" thickBot="1" x14ac:dyDescent="0.25">
      <c r="A180" s="2" t="s">
        <v>323</v>
      </c>
      <c r="B180" s="1" t="s">
        <v>322</v>
      </c>
      <c r="C180" s="2" t="s">
        <v>32</v>
      </c>
      <c r="D180" s="4">
        <v>11239</v>
      </c>
      <c r="E180" s="4">
        <v>0</v>
      </c>
      <c r="F180" s="7">
        <v>0</v>
      </c>
      <c r="G180" s="7">
        <v>0</v>
      </c>
      <c r="H180" s="4">
        <v>1</v>
      </c>
      <c r="I180" s="7">
        <v>40</v>
      </c>
      <c r="J180" s="7">
        <v>1</v>
      </c>
      <c r="K180" s="4">
        <v>1</v>
      </c>
      <c r="L180" s="7">
        <v>40</v>
      </c>
      <c r="M180" s="7">
        <v>1</v>
      </c>
      <c r="N180" s="4">
        <v>5</v>
      </c>
      <c r="O180" s="7">
        <v>104</v>
      </c>
      <c r="P180" s="7">
        <v>2.6</v>
      </c>
      <c r="Q180" s="4">
        <v>6</v>
      </c>
      <c r="R180" s="7">
        <v>144</v>
      </c>
      <c r="S180" s="7">
        <v>3.6</v>
      </c>
    </row>
    <row r="181" spans="1:19" ht="13.5" thickBot="1" x14ac:dyDescent="0.25">
      <c r="A181" s="2" t="s">
        <v>337</v>
      </c>
      <c r="B181" s="1" t="s">
        <v>336</v>
      </c>
      <c r="C181" s="2" t="s">
        <v>32</v>
      </c>
      <c r="D181" s="4">
        <v>8875</v>
      </c>
      <c r="E181" s="4">
        <v>1</v>
      </c>
      <c r="F181" s="7">
        <v>42</v>
      </c>
      <c r="G181" s="7">
        <v>1.05</v>
      </c>
      <c r="H181" s="4">
        <v>4</v>
      </c>
      <c r="I181" s="7">
        <v>136</v>
      </c>
      <c r="J181" s="7">
        <v>3.4</v>
      </c>
      <c r="K181" s="4">
        <v>4</v>
      </c>
      <c r="L181" s="7">
        <v>144</v>
      </c>
      <c r="M181" s="7">
        <v>3.6</v>
      </c>
      <c r="N181" s="4">
        <v>5</v>
      </c>
      <c r="O181" s="7">
        <v>68</v>
      </c>
      <c r="P181" s="7">
        <v>1.7</v>
      </c>
      <c r="Q181" s="4">
        <v>10</v>
      </c>
      <c r="R181" s="7">
        <v>212</v>
      </c>
      <c r="S181" s="7">
        <v>5.3</v>
      </c>
    </row>
    <row r="182" spans="1:19" ht="13.5" thickBot="1" x14ac:dyDescent="0.25">
      <c r="A182" s="2" t="s">
        <v>357</v>
      </c>
      <c r="B182" s="1" t="s">
        <v>356</v>
      </c>
      <c r="C182" s="2" t="s">
        <v>32</v>
      </c>
      <c r="D182" s="4">
        <v>8133</v>
      </c>
      <c r="E182" s="4">
        <v>0</v>
      </c>
      <c r="F182" s="7">
        <v>0</v>
      </c>
      <c r="G182" s="7">
        <v>0</v>
      </c>
      <c r="H182" s="4">
        <v>5</v>
      </c>
      <c r="I182" s="7">
        <v>123</v>
      </c>
      <c r="J182" s="7">
        <v>3.0750000000000002</v>
      </c>
      <c r="K182" s="4">
        <v>5</v>
      </c>
      <c r="L182" s="7">
        <v>123</v>
      </c>
      <c r="M182" s="7">
        <v>3.0750000000000002</v>
      </c>
      <c r="N182" s="4">
        <v>3</v>
      </c>
      <c r="O182" s="7">
        <v>68</v>
      </c>
      <c r="P182" s="7">
        <v>1.7</v>
      </c>
      <c r="Q182" s="4">
        <v>8</v>
      </c>
      <c r="R182" s="7">
        <v>191</v>
      </c>
      <c r="S182" s="7">
        <v>4.7750000000000004</v>
      </c>
    </row>
    <row r="183" spans="1:19" ht="13.5" thickBot="1" x14ac:dyDescent="0.25">
      <c r="A183" s="2" t="s">
        <v>365</v>
      </c>
      <c r="B183" s="1" t="s">
        <v>364</v>
      </c>
      <c r="C183" s="2" t="s">
        <v>32</v>
      </c>
      <c r="D183" s="4">
        <v>7135</v>
      </c>
      <c r="E183" s="77">
        <v>2</v>
      </c>
      <c r="F183" s="7">
        <v>70</v>
      </c>
      <c r="G183" s="7">
        <v>1.75</v>
      </c>
      <c r="H183" s="4">
        <v>2</v>
      </c>
      <c r="I183" s="7">
        <v>68</v>
      </c>
      <c r="J183" s="7">
        <v>1.7</v>
      </c>
      <c r="K183" s="4">
        <v>4</v>
      </c>
      <c r="L183" s="7">
        <v>138</v>
      </c>
      <c r="M183" s="7">
        <v>3.45</v>
      </c>
      <c r="N183" s="4">
        <v>2</v>
      </c>
      <c r="O183" s="7">
        <v>40</v>
      </c>
      <c r="P183" s="7">
        <v>1</v>
      </c>
      <c r="Q183" s="4">
        <v>6</v>
      </c>
      <c r="R183" s="7">
        <v>178</v>
      </c>
      <c r="S183" s="7">
        <v>4.45</v>
      </c>
    </row>
    <row r="184" spans="1:19" ht="13.5" thickBot="1" x14ac:dyDescent="0.25">
      <c r="A184" s="2" t="s">
        <v>373</v>
      </c>
      <c r="B184" s="1" t="s">
        <v>372</v>
      </c>
      <c r="C184" s="2" t="s">
        <v>32</v>
      </c>
      <c r="D184" s="4">
        <v>11870</v>
      </c>
      <c r="E184" s="4">
        <v>1</v>
      </c>
      <c r="F184" s="7">
        <v>40</v>
      </c>
      <c r="G184" s="7">
        <v>1</v>
      </c>
      <c r="H184" s="4">
        <v>1</v>
      </c>
      <c r="I184" s="7">
        <v>40</v>
      </c>
      <c r="J184" s="7">
        <v>1</v>
      </c>
      <c r="K184" s="4">
        <v>2</v>
      </c>
      <c r="L184" s="7">
        <v>80</v>
      </c>
      <c r="M184" s="7">
        <v>2</v>
      </c>
      <c r="N184" s="4">
        <v>7</v>
      </c>
      <c r="O184" s="7">
        <v>121</v>
      </c>
      <c r="P184" s="7">
        <v>3.0249999999999999</v>
      </c>
      <c r="Q184" s="4">
        <v>9</v>
      </c>
      <c r="R184" s="7">
        <v>201</v>
      </c>
      <c r="S184" s="7">
        <v>5.0250000000000004</v>
      </c>
    </row>
    <row r="185" spans="1:19" ht="13.5" thickBot="1" x14ac:dyDescent="0.25">
      <c r="A185" s="2" t="s">
        <v>393</v>
      </c>
      <c r="B185" s="1" t="s">
        <v>392</v>
      </c>
      <c r="C185" s="2" t="s">
        <v>32</v>
      </c>
      <c r="D185" s="4">
        <v>8764</v>
      </c>
      <c r="E185" s="4">
        <v>5</v>
      </c>
      <c r="F185" s="7">
        <v>74</v>
      </c>
      <c r="G185" s="7">
        <v>1.85</v>
      </c>
      <c r="H185" s="4">
        <v>0</v>
      </c>
      <c r="I185" s="7">
        <v>0</v>
      </c>
      <c r="J185" s="7">
        <v>0</v>
      </c>
      <c r="K185" s="4">
        <v>5</v>
      </c>
      <c r="L185" s="7">
        <v>74</v>
      </c>
      <c r="M185" s="7">
        <v>1.85</v>
      </c>
      <c r="N185" s="78" t="s">
        <v>16</v>
      </c>
      <c r="O185" s="7">
        <v>224</v>
      </c>
      <c r="P185" s="7">
        <v>5.6</v>
      </c>
      <c r="Q185" s="4">
        <v>14</v>
      </c>
      <c r="R185" s="7">
        <v>298</v>
      </c>
      <c r="S185" s="7">
        <v>7.45</v>
      </c>
    </row>
    <row r="186" spans="1:19" ht="13.5" thickBot="1" x14ac:dyDescent="0.25">
      <c r="A186" s="2" t="s">
        <v>425</v>
      </c>
      <c r="B186" s="1" t="s">
        <v>424</v>
      </c>
      <c r="C186" s="2" t="s">
        <v>32</v>
      </c>
      <c r="D186" s="4">
        <v>9555</v>
      </c>
      <c r="E186" s="4">
        <v>0</v>
      </c>
      <c r="F186" s="7">
        <v>0</v>
      </c>
      <c r="G186" s="7">
        <v>0</v>
      </c>
      <c r="H186" s="78">
        <v>1</v>
      </c>
      <c r="I186" s="7">
        <v>40</v>
      </c>
      <c r="J186" s="7">
        <v>1</v>
      </c>
      <c r="K186" s="4">
        <v>1</v>
      </c>
      <c r="L186" s="7">
        <v>40</v>
      </c>
      <c r="M186" s="7">
        <v>1</v>
      </c>
      <c r="N186" s="4">
        <v>2</v>
      </c>
      <c r="O186" s="7">
        <v>25</v>
      </c>
      <c r="P186" s="7">
        <v>0.625</v>
      </c>
      <c r="Q186" s="4">
        <v>3</v>
      </c>
      <c r="R186" s="7">
        <v>65</v>
      </c>
      <c r="S186" s="7">
        <v>1.625</v>
      </c>
    </row>
    <row r="187" spans="1:19" ht="13.5" thickBot="1" x14ac:dyDescent="0.25">
      <c r="A187" s="2" t="s">
        <v>423</v>
      </c>
      <c r="B187" s="1" t="s">
        <v>422</v>
      </c>
      <c r="C187" s="2" t="s">
        <v>32</v>
      </c>
      <c r="D187" s="4">
        <v>9533</v>
      </c>
      <c r="E187" s="4">
        <v>0</v>
      </c>
      <c r="F187" s="7">
        <v>0</v>
      </c>
      <c r="G187" s="7">
        <v>0</v>
      </c>
      <c r="H187" s="4">
        <v>1</v>
      </c>
      <c r="I187" s="7">
        <v>18</v>
      </c>
      <c r="J187" s="7">
        <v>0.45</v>
      </c>
      <c r="K187" s="4">
        <v>1</v>
      </c>
      <c r="L187" s="7">
        <v>18</v>
      </c>
      <c r="M187" s="7">
        <v>0.45</v>
      </c>
      <c r="N187" s="77">
        <v>1</v>
      </c>
      <c r="O187" s="7">
        <v>10</v>
      </c>
      <c r="P187" s="7">
        <v>0.25</v>
      </c>
      <c r="Q187" s="4">
        <v>2</v>
      </c>
      <c r="R187" s="7">
        <v>28</v>
      </c>
      <c r="S187" s="7">
        <v>0.7</v>
      </c>
    </row>
    <row r="188" spans="1:19" ht="13.5" thickBot="1" x14ac:dyDescent="0.25">
      <c r="A188" s="2" t="s">
        <v>447</v>
      </c>
      <c r="B188" s="1" t="s">
        <v>446</v>
      </c>
      <c r="C188" s="2" t="s">
        <v>32</v>
      </c>
      <c r="D188" s="4">
        <v>10470</v>
      </c>
      <c r="E188" s="4">
        <v>3</v>
      </c>
      <c r="F188" s="7">
        <v>105</v>
      </c>
      <c r="G188" s="7">
        <v>2.625</v>
      </c>
      <c r="H188" s="77">
        <v>1</v>
      </c>
      <c r="I188" s="7">
        <v>8</v>
      </c>
      <c r="J188" s="7">
        <v>0.2</v>
      </c>
      <c r="K188" s="4">
        <v>4</v>
      </c>
      <c r="L188" s="7">
        <v>112</v>
      </c>
      <c r="M188" s="7">
        <v>2.8</v>
      </c>
      <c r="N188" s="4">
        <v>5</v>
      </c>
      <c r="O188" s="7">
        <v>108</v>
      </c>
      <c r="P188" s="7">
        <v>2.7</v>
      </c>
      <c r="Q188" s="4">
        <v>12</v>
      </c>
      <c r="R188" s="7">
        <v>220</v>
      </c>
      <c r="S188" s="7">
        <v>5.5</v>
      </c>
    </row>
    <row r="189" spans="1:19" ht="13.5" thickBot="1" x14ac:dyDescent="0.25">
      <c r="A189" s="2" t="s">
        <v>461</v>
      </c>
      <c r="B189" s="1" t="s">
        <v>460</v>
      </c>
      <c r="C189" s="2" t="s">
        <v>32</v>
      </c>
      <c r="D189" s="4">
        <v>11581</v>
      </c>
      <c r="E189" s="4">
        <v>1</v>
      </c>
      <c r="F189" s="7">
        <v>40</v>
      </c>
      <c r="G189" s="7">
        <v>1</v>
      </c>
      <c r="H189" s="4">
        <v>3</v>
      </c>
      <c r="I189" s="7">
        <v>100</v>
      </c>
      <c r="J189" s="7">
        <v>2.5</v>
      </c>
      <c r="K189" s="4">
        <v>4</v>
      </c>
      <c r="L189" s="7">
        <v>140</v>
      </c>
      <c r="M189" s="7">
        <v>3.5</v>
      </c>
      <c r="N189" s="4">
        <v>2</v>
      </c>
      <c r="O189" s="7">
        <v>32</v>
      </c>
      <c r="P189" s="7">
        <v>0.8</v>
      </c>
      <c r="Q189" s="4">
        <v>6</v>
      </c>
      <c r="R189" s="7">
        <v>172</v>
      </c>
      <c r="S189" s="7">
        <v>4.3</v>
      </c>
    </row>
    <row r="190" spans="1:19" ht="13.5" thickBot="1" x14ac:dyDescent="0.25">
      <c r="A190" s="2" t="s">
        <v>484</v>
      </c>
      <c r="B190" s="1" t="s">
        <v>483</v>
      </c>
      <c r="C190" s="2" t="s">
        <v>32</v>
      </c>
      <c r="D190" s="4">
        <v>7312</v>
      </c>
      <c r="E190" s="4">
        <v>0</v>
      </c>
      <c r="F190" s="7">
        <v>0</v>
      </c>
      <c r="G190" s="7">
        <v>0</v>
      </c>
      <c r="H190" s="4">
        <v>3</v>
      </c>
      <c r="I190" s="7">
        <v>40</v>
      </c>
      <c r="J190" s="7">
        <v>1</v>
      </c>
      <c r="K190" s="4">
        <v>1</v>
      </c>
      <c r="L190" s="7">
        <v>62</v>
      </c>
      <c r="M190" s="7">
        <v>1.55</v>
      </c>
      <c r="N190" s="4">
        <v>10</v>
      </c>
      <c r="O190" s="7">
        <v>115</v>
      </c>
      <c r="P190" s="7">
        <v>2.875</v>
      </c>
      <c r="Q190" s="4">
        <v>10</v>
      </c>
      <c r="R190" s="7">
        <v>177</v>
      </c>
      <c r="S190" s="7">
        <v>4.4249999999999998</v>
      </c>
    </row>
    <row r="191" spans="1:19" ht="13.5" thickBot="1" x14ac:dyDescent="0.25">
      <c r="A191" s="2" t="s">
        <v>490</v>
      </c>
      <c r="B191" s="1" t="s">
        <v>489</v>
      </c>
      <c r="C191" s="2" t="s">
        <v>32</v>
      </c>
      <c r="D191" s="4">
        <v>8344</v>
      </c>
      <c r="E191" s="4">
        <v>0</v>
      </c>
      <c r="F191" s="7">
        <v>0</v>
      </c>
      <c r="G191" s="7">
        <v>0</v>
      </c>
      <c r="H191" s="4">
        <v>2</v>
      </c>
      <c r="I191" s="7">
        <v>79</v>
      </c>
      <c r="J191" s="7">
        <v>1.9750000000000001</v>
      </c>
      <c r="K191" s="4">
        <v>1</v>
      </c>
      <c r="L191" s="7">
        <v>79</v>
      </c>
      <c r="M191" s="7">
        <v>1.9750000000000001</v>
      </c>
      <c r="N191" s="4">
        <v>0</v>
      </c>
      <c r="O191" s="7">
        <v>0</v>
      </c>
      <c r="P191" s="7">
        <v>0</v>
      </c>
      <c r="Q191" s="4">
        <v>3</v>
      </c>
      <c r="R191" s="7">
        <v>79</v>
      </c>
      <c r="S191" s="7">
        <v>1.9750000000000001</v>
      </c>
    </row>
    <row r="192" spans="1:19" ht="13.5" thickBot="1" x14ac:dyDescent="0.25">
      <c r="A192" s="2" t="s">
        <v>510</v>
      </c>
      <c r="B192" s="1" t="s">
        <v>509</v>
      </c>
      <c r="C192" s="2" t="s">
        <v>32</v>
      </c>
      <c r="D192" s="4">
        <v>10715</v>
      </c>
      <c r="E192" s="4">
        <v>2</v>
      </c>
      <c r="F192" s="7">
        <v>56.5</v>
      </c>
      <c r="G192" s="7">
        <v>1.4125000000000001</v>
      </c>
      <c r="H192" s="77">
        <v>1</v>
      </c>
      <c r="I192" s="7">
        <v>21.5</v>
      </c>
      <c r="J192" s="7">
        <v>0.53749999999999998</v>
      </c>
      <c r="K192" s="4">
        <v>2</v>
      </c>
      <c r="L192" s="7">
        <v>78</v>
      </c>
      <c r="M192" s="7">
        <v>1.95</v>
      </c>
      <c r="N192" s="4">
        <v>1</v>
      </c>
      <c r="O192" s="7">
        <v>21.5</v>
      </c>
      <c r="P192" s="7">
        <v>0.53749999999999998</v>
      </c>
      <c r="Q192" s="4">
        <v>3</v>
      </c>
      <c r="R192" s="7">
        <v>99.5</v>
      </c>
      <c r="S192" s="7">
        <v>2.4874999999999998</v>
      </c>
    </row>
    <row r="193" spans="1:19" ht="13.5" thickBot="1" x14ac:dyDescent="0.25">
      <c r="A193" s="2" t="s">
        <v>522</v>
      </c>
      <c r="B193" s="1" t="s">
        <v>521</v>
      </c>
      <c r="C193" s="2" t="s">
        <v>32</v>
      </c>
      <c r="D193" s="4">
        <v>7424</v>
      </c>
      <c r="E193" s="77">
        <v>2</v>
      </c>
      <c r="F193" s="7">
        <v>70</v>
      </c>
      <c r="G193" s="7">
        <v>1.75</v>
      </c>
      <c r="H193" s="77">
        <v>0</v>
      </c>
      <c r="I193" s="7">
        <v>0</v>
      </c>
      <c r="J193" s="7">
        <v>0</v>
      </c>
      <c r="K193" s="4">
        <v>2</v>
      </c>
      <c r="L193" s="7">
        <v>70</v>
      </c>
      <c r="M193" s="7">
        <v>1.75</v>
      </c>
      <c r="N193" s="4">
        <v>15</v>
      </c>
      <c r="O193" s="7">
        <v>212</v>
      </c>
      <c r="P193" s="7">
        <v>5.3</v>
      </c>
      <c r="Q193" s="4">
        <v>15</v>
      </c>
      <c r="R193" s="7">
        <v>282</v>
      </c>
      <c r="S193" s="7">
        <v>7.05</v>
      </c>
    </row>
    <row r="194" spans="1:19" ht="13.5" thickBot="1" x14ac:dyDescent="0.25">
      <c r="A194" s="2" t="s">
        <v>528</v>
      </c>
      <c r="B194" s="1" t="s">
        <v>527</v>
      </c>
      <c r="C194" s="2" t="s">
        <v>32</v>
      </c>
      <c r="D194" s="4">
        <v>9765</v>
      </c>
      <c r="E194" s="77">
        <v>0</v>
      </c>
      <c r="F194" s="7">
        <v>0</v>
      </c>
      <c r="G194" s="7">
        <v>0</v>
      </c>
      <c r="H194" s="4">
        <v>4</v>
      </c>
      <c r="I194" s="7">
        <v>136</v>
      </c>
      <c r="J194" s="7">
        <v>3.4</v>
      </c>
      <c r="K194" s="4">
        <v>4</v>
      </c>
      <c r="L194" s="7">
        <v>136</v>
      </c>
      <c r="M194" s="7">
        <v>3.4</v>
      </c>
      <c r="N194" s="4">
        <v>5</v>
      </c>
      <c r="O194" s="7">
        <v>90</v>
      </c>
      <c r="P194" s="7">
        <v>2.25</v>
      </c>
      <c r="Q194" s="4">
        <v>9</v>
      </c>
      <c r="R194" s="7">
        <v>226</v>
      </c>
      <c r="S194" s="7">
        <v>5.65</v>
      </c>
    </row>
    <row r="195" spans="1:19" ht="13.5" thickBot="1" x14ac:dyDescent="0.25">
      <c r="A195" s="2" t="s">
        <v>538</v>
      </c>
      <c r="B195" s="1" t="s">
        <v>537</v>
      </c>
      <c r="C195" s="2" t="s">
        <v>32</v>
      </c>
      <c r="D195" s="4">
        <v>9623</v>
      </c>
      <c r="E195" s="4">
        <v>0</v>
      </c>
      <c r="F195" s="7">
        <v>0</v>
      </c>
      <c r="G195" s="7">
        <v>0</v>
      </c>
      <c r="H195" s="4">
        <v>3</v>
      </c>
      <c r="I195" s="7">
        <v>84</v>
      </c>
      <c r="J195" s="7">
        <v>2.1</v>
      </c>
      <c r="K195" s="4">
        <v>3</v>
      </c>
      <c r="L195" s="7">
        <v>84</v>
      </c>
      <c r="M195" s="7">
        <v>2.1</v>
      </c>
      <c r="N195" s="4">
        <v>1</v>
      </c>
      <c r="O195" s="7">
        <v>1</v>
      </c>
      <c r="P195" s="7">
        <v>2.5000000000000001E-2</v>
      </c>
      <c r="Q195" s="4">
        <v>4</v>
      </c>
      <c r="R195" s="7">
        <v>85</v>
      </c>
      <c r="S195" s="7">
        <v>2.125</v>
      </c>
    </row>
    <row r="196" spans="1:19" ht="13.5" thickBot="1" x14ac:dyDescent="0.25">
      <c r="A196" s="2" t="s">
        <v>542</v>
      </c>
      <c r="B196" s="1" t="s">
        <v>541</v>
      </c>
      <c r="C196" s="2" t="s">
        <v>32</v>
      </c>
      <c r="D196" s="4">
        <v>7656</v>
      </c>
      <c r="E196" s="4">
        <v>1</v>
      </c>
      <c r="F196" s="7">
        <v>37</v>
      </c>
      <c r="G196" s="7">
        <v>0.92500000000000004</v>
      </c>
      <c r="H196" s="4">
        <v>1</v>
      </c>
      <c r="I196" s="7">
        <v>21</v>
      </c>
      <c r="J196" s="7">
        <v>0.52500000000000002</v>
      </c>
      <c r="K196" s="4">
        <v>2</v>
      </c>
      <c r="L196" s="7">
        <v>58</v>
      </c>
      <c r="M196" s="7">
        <v>1.45</v>
      </c>
      <c r="N196" s="4">
        <v>1</v>
      </c>
      <c r="O196" s="7">
        <v>15</v>
      </c>
      <c r="P196" s="7">
        <v>0.375</v>
      </c>
      <c r="Q196" s="4">
        <v>3</v>
      </c>
      <c r="R196" s="7">
        <v>73</v>
      </c>
      <c r="S196" s="7">
        <v>1.825</v>
      </c>
    </row>
    <row r="197" spans="1:19" ht="13.5" thickBot="1" x14ac:dyDescent="0.25">
      <c r="A197" s="2" t="s">
        <v>554</v>
      </c>
      <c r="B197" s="1" t="s">
        <v>553</v>
      </c>
      <c r="C197" s="2" t="s">
        <v>32</v>
      </c>
      <c r="D197" s="4">
        <v>8354</v>
      </c>
      <c r="E197" s="4">
        <v>0</v>
      </c>
      <c r="F197" s="7">
        <v>0</v>
      </c>
      <c r="G197" s="7">
        <v>0</v>
      </c>
      <c r="H197" s="4">
        <v>3</v>
      </c>
      <c r="I197" s="7">
        <v>120</v>
      </c>
      <c r="J197" s="7">
        <v>3</v>
      </c>
      <c r="K197" s="4">
        <v>3</v>
      </c>
      <c r="L197" s="7">
        <v>120</v>
      </c>
      <c r="M197" s="7">
        <v>3</v>
      </c>
      <c r="N197" s="4">
        <v>3</v>
      </c>
      <c r="O197" s="7">
        <v>132.25</v>
      </c>
      <c r="P197" s="7">
        <v>3.3062499999999999</v>
      </c>
      <c r="Q197" s="4">
        <v>8</v>
      </c>
      <c r="R197" s="7">
        <v>252.25</v>
      </c>
      <c r="S197" s="7">
        <v>6.3062500000000004</v>
      </c>
    </row>
    <row r="198" spans="1:19" ht="13.5" thickBot="1" x14ac:dyDescent="0.25">
      <c r="A198" s="2" t="s">
        <v>572</v>
      </c>
      <c r="B198" s="1" t="s">
        <v>571</v>
      </c>
      <c r="C198" s="2" t="s">
        <v>32</v>
      </c>
      <c r="D198" s="4">
        <v>8640</v>
      </c>
      <c r="E198" s="4">
        <v>1</v>
      </c>
      <c r="F198" s="7">
        <v>40</v>
      </c>
      <c r="G198" s="7">
        <v>1</v>
      </c>
      <c r="H198" s="4">
        <v>0</v>
      </c>
      <c r="I198" s="7">
        <v>0</v>
      </c>
      <c r="J198" s="7">
        <v>0</v>
      </c>
      <c r="K198" s="4">
        <v>1</v>
      </c>
      <c r="L198" s="7">
        <v>40</v>
      </c>
      <c r="M198" s="7">
        <v>1</v>
      </c>
      <c r="N198" s="77">
        <v>8</v>
      </c>
      <c r="O198" s="7">
        <v>134</v>
      </c>
      <c r="P198" s="7">
        <v>3.35</v>
      </c>
      <c r="Q198" s="4">
        <v>8</v>
      </c>
      <c r="R198" s="7">
        <v>174</v>
      </c>
      <c r="S198" s="7">
        <v>4.3499999999999996</v>
      </c>
    </row>
    <row r="199" spans="1:19" ht="13.5" thickBot="1" x14ac:dyDescent="0.25">
      <c r="A199" s="2" t="s">
        <v>582</v>
      </c>
      <c r="B199" s="1" t="s">
        <v>581</v>
      </c>
      <c r="C199" s="2" t="s">
        <v>32</v>
      </c>
      <c r="D199" s="4">
        <v>9969</v>
      </c>
      <c r="E199" s="4">
        <v>4</v>
      </c>
      <c r="F199" s="7">
        <v>80</v>
      </c>
      <c r="G199" s="7">
        <v>2</v>
      </c>
      <c r="H199" s="77">
        <v>2</v>
      </c>
      <c r="I199" s="7">
        <v>75</v>
      </c>
      <c r="J199" s="7">
        <v>1.875</v>
      </c>
      <c r="K199" s="4">
        <v>6</v>
      </c>
      <c r="L199" s="7">
        <v>155</v>
      </c>
      <c r="M199" s="7">
        <v>3.875</v>
      </c>
      <c r="N199" s="4">
        <v>10</v>
      </c>
      <c r="O199" s="7">
        <v>221</v>
      </c>
      <c r="P199" s="7">
        <v>5.5250000000000004</v>
      </c>
      <c r="Q199" s="4">
        <v>21</v>
      </c>
      <c r="R199" s="7">
        <v>376</v>
      </c>
      <c r="S199" s="7">
        <v>9.4</v>
      </c>
    </row>
    <row r="200" spans="1:19" ht="13.5" thickBot="1" x14ac:dyDescent="0.25">
      <c r="A200" s="2" t="s">
        <v>586</v>
      </c>
      <c r="B200" s="1" t="s">
        <v>585</v>
      </c>
      <c r="C200" s="2" t="s">
        <v>32</v>
      </c>
      <c r="D200" s="4">
        <v>7034</v>
      </c>
      <c r="E200" s="4">
        <v>0</v>
      </c>
      <c r="F200" s="7">
        <v>0</v>
      </c>
      <c r="G200" s="7">
        <v>0</v>
      </c>
      <c r="H200" s="4">
        <v>7</v>
      </c>
      <c r="I200" s="7">
        <v>144</v>
      </c>
      <c r="J200" s="7">
        <v>3.6</v>
      </c>
      <c r="K200" s="4">
        <v>5</v>
      </c>
      <c r="L200" s="7">
        <v>144</v>
      </c>
      <c r="M200" s="7">
        <v>3.6</v>
      </c>
      <c r="N200" s="4">
        <v>2</v>
      </c>
      <c r="O200" s="7">
        <v>52</v>
      </c>
      <c r="P200" s="7">
        <v>1.3</v>
      </c>
      <c r="Q200" s="4">
        <v>7</v>
      </c>
      <c r="R200" s="7">
        <v>196</v>
      </c>
      <c r="S200" s="7">
        <v>4.9000000000000004</v>
      </c>
    </row>
    <row r="201" spans="1:19" ht="13.5" thickBot="1" x14ac:dyDescent="0.25">
      <c r="A201" s="2" t="s">
        <v>596</v>
      </c>
      <c r="B201" s="1" t="s">
        <v>595</v>
      </c>
      <c r="C201" s="2" t="s">
        <v>32</v>
      </c>
      <c r="D201" s="4">
        <v>8833</v>
      </c>
      <c r="E201" s="4">
        <v>1</v>
      </c>
      <c r="F201" s="7">
        <v>35</v>
      </c>
      <c r="G201" s="7">
        <v>0.875</v>
      </c>
      <c r="H201" s="4">
        <v>0</v>
      </c>
      <c r="I201" s="7">
        <v>0</v>
      </c>
      <c r="J201" s="7">
        <v>0</v>
      </c>
      <c r="K201" s="4">
        <v>1</v>
      </c>
      <c r="L201" s="7">
        <v>40</v>
      </c>
      <c r="M201" s="7">
        <v>1</v>
      </c>
      <c r="N201" s="4">
        <v>6</v>
      </c>
      <c r="O201" s="7">
        <v>132</v>
      </c>
      <c r="P201" s="7">
        <v>3.3</v>
      </c>
      <c r="Q201" s="4">
        <v>7</v>
      </c>
      <c r="R201" s="7">
        <v>172</v>
      </c>
      <c r="S201" s="7">
        <v>4.3</v>
      </c>
    </row>
    <row r="202" spans="1:19" ht="13.5" thickBot="1" x14ac:dyDescent="0.25">
      <c r="A202" s="2" t="s">
        <v>604</v>
      </c>
      <c r="B202" s="1" t="s">
        <v>603</v>
      </c>
      <c r="C202" s="2" t="s">
        <v>32</v>
      </c>
      <c r="D202" s="4">
        <v>11503</v>
      </c>
      <c r="E202" s="4">
        <v>2</v>
      </c>
      <c r="F202" s="7">
        <v>70</v>
      </c>
      <c r="G202" s="7">
        <v>1.75</v>
      </c>
      <c r="H202" s="4">
        <v>0</v>
      </c>
      <c r="I202" s="7">
        <v>0</v>
      </c>
      <c r="J202" s="7">
        <v>0</v>
      </c>
      <c r="K202" s="4">
        <v>2</v>
      </c>
      <c r="L202" s="7">
        <v>70</v>
      </c>
      <c r="M202" s="7">
        <v>1.75</v>
      </c>
      <c r="N202" s="4">
        <v>11</v>
      </c>
      <c r="O202" s="7">
        <v>188</v>
      </c>
      <c r="P202" s="7">
        <v>4.7</v>
      </c>
      <c r="Q202" s="4">
        <v>13</v>
      </c>
      <c r="R202" s="7">
        <v>258</v>
      </c>
      <c r="S202" s="7">
        <v>6.45</v>
      </c>
    </row>
    <row r="203" spans="1:19" ht="13.5" thickBot="1" x14ac:dyDescent="0.25">
      <c r="A203" s="2" t="s">
        <v>630</v>
      </c>
      <c r="B203" s="1" t="s">
        <v>629</v>
      </c>
      <c r="C203" s="2" t="s">
        <v>32</v>
      </c>
      <c r="D203" s="4">
        <v>8891</v>
      </c>
      <c r="E203" s="4">
        <v>2</v>
      </c>
      <c r="F203" s="7">
        <v>76</v>
      </c>
      <c r="G203" s="7">
        <v>1.9</v>
      </c>
      <c r="H203" s="4">
        <v>3</v>
      </c>
      <c r="I203" s="7">
        <v>81</v>
      </c>
      <c r="J203" s="7">
        <v>2.0249999999999999</v>
      </c>
      <c r="K203" s="4">
        <v>5</v>
      </c>
      <c r="L203" s="7">
        <v>157</v>
      </c>
      <c r="M203" s="7">
        <v>3.9249999999999998</v>
      </c>
      <c r="N203" s="4">
        <v>4</v>
      </c>
      <c r="O203" s="7">
        <v>40</v>
      </c>
      <c r="P203" s="7">
        <v>1</v>
      </c>
      <c r="Q203" s="4">
        <v>9</v>
      </c>
      <c r="R203" s="7">
        <v>197</v>
      </c>
      <c r="S203" s="7">
        <v>4.9249999999999998</v>
      </c>
    </row>
    <row r="204" spans="1:19" ht="13.5" thickBot="1" x14ac:dyDescent="0.25">
      <c r="A204" s="2" t="s">
        <v>638</v>
      </c>
      <c r="B204" s="1" t="s">
        <v>637</v>
      </c>
      <c r="C204" s="2" t="s">
        <v>32</v>
      </c>
      <c r="D204" s="4">
        <v>8543</v>
      </c>
      <c r="E204" s="4">
        <v>0</v>
      </c>
      <c r="F204" s="7">
        <v>0</v>
      </c>
      <c r="G204" s="7">
        <v>0</v>
      </c>
      <c r="H204" s="4">
        <v>2</v>
      </c>
      <c r="I204" s="170" t="s">
        <v>16</v>
      </c>
      <c r="J204" s="170" t="s">
        <v>16</v>
      </c>
      <c r="K204" s="4">
        <v>2</v>
      </c>
      <c r="L204" s="170" t="s">
        <v>16</v>
      </c>
      <c r="M204" s="170" t="s">
        <v>16</v>
      </c>
      <c r="N204" s="4">
        <v>3</v>
      </c>
      <c r="O204" s="170" t="s">
        <v>16</v>
      </c>
      <c r="P204" s="170" t="s">
        <v>16</v>
      </c>
      <c r="Q204" s="4">
        <v>5</v>
      </c>
      <c r="R204" s="170" t="s">
        <v>16</v>
      </c>
      <c r="S204" s="170" t="s">
        <v>16</v>
      </c>
    </row>
    <row r="205" spans="1:19" ht="13.5" thickBot="1" x14ac:dyDescent="0.25">
      <c r="A205" s="2" t="s">
        <v>646</v>
      </c>
      <c r="B205" s="1" t="s">
        <v>645</v>
      </c>
      <c r="C205" s="2" t="s">
        <v>32</v>
      </c>
      <c r="D205" s="4">
        <v>7580</v>
      </c>
      <c r="E205" s="4">
        <v>1</v>
      </c>
      <c r="F205" s="7">
        <v>25</v>
      </c>
      <c r="G205" s="7">
        <v>0.625</v>
      </c>
      <c r="H205" s="4">
        <v>3</v>
      </c>
      <c r="I205" s="7">
        <v>108</v>
      </c>
      <c r="J205" s="7">
        <v>2.7</v>
      </c>
      <c r="K205" s="4">
        <v>4</v>
      </c>
      <c r="L205" s="7">
        <v>133</v>
      </c>
      <c r="M205" s="7">
        <v>3.3250000000000002</v>
      </c>
      <c r="N205" s="4">
        <v>6</v>
      </c>
      <c r="O205" s="7">
        <v>110</v>
      </c>
      <c r="P205" s="7">
        <v>2.75</v>
      </c>
      <c r="Q205" s="4">
        <v>10</v>
      </c>
      <c r="R205" s="7">
        <v>243</v>
      </c>
      <c r="S205" s="7">
        <v>6.0750000000000002</v>
      </c>
    </row>
    <row r="206" spans="1:19" ht="13.5" thickBot="1" x14ac:dyDescent="0.25">
      <c r="A206" s="2" t="s">
        <v>656</v>
      </c>
      <c r="B206" s="1" t="s">
        <v>655</v>
      </c>
      <c r="C206" s="2" t="s">
        <v>32</v>
      </c>
      <c r="D206" s="4">
        <v>7903</v>
      </c>
      <c r="E206" s="77">
        <v>2</v>
      </c>
      <c r="F206" s="7">
        <v>50</v>
      </c>
      <c r="G206" s="7">
        <v>1.25</v>
      </c>
      <c r="H206" s="171">
        <v>0</v>
      </c>
      <c r="I206" s="7">
        <v>0</v>
      </c>
      <c r="J206" s="7">
        <v>0</v>
      </c>
      <c r="K206" s="4">
        <v>2</v>
      </c>
      <c r="L206" s="7">
        <v>50</v>
      </c>
      <c r="M206" s="7">
        <v>1.25</v>
      </c>
      <c r="N206" s="4">
        <v>1</v>
      </c>
      <c r="O206" s="7">
        <v>13</v>
      </c>
      <c r="P206" s="7">
        <v>0.32500000000000001</v>
      </c>
      <c r="Q206" s="4">
        <v>3</v>
      </c>
      <c r="R206" s="7">
        <v>63</v>
      </c>
      <c r="S206" s="7">
        <v>1.575</v>
      </c>
    </row>
    <row r="207" spans="1:19" ht="13.5" thickBot="1" x14ac:dyDescent="0.25">
      <c r="A207" s="2" t="s">
        <v>674</v>
      </c>
      <c r="B207" s="1" t="s">
        <v>673</v>
      </c>
      <c r="C207" s="2" t="s">
        <v>32</v>
      </c>
      <c r="D207" s="4">
        <v>11480</v>
      </c>
      <c r="E207" s="4">
        <v>1</v>
      </c>
      <c r="F207" s="7">
        <v>40</v>
      </c>
      <c r="G207" s="7">
        <v>1</v>
      </c>
      <c r="H207" s="4">
        <v>3</v>
      </c>
      <c r="I207" s="7">
        <v>120</v>
      </c>
      <c r="J207" s="7">
        <v>3</v>
      </c>
      <c r="K207" s="4">
        <v>4</v>
      </c>
      <c r="L207" s="7">
        <v>160</v>
      </c>
      <c r="M207" s="7">
        <v>4</v>
      </c>
      <c r="N207" s="4">
        <v>14</v>
      </c>
      <c r="O207" s="7">
        <v>105</v>
      </c>
      <c r="P207" s="7">
        <v>2.625</v>
      </c>
      <c r="Q207" s="4">
        <v>14</v>
      </c>
      <c r="R207" s="7">
        <v>265</v>
      </c>
      <c r="S207" s="7">
        <v>6.625</v>
      </c>
    </row>
    <row r="208" spans="1:19" ht="13.5" thickBot="1" x14ac:dyDescent="0.25">
      <c r="A208" s="2" t="s">
        <v>676</v>
      </c>
      <c r="B208" s="1" t="s">
        <v>675</v>
      </c>
      <c r="C208" s="2" t="s">
        <v>32</v>
      </c>
      <c r="D208" s="4">
        <v>7798</v>
      </c>
      <c r="E208" s="4">
        <v>0</v>
      </c>
      <c r="F208" s="7">
        <v>0</v>
      </c>
      <c r="G208" s="7">
        <v>0</v>
      </c>
      <c r="H208" s="77">
        <v>2</v>
      </c>
      <c r="I208" s="7">
        <v>60</v>
      </c>
      <c r="J208" s="7">
        <v>1.5</v>
      </c>
      <c r="K208" s="4">
        <v>2</v>
      </c>
      <c r="L208" s="7">
        <v>60</v>
      </c>
      <c r="M208" s="7">
        <v>1.5</v>
      </c>
      <c r="N208" s="4">
        <v>5</v>
      </c>
      <c r="O208" s="7">
        <v>98</v>
      </c>
      <c r="P208" s="7">
        <v>2.4500000000000002</v>
      </c>
      <c r="Q208" s="4">
        <v>7</v>
      </c>
      <c r="R208" s="7">
        <v>158</v>
      </c>
      <c r="S208" s="7">
        <v>3.95</v>
      </c>
    </row>
    <row r="209" spans="1:19" ht="13.5" thickBot="1" x14ac:dyDescent="0.25">
      <c r="A209" s="2" t="s">
        <v>684</v>
      </c>
      <c r="B209" s="1" t="s">
        <v>683</v>
      </c>
      <c r="C209" s="2" t="s">
        <v>32</v>
      </c>
      <c r="D209" s="4">
        <v>7357</v>
      </c>
      <c r="E209" s="4">
        <v>0</v>
      </c>
      <c r="F209" s="7">
        <v>0</v>
      </c>
      <c r="G209" s="7">
        <v>0</v>
      </c>
      <c r="H209" s="4">
        <v>6</v>
      </c>
      <c r="I209" s="7">
        <v>142</v>
      </c>
      <c r="J209" s="7">
        <v>3.55</v>
      </c>
      <c r="K209" s="4">
        <v>6</v>
      </c>
      <c r="L209" s="7">
        <v>142</v>
      </c>
      <c r="M209" s="7">
        <v>3.55</v>
      </c>
      <c r="N209" s="4">
        <v>1</v>
      </c>
      <c r="O209" s="7">
        <v>14</v>
      </c>
      <c r="P209" s="7">
        <v>0.35</v>
      </c>
      <c r="Q209" s="4">
        <v>7</v>
      </c>
      <c r="R209" s="7">
        <v>156</v>
      </c>
      <c r="S209" s="7">
        <v>3.9</v>
      </c>
    </row>
    <row r="210" spans="1:19" ht="13.5" thickBot="1" x14ac:dyDescent="0.25">
      <c r="A210" s="2" t="s">
        <v>690</v>
      </c>
      <c r="B210" s="1" t="s">
        <v>689</v>
      </c>
      <c r="C210" s="2" t="s">
        <v>32</v>
      </c>
      <c r="D210" s="4">
        <v>7103</v>
      </c>
      <c r="E210" s="4">
        <v>0</v>
      </c>
      <c r="F210" s="7">
        <v>0</v>
      </c>
      <c r="G210" s="7">
        <v>0</v>
      </c>
      <c r="H210" s="4">
        <v>1</v>
      </c>
      <c r="I210" s="7">
        <v>40</v>
      </c>
      <c r="J210" s="7">
        <v>1</v>
      </c>
      <c r="K210" s="4">
        <v>1</v>
      </c>
      <c r="L210" s="7">
        <v>40</v>
      </c>
      <c r="M210" s="7">
        <v>1</v>
      </c>
      <c r="N210" s="4">
        <v>16</v>
      </c>
      <c r="O210" s="7">
        <v>152.25</v>
      </c>
      <c r="P210" s="7">
        <v>3.8062499999999999</v>
      </c>
      <c r="Q210" s="4">
        <v>17</v>
      </c>
      <c r="R210" s="7">
        <v>192.25</v>
      </c>
      <c r="S210" s="7">
        <v>4.8062500000000004</v>
      </c>
    </row>
    <row r="211" spans="1:19" ht="13.5" thickBot="1" x14ac:dyDescent="0.25">
      <c r="A211" s="2" t="s">
        <v>694</v>
      </c>
      <c r="B211" s="1" t="s">
        <v>693</v>
      </c>
      <c r="C211" s="2" t="s">
        <v>32</v>
      </c>
      <c r="D211" s="4">
        <v>10017</v>
      </c>
      <c r="E211" s="4">
        <v>1</v>
      </c>
      <c r="F211" s="7">
        <v>40</v>
      </c>
      <c r="G211" s="7">
        <v>1</v>
      </c>
      <c r="H211" s="4">
        <v>1</v>
      </c>
      <c r="I211" s="7">
        <v>37</v>
      </c>
      <c r="J211" s="7">
        <v>0.92500000000000004</v>
      </c>
      <c r="K211" s="4">
        <v>2</v>
      </c>
      <c r="L211" s="7">
        <v>77</v>
      </c>
      <c r="M211" s="7">
        <v>1.925</v>
      </c>
      <c r="N211" s="4">
        <v>7</v>
      </c>
      <c r="O211" s="7">
        <v>145</v>
      </c>
      <c r="P211" s="7">
        <v>3.625</v>
      </c>
      <c r="Q211" s="4">
        <v>11</v>
      </c>
      <c r="R211" s="7">
        <v>222</v>
      </c>
      <c r="S211" s="7">
        <v>5.55</v>
      </c>
    </row>
    <row r="212" spans="1:19" ht="13.5" thickBot="1" x14ac:dyDescent="0.25">
      <c r="A212" s="2" t="s">
        <v>700</v>
      </c>
      <c r="B212" s="1" t="s">
        <v>699</v>
      </c>
      <c r="C212" s="2" t="s">
        <v>32</v>
      </c>
      <c r="D212" s="4">
        <v>7272</v>
      </c>
      <c r="E212" s="4">
        <v>0</v>
      </c>
      <c r="F212" s="7">
        <v>0</v>
      </c>
      <c r="G212" s="7">
        <v>0</v>
      </c>
      <c r="H212" s="4">
        <v>1</v>
      </c>
      <c r="I212" s="7">
        <v>40</v>
      </c>
      <c r="J212" s="7">
        <v>1</v>
      </c>
      <c r="K212" s="4">
        <v>1</v>
      </c>
      <c r="L212" s="7">
        <v>40</v>
      </c>
      <c r="M212" s="7">
        <v>1</v>
      </c>
      <c r="N212" s="4">
        <v>5</v>
      </c>
      <c r="O212" s="7">
        <v>97</v>
      </c>
      <c r="P212" s="7">
        <v>2.4249999999999998</v>
      </c>
      <c r="Q212" s="4">
        <v>6</v>
      </c>
      <c r="R212" s="7">
        <v>137</v>
      </c>
      <c r="S212" s="7">
        <v>3.4249999999999998</v>
      </c>
    </row>
    <row r="213" spans="1:19" ht="13.5" thickBot="1" x14ac:dyDescent="0.25">
      <c r="A213" s="2" t="s">
        <v>706</v>
      </c>
      <c r="B213" s="1" t="s">
        <v>705</v>
      </c>
      <c r="C213" s="2" t="s">
        <v>32</v>
      </c>
      <c r="D213" s="4">
        <v>11377</v>
      </c>
      <c r="E213" s="4">
        <v>0</v>
      </c>
      <c r="F213" s="7">
        <v>0</v>
      </c>
      <c r="G213" s="7">
        <v>0</v>
      </c>
      <c r="H213" s="4">
        <v>1</v>
      </c>
      <c r="I213" s="7">
        <v>35</v>
      </c>
      <c r="J213" s="7">
        <v>0.875</v>
      </c>
      <c r="K213" s="4">
        <v>1</v>
      </c>
      <c r="L213" s="7">
        <v>35</v>
      </c>
      <c r="M213" s="7">
        <v>0.875</v>
      </c>
      <c r="N213" s="4">
        <v>8</v>
      </c>
      <c r="O213" s="7">
        <v>194</v>
      </c>
      <c r="P213" s="7">
        <v>4.8499999999999996</v>
      </c>
      <c r="Q213" s="4">
        <v>9</v>
      </c>
      <c r="R213" s="7">
        <v>229</v>
      </c>
      <c r="S213" s="7">
        <v>5.7249999999999996</v>
      </c>
    </row>
    <row r="214" spans="1:19" ht="13.5" thickBot="1" x14ac:dyDescent="0.25">
      <c r="A214" s="2" t="s">
        <v>718</v>
      </c>
      <c r="B214" s="1" t="s">
        <v>717</v>
      </c>
      <c r="C214" s="2" t="s">
        <v>32</v>
      </c>
      <c r="D214" s="4">
        <v>8386</v>
      </c>
      <c r="E214" s="77">
        <v>2</v>
      </c>
      <c r="F214" s="7">
        <v>52</v>
      </c>
      <c r="G214" s="7">
        <v>1.3</v>
      </c>
      <c r="H214" s="4">
        <v>9</v>
      </c>
      <c r="I214" s="7">
        <v>191.85</v>
      </c>
      <c r="J214" s="7">
        <v>4.7962499999999997</v>
      </c>
      <c r="K214" s="4">
        <v>11</v>
      </c>
      <c r="L214" s="7">
        <v>243.85</v>
      </c>
      <c r="M214" s="7">
        <v>6.0962500000000004</v>
      </c>
      <c r="N214" s="4">
        <v>4</v>
      </c>
      <c r="O214" s="7">
        <v>41</v>
      </c>
      <c r="P214" s="7">
        <v>1.0249999999999999</v>
      </c>
      <c r="Q214" s="4">
        <v>15</v>
      </c>
      <c r="R214" s="7">
        <v>284.85000000000002</v>
      </c>
      <c r="S214" s="7">
        <v>7.1212499999999999</v>
      </c>
    </row>
    <row r="215" spans="1:19" ht="13.5" thickBot="1" x14ac:dyDescent="0.25">
      <c r="A215" s="2" t="s">
        <v>724</v>
      </c>
      <c r="B215" s="1" t="s">
        <v>723</v>
      </c>
      <c r="C215" s="2" t="s">
        <v>32</v>
      </c>
      <c r="D215" s="4">
        <v>9110</v>
      </c>
      <c r="E215" s="4">
        <v>0</v>
      </c>
      <c r="F215" s="7">
        <v>0</v>
      </c>
      <c r="G215" s="7">
        <v>0</v>
      </c>
      <c r="H215" s="4">
        <v>9</v>
      </c>
      <c r="I215" s="7">
        <v>105</v>
      </c>
      <c r="J215" s="7">
        <v>2.625</v>
      </c>
      <c r="K215" s="4">
        <v>9</v>
      </c>
      <c r="L215" s="7">
        <v>105</v>
      </c>
      <c r="M215" s="7">
        <v>2.625</v>
      </c>
      <c r="N215" s="4">
        <v>4</v>
      </c>
      <c r="O215" s="7">
        <v>11</v>
      </c>
      <c r="P215" s="7">
        <v>0.27500000000000002</v>
      </c>
      <c r="Q215" s="4">
        <v>13</v>
      </c>
      <c r="R215" s="7">
        <v>116</v>
      </c>
      <c r="S215" s="7">
        <v>2.9</v>
      </c>
    </row>
    <row r="216" spans="1:19" ht="13.5" thickBot="1" x14ac:dyDescent="0.25">
      <c r="A216" s="2" t="s">
        <v>726</v>
      </c>
      <c r="B216" s="1" t="s">
        <v>725</v>
      </c>
      <c r="C216" s="2" t="s">
        <v>32</v>
      </c>
      <c r="D216" s="4">
        <v>9645</v>
      </c>
      <c r="E216" s="4">
        <v>1</v>
      </c>
      <c r="F216" s="7">
        <v>40</v>
      </c>
      <c r="G216" s="7">
        <v>1</v>
      </c>
      <c r="H216" s="4">
        <v>0</v>
      </c>
      <c r="I216" s="7">
        <v>0</v>
      </c>
      <c r="J216" s="7">
        <v>0</v>
      </c>
      <c r="K216" s="4">
        <v>1</v>
      </c>
      <c r="L216" s="7">
        <v>40</v>
      </c>
      <c r="M216" s="7">
        <v>1</v>
      </c>
      <c r="N216" s="4">
        <v>8</v>
      </c>
      <c r="O216" s="7">
        <v>227.5</v>
      </c>
      <c r="P216" s="7">
        <v>5.6875</v>
      </c>
      <c r="Q216" s="4">
        <v>9</v>
      </c>
      <c r="R216" s="7">
        <v>267.5</v>
      </c>
      <c r="S216" s="7">
        <v>6.6875</v>
      </c>
    </row>
    <row r="217" spans="1:19" ht="13.5" thickBot="1" x14ac:dyDescent="0.25">
      <c r="A217" s="2" t="s">
        <v>742</v>
      </c>
      <c r="B217" s="1" t="s">
        <v>741</v>
      </c>
      <c r="C217" s="2" t="s">
        <v>32</v>
      </c>
      <c r="D217" s="4">
        <v>9301</v>
      </c>
      <c r="E217" s="4">
        <v>1</v>
      </c>
      <c r="F217" s="7">
        <v>40</v>
      </c>
      <c r="G217" s="7">
        <v>1</v>
      </c>
      <c r="H217" s="4">
        <v>0</v>
      </c>
      <c r="I217" s="7">
        <v>0</v>
      </c>
      <c r="J217" s="7">
        <v>0</v>
      </c>
      <c r="K217" s="4">
        <v>1</v>
      </c>
      <c r="L217" s="7">
        <v>40</v>
      </c>
      <c r="M217" s="7">
        <v>1</v>
      </c>
      <c r="N217" s="4">
        <v>5</v>
      </c>
      <c r="O217" s="7">
        <v>160</v>
      </c>
      <c r="P217" s="7">
        <v>4</v>
      </c>
      <c r="Q217" s="4">
        <v>6</v>
      </c>
      <c r="R217" s="7">
        <v>200</v>
      </c>
      <c r="S217" s="7">
        <v>5</v>
      </c>
    </row>
    <row r="218" spans="1:19" ht="13.5" thickBot="1" x14ac:dyDescent="0.25">
      <c r="A218" s="2" t="s">
        <v>747</v>
      </c>
      <c r="B218" s="1" t="s">
        <v>746</v>
      </c>
      <c r="C218" s="2" t="s">
        <v>32</v>
      </c>
      <c r="D218" s="4">
        <v>7851</v>
      </c>
      <c r="E218" s="4">
        <v>0</v>
      </c>
      <c r="F218" s="7">
        <v>0</v>
      </c>
      <c r="G218" s="7">
        <v>0</v>
      </c>
      <c r="H218" s="4">
        <v>1</v>
      </c>
      <c r="I218" s="7">
        <v>40</v>
      </c>
      <c r="J218" s="7">
        <v>1</v>
      </c>
      <c r="K218" s="4">
        <v>1</v>
      </c>
      <c r="L218" s="7">
        <v>40</v>
      </c>
      <c r="M218" s="7">
        <v>1</v>
      </c>
      <c r="N218" s="4">
        <v>6</v>
      </c>
      <c r="O218" s="7">
        <v>98</v>
      </c>
      <c r="P218" s="7">
        <v>2.4500000000000002</v>
      </c>
      <c r="Q218" s="4">
        <v>7</v>
      </c>
      <c r="R218" s="7">
        <v>138</v>
      </c>
      <c r="S218" s="7">
        <v>3.45</v>
      </c>
    </row>
    <row r="219" spans="1:19" ht="13.5" thickBot="1" x14ac:dyDescent="0.25">
      <c r="A219" s="2" t="s">
        <v>749</v>
      </c>
      <c r="B219" s="1" t="s">
        <v>748</v>
      </c>
      <c r="C219" s="2" t="s">
        <v>32</v>
      </c>
      <c r="D219" s="4">
        <v>10250</v>
      </c>
      <c r="E219" s="4">
        <v>1</v>
      </c>
      <c r="F219" s="7">
        <v>40</v>
      </c>
      <c r="G219" s="7">
        <v>1</v>
      </c>
      <c r="H219" s="4">
        <v>1</v>
      </c>
      <c r="I219" s="7">
        <v>20</v>
      </c>
      <c r="J219" s="7">
        <v>0.5</v>
      </c>
      <c r="K219" s="4">
        <v>2</v>
      </c>
      <c r="L219" s="7">
        <v>60</v>
      </c>
      <c r="M219" s="7">
        <v>1.5</v>
      </c>
      <c r="N219" s="4">
        <v>7</v>
      </c>
      <c r="O219" s="7">
        <v>158</v>
      </c>
      <c r="P219" s="7">
        <v>3.95</v>
      </c>
      <c r="Q219" s="4">
        <v>9</v>
      </c>
      <c r="R219" s="7">
        <v>218</v>
      </c>
      <c r="S219" s="7">
        <v>5.45</v>
      </c>
    </row>
    <row r="220" spans="1:19" ht="13.5" thickBot="1" x14ac:dyDescent="0.25">
      <c r="A220" s="2" t="s">
        <v>759</v>
      </c>
      <c r="B220" s="1" t="s">
        <v>758</v>
      </c>
      <c r="C220" s="2" t="s">
        <v>32</v>
      </c>
      <c r="D220" s="4">
        <v>10662</v>
      </c>
      <c r="E220" s="4">
        <v>1</v>
      </c>
      <c r="F220" s="7">
        <v>40</v>
      </c>
      <c r="G220" s="7">
        <v>1</v>
      </c>
      <c r="H220" s="4">
        <v>2</v>
      </c>
      <c r="I220" s="7">
        <v>58.5</v>
      </c>
      <c r="J220" s="7">
        <v>1.4624999999999999</v>
      </c>
      <c r="K220" s="4">
        <v>3</v>
      </c>
      <c r="L220" s="7">
        <v>98.5</v>
      </c>
      <c r="M220" s="7">
        <v>2.4624999999999999</v>
      </c>
      <c r="N220" s="4">
        <v>2</v>
      </c>
      <c r="O220" s="7">
        <v>36</v>
      </c>
      <c r="P220" s="7">
        <v>0.9</v>
      </c>
      <c r="Q220" s="4">
        <v>5</v>
      </c>
      <c r="R220" s="7">
        <v>134.5</v>
      </c>
      <c r="S220" s="7">
        <v>3.3624999999999998</v>
      </c>
    </row>
    <row r="221" spans="1:19" ht="13.5" thickBot="1" x14ac:dyDescent="0.25">
      <c r="A221" s="2" t="s">
        <v>763</v>
      </c>
      <c r="B221" s="1" t="s">
        <v>762</v>
      </c>
      <c r="C221" s="2" t="s">
        <v>32</v>
      </c>
      <c r="D221" s="4">
        <v>11985</v>
      </c>
      <c r="E221" s="77">
        <v>1</v>
      </c>
      <c r="F221" s="7">
        <v>40</v>
      </c>
      <c r="G221" s="7">
        <v>1</v>
      </c>
      <c r="H221" s="4">
        <v>1</v>
      </c>
      <c r="I221" s="7">
        <v>40</v>
      </c>
      <c r="J221" s="7">
        <v>1</v>
      </c>
      <c r="K221" s="4">
        <v>2</v>
      </c>
      <c r="L221" s="7">
        <v>80</v>
      </c>
      <c r="M221" s="7">
        <v>2</v>
      </c>
      <c r="N221" s="4">
        <v>7</v>
      </c>
      <c r="O221" s="7">
        <v>135</v>
      </c>
      <c r="P221" s="7">
        <v>3.375</v>
      </c>
      <c r="Q221" s="4">
        <v>9</v>
      </c>
      <c r="R221" s="7">
        <v>215</v>
      </c>
      <c r="S221" s="7">
        <v>5.375</v>
      </c>
    </row>
    <row r="222" spans="1:19" ht="13.5" thickBot="1" x14ac:dyDescent="0.25">
      <c r="A222" s="2" t="s">
        <v>765</v>
      </c>
      <c r="B222" s="1" t="s">
        <v>764</v>
      </c>
      <c r="C222" s="2" t="s">
        <v>32</v>
      </c>
      <c r="D222" s="4">
        <v>8147</v>
      </c>
      <c r="E222" s="4">
        <v>0</v>
      </c>
      <c r="F222" s="7">
        <v>0</v>
      </c>
      <c r="G222" s="7">
        <v>0</v>
      </c>
      <c r="H222" s="4">
        <v>6</v>
      </c>
      <c r="I222" s="7">
        <v>105</v>
      </c>
      <c r="J222" s="7">
        <v>2.625</v>
      </c>
      <c r="K222" s="4">
        <v>6</v>
      </c>
      <c r="L222" s="7">
        <v>105</v>
      </c>
      <c r="M222" s="7">
        <v>2.625</v>
      </c>
      <c r="N222" s="4">
        <v>1</v>
      </c>
      <c r="O222" s="7">
        <v>6</v>
      </c>
      <c r="P222" s="7">
        <v>0.15</v>
      </c>
      <c r="Q222" s="4">
        <v>7</v>
      </c>
      <c r="R222" s="7">
        <v>111</v>
      </c>
      <c r="S222" s="7">
        <v>2.7749999999999999</v>
      </c>
    </row>
    <row r="223" spans="1:19" ht="13.5" thickBot="1" x14ac:dyDescent="0.25">
      <c r="A223" s="2" t="s">
        <v>773</v>
      </c>
      <c r="B223" s="1" t="s">
        <v>772</v>
      </c>
      <c r="C223" s="2" t="s">
        <v>32</v>
      </c>
      <c r="D223" s="4">
        <v>9714</v>
      </c>
      <c r="E223" s="4">
        <v>0</v>
      </c>
      <c r="F223" s="7">
        <v>0</v>
      </c>
      <c r="G223" s="7">
        <v>0</v>
      </c>
      <c r="H223" s="4">
        <v>2</v>
      </c>
      <c r="I223" s="7">
        <v>80</v>
      </c>
      <c r="J223" s="7">
        <v>2</v>
      </c>
      <c r="K223" s="4">
        <v>2</v>
      </c>
      <c r="L223" s="7">
        <v>80</v>
      </c>
      <c r="M223" s="7">
        <v>2</v>
      </c>
      <c r="N223" s="4">
        <v>3</v>
      </c>
      <c r="O223" s="7">
        <v>61</v>
      </c>
      <c r="P223" s="7">
        <v>1.5249999999999999</v>
      </c>
      <c r="Q223" s="4">
        <v>5</v>
      </c>
      <c r="R223" s="7">
        <v>141</v>
      </c>
      <c r="S223" s="7">
        <v>3.5249999999999999</v>
      </c>
    </row>
    <row r="224" spans="1:19" ht="13.5" thickBot="1" x14ac:dyDescent="0.25">
      <c r="A224" s="2" t="s">
        <v>803</v>
      </c>
      <c r="B224" s="1" t="s">
        <v>802</v>
      </c>
      <c r="C224" s="2" t="s">
        <v>32</v>
      </c>
      <c r="D224" s="4">
        <v>9514</v>
      </c>
      <c r="E224" s="4">
        <v>0</v>
      </c>
      <c r="F224" s="7">
        <v>0</v>
      </c>
      <c r="G224" s="7">
        <v>0</v>
      </c>
      <c r="H224" s="77">
        <v>1</v>
      </c>
      <c r="I224" s="7">
        <v>37</v>
      </c>
      <c r="J224" s="7">
        <v>0.92500000000000004</v>
      </c>
      <c r="K224" s="4">
        <v>1</v>
      </c>
      <c r="L224" s="7">
        <v>37</v>
      </c>
      <c r="M224" s="7">
        <v>0.92500000000000004</v>
      </c>
      <c r="N224" s="4">
        <v>2</v>
      </c>
      <c r="O224" s="7">
        <v>37</v>
      </c>
      <c r="P224" s="7">
        <v>0.92500000000000004</v>
      </c>
      <c r="Q224" s="4">
        <v>4</v>
      </c>
      <c r="R224" s="7">
        <v>74</v>
      </c>
      <c r="S224" s="7">
        <v>1.85</v>
      </c>
    </row>
    <row r="225" spans="1:19" ht="13.5" thickBot="1" x14ac:dyDescent="0.25">
      <c r="A225" s="2" t="s">
        <v>817</v>
      </c>
      <c r="B225" s="1" t="s">
        <v>816</v>
      </c>
      <c r="C225" s="2" t="s">
        <v>32</v>
      </c>
      <c r="D225" s="4">
        <v>9138</v>
      </c>
      <c r="E225" s="4">
        <v>1</v>
      </c>
      <c r="F225" s="7">
        <v>40</v>
      </c>
      <c r="G225" s="7">
        <v>1</v>
      </c>
      <c r="H225" s="4">
        <v>0</v>
      </c>
      <c r="I225" s="7">
        <v>0</v>
      </c>
      <c r="J225" s="7">
        <v>0</v>
      </c>
      <c r="K225" s="4">
        <v>1</v>
      </c>
      <c r="L225" s="7">
        <v>40</v>
      </c>
      <c r="M225" s="7">
        <v>1</v>
      </c>
      <c r="N225" s="4">
        <v>5</v>
      </c>
      <c r="O225" s="7">
        <v>130</v>
      </c>
      <c r="P225" s="7">
        <v>3.25</v>
      </c>
      <c r="Q225" s="4">
        <v>6</v>
      </c>
      <c r="R225" s="7">
        <v>170</v>
      </c>
      <c r="S225" s="7">
        <v>4.25</v>
      </c>
    </row>
    <row r="226" spans="1:19" ht="13.5" thickBot="1" x14ac:dyDescent="0.25">
      <c r="A226" s="2" t="s">
        <v>819</v>
      </c>
      <c r="B226" s="1" t="s">
        <v>818</v>
      </c>
      <c r="C226" s="2" t="s">
        <v>32</v>
      </c>
      <c r="D226" s="4">
        <v>7370</v>
      </c>
      <c r="E226" s="4">
        <v>0</v>
      </c>
      <c r="F226" s="7">
        <v>0</v>
      </c>
      <c r="G226" s="7">
        <v>0</v>
      </c>
      <c r="H226" s="4">
        <v>0</v>
      </c>
      <c r="I226" s="7">
        <v>40</v>
      </c>
      <c r="J226" s="7">
        <v>1</v>
      </c>
      <c r="K226" s="4">
        <v>1</v>
      </c>
      <c r="L226" s="7">
        <v>40</v>
      </c>
      <c r="M226" s="7">
        <v>1</v>
      </c>
      <c r="N226" s="4">
        <v>8</v>
      </c>
      <c r="O226" s="7">
        <v>223</v>
      </c>
      <c r="P226" s="7">
        <v>5.5750000000000002</v>
      </c>
      <c r="Q226" s="4">
        <v>8</v>
      </c>
      <c r="R226" s="7">
        <v>263</v>
      </c>
      <c r="S226" s="7">
        <v>6.5750000000000002</v>
      </c>
    </row>
    <row r="227" spans="1:19" ht="13.5" thickBot="1" x14ac:dyDescent="0.25">
      <c r="A227" s="2" t="s">
        <v>823</v>
      </c>
      <c r="B227" s="1" t="s">
        <v>822</v>
      </c>
      <c r="C227" s="2" t="s">
        <v>32</v>
      </c>
      <c r="D227" s="4">
        <v>8533</v>
      </c>
      <c r="E227" s="4">
        <v>0</v>
      </c>
      <c r="F227" s="7">
        <v>0</v>
      </c>
      <c r="G227" s="7">
        <v>0</v>
      </c>
      <c r="H227" s="4">
        <v>9</v>
      </c>
      <c r="I227" s="7">
        <v>228.5</v>
      </c>
      <c r="J227" s="7">
        <v>5.7125000000000004</v>
      </c>
      <c r="K227" s="4">
        <v>9</v>
      </c>
      <c r="L227" s="7">
        <v>228.5</v>
      </c>
      <c r="M227" s="7">
        <v>5.7125000000000004</v>
      </c>
      <c r="N227" s="4">
        <v>0</v>
      </c>
      <c r="O227" s="7">
        <v>0</v>
      </c>
      <c r="P227" s="7">
        <v>0</v>
      </c>
      <c r="Q227" s="4">
        <v>0</v>
      </c>
      <c r="R227" s="7">
        <v>228.5</v>
      </c>
      <c r="S227" s="7">
        <v>5.7125000000000004</v>
      </c>
    </row>
    <row r="228" spans="1:19" ht="13.5" thickBot="1" x14ac:dyDescent="0.25">
      <c r="A228" s="2" t="s">
        <v>825</v>
      </c>
      <c r="B228" s="1" t="s">
        <v>824</v>
      </c>
      <c r="C228" s="2" t="s">
        <v>32</v>
      </c>
      <c r="D228" s="4">
        <v>11811</v>
      </c>
      <c r="E228" s="4">
        <v>1</v>
      </c>
      <c r="F228" s="7">
        <v>40</v>
      </c>
      <c r="G228" s="7">
        <v>1</v>
      </c>
      <c r="H228" s="4">
        <v>6</v>
      </c>
      <c r="I228" s="7">
        <v>145</v>
      </c>
      <c r="J228" s="7">
        <v>3.625</v>
      </c>
      <c r="K228" s="4">
        <v>7</v>
      </c>
      <c r="L228" s="7">
        <v>185</v>
      </c>
      <c r="M228" s="7">
        <v>4.625</v>
      </c>
      <c r="N228" s="4">
        <v>11</v>
      </c>
      <c r="O228" s="7">
        <v>103</v>
      </c>
      <c r="P228" s="7">
        <v>2.5750000000000002</v>
      </c>
      <c r="Q228" s="4">
        <v>18</v>
      </c>
      <c r="R228" s="7">
        <v>288</v>
      </c>
      <c r="S228" s="7">
        <v>7.2</v>
      </c>
    </row>
    <row r="229" spans="1:19" ht="13.5" thickBot="1" x14ac:dyDescent="0.25">
      <c r="A229" s="2" t="s">
        <v>831</v>
      </c>
      <c r="B229" s="1" t="s">
        <v>830</v>
      </c>
      <c r="C229" s="2" t="s">
        <v>32</v>
      </c>
      <c r="D229" s="4">
        <v>10014</v>
      </c>
      <c r="E229" s="4">
        <v>1</v>
      </c>
      <c r="F229" s="7">
        <v>30</v>
      </c>
      <c r="G229" s="7">
        <v>0.75</v>
      </c>
      <c r="H229" s="4">
        <v>0</v>
      </c>
      <c r="I229" s="7">
        <v>0</v>
      </c>
      <c r="J229" s="7">
        <v>0</v>
      </c>
      <c r="K229" s="4">
        <v>1</v>
      </c>
      <c r="L229" s="7">
        <v>30</v>
      </c>
      <c r="M229" s="7">
        <v>0.75</v>
      </c>
      <c r="N229" s="4">
        <v>7</v>
      </c>
      <c r="O229" s="7">
        <v>115</v>
      </c>
      <c r="P229" s="7">
        <v>2.875</v>
      </c>
      <c r="Q229" s="4">
        <v>8</v>
      </c>
      <c r="R229" s="7">
        <v>145</v>
      </c>
      <c r="S229" s="7">
        <v>3.625</v>
      </c>
    </row>
    <row r="230" spans="1:19" ht="13.5" thickBot="1" x14ac:dyDescent="0.25">
      <c r="A230" s="2" t="s">
        <v>26</v>
      </c>
      <c r="B230" s="1" t="s">
        <v>25</v>
      </c>
      <c r="C230" s="2" t="s">
        <v>29</v>
      </c>
      <c r="D230" s="4">
        <v>21133</v>
      </c>
      <c r="E230" s="4">
        <v>3</v>
      </c>
      <c r="F230" s="7">
        <v>120</v>
      </c>
      <c r="G230" s="7">
        <v>3</v>
      </c>
      <c r="H230" s="4">
        <v>0</v>
      </c>
      <c r="I230" s="7">
        <v>0</v>
      </c>
      <c r="J230" s="7">
        <v>0</v>
      </c>
      <c r="K230" s="4">
        <v>3</v>
      </c>
      <c r="L230" s="7">
        <v>120</v>
      </c>
      <c r="M230" s="7">
        <v>3</v>
      </c>
      <c r="N230" s="4">
        <v>10</v>
      </c>
      <c r="O230" s="7">
        <v>236</v>
      </c>
      <c r="P230" s="7">
        <v>5.9</v>
      </c>
      <c r="Q230" s="4">
        <v>12</v>
      </c>
      <c r="R230" s="7">
        <v>356</v>
      </c>
      <c r="S230" s="7">
        <v>8.9</v>
      </c>
    </row>
    <row r="231" spans="1:19" ht="13.5" thickBot="1" x14ac:dyDescent="0.25">
      <c r="A231" s="2" t="s">
        <v>42</v>
      </c>
      <c r="B231" s="1" t="s">
        <v>41</v>
      </c>
      <c r="C231" s="2" t="s">
        <v>29</v>
      </c>
      <c r="D231" s="4">
        <v>17401</v>
      </c>
      <c r="E231" s="77">
        <v>3</v>
      </c>
      <c r="F231" s="7">
        <v>112</v>
      </c>
      <c r="G231" s="7">
        <v>2.8</v>
      </c>
      <c r="H231" s="4">
        <v>2</v>
      </c>
      <c r="I231" s="7">
        <v>80</v>
      </c>
      <c r="J231" s="7">
        <v>2</v>
      </c>
      <c r="K231" s="4">
        <v>5</v>
      </c>
      <c r="L231" s="7">
        <v>192</v>
      </c>
      <c r="M231" s="7">
        <v>4.8</v>
      </c>
      <c r="N231" s="4">
        <v>10</v>
      </c>
      <c r="O231" s="7">
        <v>165</v>
      </c>
      <c r="P231" s="7">
        <v>4.125</v>
      </c>
      <c r="Q231" s="4">
        <v>15</v>
      </c>
      <c r="R231" s="7">
        <v>357</v>
      </c>
      <c r="S231" s="7">
        <v>8.9250000000000007</v>
      </c>
    </row>
    <row r="232" spans="1:19" ht="13.5" thickBot="1" x14ac:dyDescent="0.25">
      <c r="A232" s="2" t="s">
        <v>70</v>
      </c>
      <c r="B232" s="1" t="s">
        <v>69</v>
      </c>
      <c r="C232" s="2" t="s">
        <v>29</v>
      </c>
      <c r="D232" s="4">
        <v>21412</v>
      </c>
      <c r="E232" s="4">
        <v>8</v>
      </c>
      <c r="F232" s="7">
        <v>236</v>
      </c>
      <c r="G232" s="7">
        <v>5.9</v>
      </c>
      <c r="H232" s="4">
        <v>1</v>
      </c>
      <c r="I232" s="7">
        <v>18</v>
      </c>
      <c r="J232" s="7">
        <v>0.45</v>
      </c>
      <c r="K232" s="4">
        <v>9</v>
      </c>
      <c r="L232" s="7">
        <v>252</v>
      </c>
      <c r="M232" s="7">
        <v>6.3</v>
      </c>
      <c r="N232" s="4">
        <v>20</v>
      </c>
      <c r="O232" s="7">
        <v>298</v>
      </c>
      <c r="P232" s="7">
        <v>7.45</v>
      </c>
      <c r="Q232" s="4">
        <v>29</v>
      </c>
      <c r="R232" s="7">
        <v>550</v>
      </c>
      <c r="S232" s="7">
        <v>13.75</v>
      </c>
    </row>
    <row r="233" spans="1:19" ht="13.5" thickBot="1" x14ac:dyDescent="0.25">
      <c r="A233" s="2" t="s">
        <v>76</v>
      </c>
      <c r="B233" s="1" t="s">
        <v>75</v>
      </c>
      <c r="C233" s="2" t="s">
        <v>29</v>
      </c>
      <c r="D233" s="4">
        <v>25883</v>
      </c>
      <c r="E233" s="4">
        <v>5</v>
      </c>
      <c r="F233" s="7">
        <v>164</v>
      </c>
      <c r="G233" s="7">
        <v>4.0999999999999996</v>
      </c>
      <c r="H233" s="4">
        <v>0</v>
      </c>
      <c r="I233" s="7">
        <v>0</v>
      </c>
      <c r="J233" s="7">
        <v>0</v>
      </c>
      <c r="K233" s="4">
        <v>5</v>
      </c>
      <c r="L233" s="7">
        <v>164</v>
      </c>
      <c r="M233" s="7">
        <v>4.0999999999999996</v>
      </c>
      <c r="N233" s="4">
        <v>14</v>
      </c>
      <c r="O233" s="7">
        <v>242</v>
      </c>
      <c r="P233" s="7">
        <v>6.05</v>
      </c>
      <c r="Q233" s="4">
        <v>19</v>
      </c>
      <c r="R233" s="7">
        <v>406</v>
      </c>
      <c r="S233" s="7">
        <v>10.15</v>
      </c>
    </row>
    <row r="234" spans="1:19" ht="13.5" thickBot="1" x14ac:dyDescent="0.25">
      <c r="A234" s="2" t="s">
        <v>96</v>
      </c>
      <c r="B234" s="1" t="s">
        <v>95</v>
      </c>
      <c r="C234" s="2" t="s">
        <v>29</v>
      </c>
      <c r="D234" s="4">
        <v>24787</v>
      </c>
      <c r="E234" s="4">
        <v>3</v>
      </c>
      <c r="F234" s="7">
        <v>110</v>
      </c>
      <c r="G234" s="7">
        <v>2.75</v>
      </c>
      <c r="H234" s="4">
        <v>0</v>
      </c>
      <c r="I234" s="7">
        <v>0</v>
      </c>
      <c r="J234" s="7">
        <v>0</v>
      </c>
      <c r="K234" s="4">
        <v>3</v>
      </c>
      <c r="L234" s="7">
        <v>110</v>
      </c>
      <c r="M234" s="7">
        <v>2.75</v>
      </c>
      <c r="N234" s="4">
        <v>12</v>
      </c>
      <c r="O234" s="7">
        <v>269</v>
      </c>
      <c r="P234" s="7">
        <v>6.7249999999999996</v>
      </c>
      <c r="Q234" s="4">
        <v>16</v>
      </c>
      <c r="R234" s="7">
        <v>379</v>
      </c>
      <c r="S234" s="7">
        <v>9.4749999999999996</v>
      </c>
    </row>
    <row r="235" spans="1:19" ht="13.5" thickBot="1" x14ac:dyDescent="0.25">
      <c r="A235" s="2" t="s">
        <v>102</v>
      </c>
      <c r="B235" s="1" t="s">
        <v>101</v>
      </c>
      <c r="C235" s="2" t="s">
        <v>29</v>
      </c>
      <c r="D235" s="4">
        <v>14970</v>
      </c>
      <c r="E235" s="4">
        <v>5</v>
      </c>
      <c r="F235" s="7">
        <v>136</v>
      </c>
      <c r="G235" s="7">
        <v>3.4</v>
      </c>
      <c r="H235" s="4">
        <v>0</v>
      </c>
      <c r="I235" s="7">
        <v>0</v>
      </c>
      <c r="J235" s="7">
        <v>0</v>
      </c>
      <c r="K235" s="4">
        <v>5</v>
      </c>
      <c r="L235" s="7">
        <v>136</v>
      </c>
      <c r="M235" s="7">
        <v>3.4</v>
      </c>
      <c r="N235" s="4">
        <v>11</v>
      </c>
      <c r="O235" s="7">
        <v>238</v>
      </c>
      <c r="P235" s="7">
        <v>5.95</v>
      </c>
      <c r="Q235" s="4">
        <v>16</v>
      </c>
      <c r="R235" s="7">
        <v>374</v>
      </c>
      <c r="S235" s="7">
        <v>9.35</v>
      </c>
    </row>
    <row r="236" spans="1:19" ht="13.5" thickBot="1" x14ac:dyDescent="0.25">
      <c r="A236" s="2" t="s">
        <v>110</v>
      </c>
      <c r="B236" s="1" t="s">
        <v>109</v>
      </c>
      <c r="C236" s="2" t="s">
        <v>29</v>
      </c>
      <c r="D236" s="4">
        <v>20025</v>
      </c>
      <c r="E236" s="4">
        <v>2</v>
      </c>
      <c r="F236" s="7">
        <v>80</v>
      </c>
      <c r="G236" s="7">
        <v>2</v>
      </c>
      <c r="H236" s="4">
        <v>0</v>
      </c>
      <c r="I236" s="7">
        <v>0</v>
      </c>
      <c r="J236" s="7">
        <v>0</v>
      </c>
      <c r="K236" s="4">
        <v>2</v>
      </c>
      <c r="L236" s="7">
        <v>80</v>
      </c>
      <c r="M236" s="7">
        <v>2</v>
      </c>
      <c r="N236" s="4">
        <v>10</v>
      </c>
      <c r="O236" s="7">
        <v>158</v>
      </c>
      <c r="P236" s="7">
        <v>3.95</v>
      </c>
      <c r="Q236" s="4">
        <v>12</v>
      </c>
      <c r="R236" s="7">
        <v>238</v>
      </c>
      <c r="S236" s="7">
        <v>5.95</v>
      </c>
    </row>
    <row r="237" spans="1:19" ht="13.5" thickBot="1" x14ac:dyDescent="0.25">
      <c r="A237" s="2" t="s">
        <v>122</v>
      </c>
      <c r="B237" s="1" t="s">
        <v>121</v>
      </c>
      <c r="C237" s="2" t="s">
        <v>29</v>
      </c>
      <c r="D237" s="4">
        <v>15175</v>
      </c>
      <c r="E237" s="4">
        <v>4</v>
      </c>
      <c r="F237" s="7">
        <v>150</v>
      </c>
      <c r="G237" s="7">
        <v>3.75</v>
      </c>
      <c r="H237" s="4">
        <v>6</v>
      </c>
      <c r="I237" s="7">
        <v>191</v>
      </c>
      <c r="J237" s="7">
        <v>4.7750000000000004</v>
      </c>
      <c r="K237" s="4">
        <v>9</v>
      </c>
      <c r="L237" s="7">
        <v>341</v>
      </c>
      <c r="M237" s="7">
        <v>8.5250000000000004</v>
      </c>
      <c r="N237" s="4">
        <v>9</v>
      </c>
      <c r="O237" s="7">
        <v>251</v>
      </c>
      <c r="P237" s="7">
        <v>6.2750000000000004</v>
      </c>
      <c r="Q237" s="4">
        <v>19</v>
      </c>
      <c r="R237" s="7">
        <v>592</v>
      </c>
      <c r="S237" s="7">
        <v>14.8</v>
      </c>
    </row>
    <row r="238" spans="1:19" ht="13.5" thickBot="1" x14ac:dyDescent="0.25">
      <c r="A238" s="2" t="s">
        <v>124</v>
      </c>
      <c r="B238" s="1" t="s">
        <v>123</v>
      </c>
      <c r="C238" s="2" t="s">
        <v>29</v>
      </c>
      <c r="D238" s="4">
        <v>12667</v>
      </c>
      <c r="E238" s="4">
        <v>1</v>
      </c>
      <c r="F238" s="7">
        <v>40</v>
      </c>
      <c r="G238" s="7">
        <v>1</v>
      </c>
      <c r="H238" s="4">
        <v>2</v>
      </c>
      <c r="I238" s="7">
        <v>80</v>
      </c>
      <c r="J238" s="7">
        <v>2</v>
      </c>
      <c r="K238" s="4">
        <v>3</v>
      </c>
      <c r="L238" s="7">
        <v>120</v>
      </c>
      <c r="M238" s="7">
        <v>3</v>
      </c>
      <c r="N238" s="4">
        <v>4</v>
      </c>
      <c r="O238" s="7">
        <v>45</v>
      </c>
      <c r="P238" s="7">
        <v>1.125</v>
      </c>
      <c r="Q238" s="4">
        <v>7</v>
      </c>
      <c r="R238" s="7">
        <v>165</v>
      </c>
      <c r="S238" s="7">
        <v>4.125</v>
      </c>
    </row>
    <row r="239" spans="1:19" ht="13.5" thickBot="1" x14ac:dyDescent="0.25">
      <c r="A239" s="2" t="s">
        <v>128</v>
      </c>
      <c r="B239" s="1" t="s">
        <v>127</v>
      </c>
      <c r="C239" s="2" t="s">
        <v>29</v>
      </c>
      <c r="D239" s="4">
        <v>21705</v>
      </c>
      <c r="E239" s="4">
        <v>2</v>
      </c>
      <c r="F239" s="7">
        <v>80</v>
      </c>
      <c r="G239" s="7">
        <v>2</v>
      </c>
      <c r="H239" s="4">
        <v>1</v>
      </c>
      <c r="I239" s="7">
        <v>40</v>
      </c>
      <c r="J239" s="7">
        <v>1</v>
      </c>
      <c r="K239" s="4">
        <v>3</v>
      </c>
      <c r="L239" s="7">
        <v>120</v>
      </c>
      <c r="M239" s="7">
        <v>3</v>
      </c>
      <c r="N239" s="4">
        <v>8</v>
      </c>
      <c r="O239" s="7">
        <v>154</v>
      </c>
      <c r="P239" s="7">
        <v>3.85</v>
      </c>
      <c r="Q239" s="4">
        <v>11</v>
      </c>
      <c r="R239" s="7">
        <v>274</v>
      </c>
      <c r="S239" s="7">
        <v>6.85</v>
      </c>
    </row>
    <row r="240" spans="1:19" ht="13.5" thickBot="1" x14ac:dyDescent="0.25">
      <c r="A240" s="2" t="s">
        <v>166</v>
      </c>
      <c r="B240" s="1" t="s">
        <v>165</v>
      </c>
      <c r="C240" s="2" t="s">
        <v>29</v>
      </c>
      <c r="D240" s="4">
        <v>15068</v>
      </c>
      <c r="E240" s="4">
        <v>1</v>
      </c>
      <c r="F240" s="7">
        <v>40</v>
      </c>
      <c r="G240" s="7">
        <v>1</v>
      </c>
      <c r="H240" s="4">
        <v>1</v>
      </c>
      <c r="I240" s="7">
        <v>40</v>
      </c>
      <c r="J240" s="7">
        <v>1</v>
      </c>
      <c r="K240" s="4">
        <v>2</v>
      </c>
      <c r="L240" s="7">
        <v>80</v>
      </c>
      <c r="M240" s="7">
        <v>2</v>
      </c>
      <c r="N240" s="4">
        <v>8</v>
      </c>
      <c r="O240" s="7">
        <v>198</v>
      </c>
      <c r="P240" s="7">
        <v>4.95</v>
      </c>
      <c r="Q240" s="4">
        <v>10</v>
      </c>
      <c r="R240" s="7">
        <v>278</v>
      </c>
      <c r="S240" s="7">
        <v>6.95</v>
      </c>
    </row>
    <row r="241" spans="1:19" ht="13.5" thickBot="1" x14ac:dyDescent="0.25">
      <c r="A241" s="2" t="s">
        <v>170</v>
      </c>
      <c r="B241" s="1" t="s">
        <v>169</v>
      </c>
      <c r="C241" s="2" t="s">
        <v>29</v>
      </c>
      <c r="D241" s="4">
        <v>23157</v>
      </c>
      <c r="E241" s="4">
        <v>2</v>
      </c>
      <c r="F241" s="7">
        <v>75</v>
      </c>
      <c r="G241" s="7">
        <v>1.875</v>
      </c>
      <c r="H241" s="4">
        <v>5</v>
      </c>
      <c r="I241" s="7">
        <v>140.5</v>
      </c>
      <c r="J241" s="7">
        <v>3.5125000000000002</v>
      </c>
      <c r="K241" s="4">
        <v>7</v>
      </c>
      <c r="L241" s="7">
        <v>215.5</v>
      </c>
      <c r="M241" s="7">
        <v>5.3875000000000002</v>
      </c>
      <c r="N241" s="4">
        <v>10</v>
      </c>
      <c r="O241" s="7">
        <v>178</v>
      </c>
      <c r="P241" s="7">
        <v>4.45</v>
      </c>
      <c r="Q241" s="4">
        <v>17</v>
      </c>
      <c r="R241" s="7">
        <v>393.5</v>
      </c>
      <c r="S241" s="7">
        <v>9.8375000000000004</v>
      </c>
    </row>
    <row r="242" spans="1:19" ht="13.5" thickBot="1" x14ac:dyDescent="0.25">
      <c r="A242" s="2" t="s">
        <v>174</v>
      </c>
      <c r="B242" s="1" t="s">
        <v>173</v>
      </c>
      <c r="C242" s="2" t="s">
        <v>29</v>
      </c>
      <c r="D242" s="4">
        <v>13894</v>
      </c>
      <c r="E242" s="4">
        <v>3</v>
      </c>
      <c r="F242" s="7">
        <v>120</v>
      </c>
      <c r="G242" s="7">
        <v>3</v>
      </c>
      <c r="H242" s="4">
        <v>0</v>
      </c>
      <c r="I242" s="7">
        <v>0</v>
      </c>
      <c r="J242" s="7">
        <v>0</v>
      </c>
      <c r="K242" s="4">
        <v>3</v>
      </c>
      <c r="L242" s="7">
        <v>120</v>
      </c>
      <c r="M242" s="7">
        <v>3</v>
      </c>
      <c r="N242" s="4">
        <v>12</v>
      </c>
      <c r="O242" s="7">
        <v>196</v>
      </c>
      <c r="P242" s="7">
        <v>4.9000000000000004</v>
      </c>
      <c r="Q242" s="4">
        <v>15</v>
      </c>
      <c r="R242" s="7">
        <v>316</v>
      </c>
      <c r="S242" s="7">
        <v>7.9</v>
      </c>
    </row>
    <row r="243" spans="1:19" ht="13.5" thickBot="1" x14ac:dyDescent="0.25">
      <c r="A243" s="2" t="s">
        <v>176</v>
      </c>
      <c r="B243" s="1" t="s">
        <v>175</v>
      </c>
      <c r="C243" s="2" t="s">
        <v>29</v>
      </c>
      <c r="D243" s="4">
        <v>15010</v>
      </c>
      <c r="E243" s="77">
        <v>9</v>
      </c>
      <c r="F243" s="7">
        <v>340</v>
      </c>
      <c r="G243" s="7">
        <v>8.5</v>
      </c>
      <c r="H243" s="4">
        <v>0</v>
      </c>
      <c r="I243" s="7">
        <v>0</v>
      </c>
      <c r="J243" s="7">
        <v>0</v>
      </c>
      <c r="K243" s="4">
        <v>9</v>
      </c>
      <c r="L243" s="7">
        <v>340</v>
      </c>
      <c r="M243" s="7">
        <v>8.5</v>
      </c>
      <c r="N243" s="4">
        <v>17</v>
      </c>
      <c r="O243" s="7">
        <v>419</v>
      </c>
      <c r="P243" s="7">
        <v>10.475</v>
      </c>
      <c r="Q243" s="4">
        <v>26</v>
      </c>
      <c r="R243" s="7">
        <v>759</v>
      </c>
      <c r="S243" s="7">
        <v>18.975000000000001</v>
      </c>
    </row>
    <row r="244" spans="1:19" ht="13.5" thickBot="1" x14ac:dyDescent="0.25">
      <c r="A244" s="2" t="s">
        <v>190</v>
      </c>
      <c r="B244" s="1" t="s">
        <v>189</v>
      </c>
      <c r="C244" s="2" t="s">
        <v>29</v>
      </c>
      <c r="D244" s="4">
        <v>12982</v>
      </c>
      <c r="E244" s="4">
        <v>2</v>
      </c>
      <c r="F244" s="7">
        <v>80</v>
      </c>
      <c r="G244" s="7">
        <v>2</v>
      </c>
      <c r="H244" s="4">
        <v>2</v>
      </c>
      <c r="I244" s="7">
        <v>77</v>
      </c>
      <c r="J244" s="7">
        <v>1.925</v>
      </c>
      <c r="K244" s="4">
        <v>4</v>
      </c>
      <c r="L244" s="7">
        <v>157</v>
      </c>
      <c r="M244" s="7">
        <v>3.9249999999999998</v>
      </c>
      <c r="N244" s="4">
        <v>2</v>
      </c>
      <c r="O244" s="7">
        <v>37</v>
      </c>
      <c r="P244" s="7">
        <v>0.92500000000000004</v>
      </c>
      <c r="Q244" s="4">
        <v>6</v>
      </c>
      <c r="R244" s="7">
        <v>194</v>
      </c>
      <c r="S244" s="7">
        <v>4.8499999999999996</v>
      </c>
    </row>
    <row r="245" spans="1:19" ht="13.5" thickBot="1" x14ac:dyDescent="0.25">
      <c r="A245" s="2" t="s">
        <v>200</v>
      </c>
      <c r="B245" s="1" t="s">
        <v>199</v>
      </c>
      <c r="C245" s="2" t="s">
        <v>29</v>
      </c>
      <c r="D245" s="4">
        <v>14854</v>
      </c>
      <c r="E245" s="4">
        <v>7</v>
      </c>
      <c r="F245" s="7">
        <v>220</v>
      </c>
      <c r="G245" s="7">
        <v>5.5</v>
      </c>
      <c r="H245" s="4">
        <v>0</v>
      </c>
      <c r="I245" s="7">
        <v>0</v>
      </c>
      <c r="J245" s="7">
        <v>0</v>
      </c>
      <c r="K245" s="4">
        <v>7</v>
      </c>
      <c r="L245" s="7">
        <v>220</v>
      </c>
      <c r="M245" s="7">
        <v>5.5</v>
      </c>
      <c r="N245" s="4">
        <v>10</v>
      </c>
      <c r="O245" s="7">
        <v>185</v>
      </c>
      <c r="P245" s="7">
        <v>4.625</v>
      </c>
      <c r="Q245" s="4">
        <v>17</v>
      </c>
      <c r="R245" s="7">
        <v>405</v>
      </c>
      <c r="S245" s="7">
        <v>10.125</v>
      </c>
    </row>
    <row r="246" spans="1:19" ht="13.5" thickBot="1" x14ac:dyDescent="0.25">
      <c r="A246" s="2" t="s">
        <v>206</v>
      </c>
      <c r="B246" s="1" t="s">
        <v>205</v>
      </c>
      <c r="C246" s="2" t="s">
        <v>29</v>
      </c>
      <c r="D246" s="4">
        <v>14074</v>
      </c>
      <c r="E246" s="4">
        <v>1</v>
      </c>
      <c r="F246" s="7">
        <v>37</v>
      </c>
      <c r="G246" s="7">
        <v>0.92500000000000004</v>
      </c>
      <c r="H246" s="4">
        <v>1</v>
      </c>
      <c r="I246" s="7">
        <v>40</v>
      </c>
      <c r="J246" s="7">
        <v>1</v>
      </c>
      <c r="K246" s="4">
        <v>2</v>
      </c>
      <c r="L246" s="7">
        <v>77</v>
      </c>
      <c r="M246" s="7">
        <v>1.925</v>
      </c>
      <c r="N246" s="4">
        <v>10</v>
      </c>
      <c r="O246" s="7">
        <v>248</v>
      </c>
      <c r="P246" s="7">
        <v>6.2</v>
      </c>
      <c r="Q246" s="4">
        <v>12</v>
      </c>
      <c r="R246" s="7">
        <v>325</v>
      </c>
      <c r="S246" s="7">
        <v>8.125</v>
      </c>
    </row>
    <row r="247" spans="1:19" ht="13.5" thickBot="1" x14ac:dyDescent="0.25">
      <c r="A247" s="2" t="s">
        <v>235</v>
      </c>
      <c r="B247" s="1" t="s">
        <v>234</v>
      </c>
      <c r="C247" s="2" t="s">
        <v>29</v>
      </c>
      <c r="D247" s="4">
        <v>20542</v>
      </c>
      <c r="E247" s="4">
        <v>4</v>
      </c>
      <c r="F247" s="7">
        <v>150</v>
      </c>
      <c r="G247" s="7">
        <v>3.75</v>
      </c>
      <c r="H247" s="4">
        <v>0</v>
      </c>
      <c r="I247" s="7">
        <v>0</v>
      </c>
      <c r="J247" s="7">
        <v>0</v>
      </c>
      <c r="K247" s="4">
        <v>4</v>
      </c>
      <c r="L247" s="7">
        <v>150</v>
      </c>
      <c r="M247" s="7">
        <v>3.75</v>
      </c>
      <c r="N247" s="4">
        <v>10</v>
      </c>
      <c r="O247" s="7">
        <v>278</v>
      </c>
      <c r="P247" s="7">
        <v>6.95</v>
      </c>
      <c r="Q247" s="4">
        <v>15</v>
      </c>
      <c r="R247" s="7">
        <v>428</v>
      </c>
      <c r="S247" s="7">
        <v>10.7</v>
      </c>
    </row>
    <row r="248" spans="1:19" ht="13.5" thickBot="1" x14ac:dyDescent="0.25">
      <c r="A248" s="2" t="s">
        <v>237</v>
      </c>
      <c r="B248" s="1" t="s">
        <v>236</v>
      </c>
      <c r="C248" s="2" t="s">
        <v>29</v>
      </c>
      <c r="D248" s="4">
        <v>19591</v>
      </c>
      <c r="E248" s="4">
        <v>14</v>
      </c>
      <c r="F248" s="7">
        <v>384</v>
      </c>
      <c r="G248" s="7">
        <v>9.6</v>
      </c>
      <c r="H248" s="4">
        <v>0</v>
      </c>
      <c r="I248" s="7">
        <v>0</v>
      </c>
      <c r="J248" s="7">
        <v>0</v>
      </c>
      <c r="K248" s="4">
        <v>14</v>
      </c>
      <c r="L248" s="7">
        <v>384</v>
      </c>
      <c r="M248" s="7">
        <v>9.6</v>
      </c>
      <c r="N248" s="77">
        <v>21</v>
      </c>
      <c r="O248" s="7">
        <v>242</v>
      </c>
      <c r="P248" s="7">
        <v>6.05</v>
      </c>
      <c r="Q248" s="4">
        <v>35</v>
      </c>
      <c r="R248" s="7">
        <v>626</v>
      </c>
      <c r="S248" s="7">
        <v>15.65</v>
      </c>
    </row>
    <row r="249" spans="1:19" ht="13.5" thickBot="1" x14ac:dyDescent="0.25">
      <c r="A249" s="2" t="s">
        <v>245</v>
      </c>
      <c r="B249" s="1" t="s">
        <v>244</v>
      </c>
      <c r="C249" s="2" t="s">
        <v>29</v>
      </c>
      <c r="D249" s="4">
        <v>13306</v>
      </c>
      <c r="E249" s="4">
        <v>1</v>
      </c>
      <c r="F249" s="7">
        <v>40</v>
      </c>
      <c r="G249" s="7">
        <v>1</v>
      </c>
      <c r="H249" s="4">
        <v>8</v>
      </c>
      <c r="I249" s="7">
        <v>209.9</v>
      </c>
      <c r="J249" s="7">
        <v>5.2474999999999996</v>
      </c>
      <c r="K249" s="4">
        <v>9</v>
      </c>
      <c r="L249" s="7">
        <v>249.9</v>
      </c>
      <c r="M249" s="7">
        <v>6.2474999999999996</v>
      </c>
      <c r="N249" s="4">
        <v>0</v>
      </c>
      <c r="O249" s="7">
        <v>0</v>
      </c>
      <c r="P249" s="7">
        <v>0</v>
      </c>
      <c r="Q249" s="4">
        <v>9</v>
      </c>
      <c r="R249" s="7">
        <v>249.9</v>
      </c>
      <c r="S249" s="7">
        <v>6.2474999999999996</v>
      </c>
    </row>
    <row r="250" spans="1:19" ht="13.5" thickBot="1" x14ac:dyDescent="0.25">
      <c r="A250" s="2" t="s">
        <v>255</v>
      </c>
      <c r="B250" s="1" t="s">
        <v>254</v>
      </c>
      <c r="C250" s="2" t="s">
        <v>29</v>
      </c>
      <c r="D250" s="4">
        <v>12670</v>
      </c>
      <c r="E250" s="4">
        <v>1</v>
      </c>
      <c r="F250" s="7">
        <v>40</v>
      </c>
      <c r="G250" s="7">
        <v>1</v>
      </c>
      <c r="H250" s="4">
        <v>1</v>
      </c>
      <c r="I250" s="7">
        <v>26</v>
      </c>
      <c r="J250" s="7">
        <v>0.65</v>
      </c>
      <c r="K250" s="4">
        <v>2</v>
      </c>
      <c r="L250" s="7">
        <v>66</v>
      </c>
      <c r="M250" s="7">
        <v>1.65</v>
      </c>
      <c r="N250" s="4">
        <v>3</v>
      </c>
      <c r="O250" s="7">
        <v>73</v>
      </c>
      <c r="P250" s="7">
        <v>1.825</v>
      </c>
      <c r="Q250" s="4">
        <v>5</v>
      </c>
      <c r="R250" s="7">
        <v>139</v>
      </c>
      <c r="S250" s="7">
        <v>3.4750000000000001</v>
      </c>
    </row>
    <row r="251" spans="1:19" ht="13.5" thickBot="1" x14ac:dyDescent="0.25">
      <c r="A251" s="2" t="s">
        <v>271</v>
      </c>
      <c r="B251" s="1" t="s">
        <v>270</v>
      </c>
      <c r="C251" s="2" t="s">
        <v>29</v>
      </c>
      <c r="D251" s="4">
        <v>25830</v>
      </c>
      <c r="E251" s="4">
        <v>2</v>
      </c>
      <c r="F251" s="7">
        <v>80</v>
      </c>
      <c r="G251" s="7">
        <v>2</v>
      </c>
      <c r="H251" s="4">
        <v>1</v>
      </c>
      <c r="I251" s="7">
        <v>40</v>
      </c>
      <c r="J251" s="7">
        <v>1</v>
      </c>
      <c r="K251" s="4">
        <v>3</v>
      </c>
      <c r="L251" s="7">
        <v>120</v>
      </c>
      <c r="M251" s="7">
        <v>3</v>
      </c>
      <c r="N251" s="4">
        <v>7</v>
      </c>
      <c r="O251" s="7">
        <v>175</v>
      </c>
      <c r="P251" s="7">
        <v>4.375</v>
      </c>
      <c r="Q251" s="4">
        <v>10</v>
      </c>
      <c r="R251" s="7">
        <v>295</v>
      </c>
      <c r="S251" s="7">
        <v>7.375</v>
      </c>
    </row>
    <row r="252" spans="1:19" ht="13.5" thickBot="1" x14ac:dyDescent="0.25">
      <c r="A252" s="2" t="s">
        <v>279</v>
      </c>
      <c r="B252" s="1" t="s">
        <v>278</v>
      </c>
      <c r="C252" s="2" t="s">
        <v>29</v>
      </c>
      <c r="D252" s="4">
        <v>14230</v>
      </c>
      <c r="E252" s="4">
        <v>2</v>
      </c>
      <c r="F252" s="7">
        <v>50</v>
      </c>
      <c r="G252" s="7">
        <v>1.25</v>
      </c>
      <c r="H252" s="4">
        <v>1</v>
      </c>
      <c r="I252" s="7">
        <v>15</v>
      </c>
      <c r="J252" s="7">
        <v>0.375</v>
      </c>
      <c r="K252" s="4">
        <v>3</v>
      </c>
      <c r="L252" s="7">
        <v>65</v>
      </c>
      <c r="M252" s="7">
        <v>1.625</v>
      </c>
      <c r="N252" s="4">
        <v>7</v>
      </c>
      <c r="O252" s="7">
        <v>152</v>
      </c>
      <c r="P252" s="7">
        <v>3.8</v>
      </c>
      <c r="Q252" s="4">
        <v>10</v>
      </c>
      <c r="R252" s="7">
        <v>217</v>
      </c>
      <c r="S252" s="7">
        <v>5.4249999999999998</v>
      </c>
    </row>
    <row r="253" spans="1:19" ht="13.5" thickBot="1" x14ac:dyDescent="0.25">
      <c r="A253" s="2" t="s">
        <v>281</v>
      </c>
      <c r="B253" s="1" t="s">
        <v>280</v>
      </c>
      <c r="C253" s="2" t="s">
        <v>29</v>
      </c>
      <c r="D253" s="4">
        <v>19900</v>
      </c>
      <c r="E253" s="4">
        <v>13</v>
      </c>
      <c r="F253" s="7">
        <v>317</v>
      </c>
      <c r="G253" s="7">
        <v>7.9249999999999998</v>
      </c>
      <c r="H253" s="4">
        <v>0</v>
      </c>
      <c r="I253" s="7">
        <v>0</v>
      </c>
      <c r="J253" s="7">
        <v>0</v>
      </c>
      <c r="K253" s="4">
        <v>13</v>
      </c>
      <c r="L253" s="7">
        <v>317</v>
      </c>
      <c r="M253" s="7">
        <v>7.9249999999999998</v>
      </c>
      <c r="N253" s="4">
        <v>16</v>
      </c>
      <c r="O253" s="7">
        <v>273</v>
      </c>
      <c r="P253" s="7">
        <v>6.8250000000000002</v>
      </c>
      <c r="Q253" s="4">
        <v>29</v>
      </c>
      <c r="R253" s="7">
        <v>590</v>
      </c>
      <c r="S253" s="7">
        <v>14.75</v>
      </c>
    </row>
    <row r="254" spans="1:19" ht="13.5" thickBot="1" x14ac:dyDescent="0.25">
      <c r="A254" s="2" t="s">
        <v>285</v>
      </c>
      <c r="B254" s="1" t="s">
        <v>284</v>
      </c>
      <c r="C254" s="2" t="s">
        <v>29</v>
      </c>
      <c r="D254" s="4">
        <v>17626</v>
      </c>
      <c r="E254" s="4">
        <v>3</v>
      </c>
      <c r="F254" s="7">
        <v>120</v>
      </c>
      <c r="G254" s="7">
        <v>3</v>
      </c>
      <c r="H254" s="4">
        <v>0</v>
      </c>
      <c r="I254" s="7">
        <v>0</v>
      </c>
      <c r="J254" s="7">
        <v>0</v>
      </c>
      <c r="K254" s="4">
        <v>3</v>
      </c>
      <c r="L254" s="7">
        <v>120</v>
      </c>
      <c r="M254" s="7">
        <v>3</v>
      </c>
      <c r="N254" s="4">
        <v>15</v>
      </c>
      <c r="O254" s="7">
        <v>200</v>
      </c>
      <c r="P254" s="7">
        <v>5</v>
      </c>
      <c r="Q254" s="4">
        <v>18</v>
      </c>
      <c r="R254" s="7">
        <v>320</v>
      </c>
      <c r="S254" s="7">
        <v>8</v>
      </c>
    </row>
    <row r="255" spans="1:19" ht="13.5" thickBot="1" x14ac:dyDescent="0.25">
      <c r="A255" s="2" t="s">
        <v>287</v>
      </c>
      <c r="B255" s="1" t="s">
        <v>286</v>
      </c>
      <c r="C255" s="2" t="s">
        <v>29</v>
      </c>
      <c r="D255" s="4">
        <v>17823</v>
      </c>
      <c r="E255" s="4">
        <v>4</v>
      </c>
      <c r="F255" s="7">
        <v>84</v>
      </c>
      <c r="G255" s="7">
        <v>2.1</v>
      </c>
      <c r="H255" s="4">
        <v>0</v>
      </c>
      <c r="I255" s="7">
        <v>0</v>
      </c>
      <c r="J255" s="7">
        <v>0</v>
      </c>
      <c r="K255" s="4">
        <v>4</v>
      </c>
      <c r="L255" s="7">
        <v>84</v>
      </c>
      <c r="M255" s="7">
        <v>2.1</v>
      </c>
      <c r="N255" s="4">
        <v>11</v>
      </c>
      <c r="O255" s="7">
        <v>118</v>
      </c>
      <c r="P255" s="7">
        <v>2.95</v>
      </c>
      <c r="Q255" s="4">
        <v>15</v>
      </c>
      <c r="R255" s="7">
        <v>202</v>
      </c>
      <c r="S255" s="7">
        <v>5.05</v>
      </c>
    </row>
    <row r="256" spans="1:19" ht="13.5" thickBot="1" x14ac:dyDescent="0.25">
      <c r="A256" s="2" t="s">
        <v>295</v>
      </c>
      <c r="B256" s="1" t="s">
        <v>294</v>
      </c>
      <c r="C256" s="2" t="s">
        <v>29</v>
      </c>
      <c r="D256" s="4">
        <v>17068</v>
      </c>
      <c r="E256" s="4">
        <v>2</v>
      </c>
      <c r="F256" s="7">
        <v>70</v>
      </c>
      <c r="G256" s="7">
        <v>1.75</v>
      </c>
      <c r="H256" s="4">
        <v>1</v>
      </c>
      <c r="I256" s="7">
        <v>35</v>
      </c>
      <c r="J256" s="7">
        <v>0.875</v>
      </c>
      <c r="K256" s="4">
        <v>2</v>
      </c>
      <c r="L256" s="7">
        <v>70</v>
      </c>
      <c r="M256" s="7">
        <v>1.75</v>
      </c>
      <c r="N256" s="4">
        <v>9</v>
      </c>
      <c r="O256" s="7">
        <v>280</v>
      </c>
      <c r="P256" s="7">
        <v>7</v>
      </c>
      <c r="Q256" s="4">
        <v>11</v>
      </c>
      <c r="R256" s="7">
        <v>350</v>
      </c>
      <c r="S256" s="7">
        <v>8.75</v>
      </c>
    </row>
    <row r="257" spans="1:19" ht="13.5" thickBot="1" x14ac:dyDescent="0.25">
      <c r="A257" s="2" t="s">
        <v>301</v>
      </c>
      <c r="B257" s="1" t="s">
        <v>300</v>
      </c>
      <c r="C257" s="2" t="s">
        <v>29</v>
      </c>
      <c r="D257" s="4">
        <v>14480</v>
      </c>
      <c r="E257" s="4">
        <v>9</v>
      </c>
      <c r="F257" s="7">
        <v>106</v>
      </c>
      <c r="G257" s="7">
        <v>2.65</v>
      </c>
      <c r="H257" s="4">
        <v>1</v>
      </c>
      <c r="I257" s="7">
        <v>4</v>
      </c>
      <c r="J257" s="7">
        <v>0.1</v>
      </c>
      <c r="K257" s="4">
        <v>10</v>
      </c>
      <c r="L257" s="7">
        <v>110</v>
      </c>
      <c r="M257" s="7">
        <v>2.75</v>
      </c>
      <c r="N257" s="4">
        <v>13</v>
      </c>
      <c r="O257" s="7">
        <v>160</v>
      </c>
      <c r="P257" s="7">
        <v>4</v>
      </c>
      <c r="Q257" s="4">
        <v>24</v>
      </c>
      <c r="R257" s="7">
        <v>270</v>
      </c>
      <c r="S257" s="7">
        <v>6.75</v>
      </c>
    </row>
    <row r="258" spans="1:19" ht="13.5" thickBot="1" x14ac:dyDescent="0.25">
      <c r="A258" s="2" t="s">
        <v>305</v>
      </c>
      <c r="B258" s="1" t="s">
        <v>304</v>
      </c>
      <c r="C258" s="2" t="s">
        <v>29</v>
      </c>
      <c r="D258" s="4">
        <v>13326</v>
      </c>
      <c r="E258" s="4">
        <v>4</v>
      </c>
      <c r="F258" s="7">
        <v>148</v>
      </c>
      <c r="G258" s="7">
        <v>3.7</v>
      </c>
      <c r="H258" s="4">
        <v>0</v>
      </c>
      <c r="I258" s="7">
        <v>0</v>
      </c>
      <c r="J258" s="7">
        <v>0</v>
      </c>
      <c r="K258" s="4">
        <v>4</v>
      </c>
      <c r="L258" s="7">
        <v>148</v>
      </c>
      <c r="M258" s="7">
        <v>3.7</v>
      </c>
      <c r="N258" s="4">
        <v>11</v>
      </c>
      <c r="O258" s="7">
        <v>239</v>
      </c>
      <c r="P258" s="7">
        <v>5.9749999999999996</v>
      </c>
      <c r="Q258" s="4">
        <v>15</v>
      </c>
      <c r="R258" s="7">
        <v>387</v>
      </c>
      <c r="S258" s="7">
        <v>9.6750000000000007</v>
      </c>
    </row>
    <row r="259" spans="1:19" ht="13.5" thickBot="1" x14ac:dyDescent="0.25">
      <c r="A259" s="2" t="s">
        <v>307</v>
      </c>
      <c r="B259" s="1" t="s">
        <v>306</v>
      </c>
      <c r="C259" s="2" t="s">
        <v>29</v>
      </c>
      <c r="D259" s="4">
        <v>13598</v>
      </c>
      <c r="E259" s="77">
        <v>1</v>
      </c>
      <c r="F259" s="7">
        <v>11</v>
      </c>
      <c r="G259" s="7">
        <v>0.27500000000000002</v>
      </c>
      <c r="H259" s="77">
        <v>1</v>
      </c>
      <c r="I259" s="7">
        <v>16</v>
      </c>
      <c r="J259" s="7">
        <v>0.4</v>
      </c>
      <c r="K259" s="4">
        <v>2</v>
      </c>
      <c r="L259" s="7">
        <v>27</v>
      </c>
      <c r="M259" s="7">
        <v>0.67500000000000004</v>
      </c>
      <c r="N259" s="4">
        <v>1</v>
      </c>
      <c r="O259" s="7">
        <v>21</v>
      </c>
      <c r="P259" s="7">
        <v>0.52500000000000002</v>
      </c>
      <c r="Q259" s="4">
        <v>3</v>
      </c>
      <c r="R259" s="7">
        <v>48</v>
      </c>
      <c r="S259" s="7">
        <v>1.2</v>
      </c>
    </row>
    <row r="260" spans="1:19" ht="13.5" thickBot="1" x14ac:dyDescent="0.25">
      <c r="A260" s="2" t="s">
        <v>325</v>
      </c>
      <c r="B260" s="1" t="s">
        <v>324</v>
      </c>
      <c r="C260" s="2" t="s">
        <v>29</v>
      </c>
      <c r="D260" s="4">
        <v>25692</v>
      </c>
      <c r="E260" s="4">
        <v>1</v>
      </c>
      <c r="F260" s="7">
        <v>40</v>
      </c>
      <c r="G260" s="7">
        <v>1</v>
      </c>
      <c r="H260" s="4">
        <v>0</v>
      </c>
      <c r="I260" s="7">
        <v>0</v>
      </c>
      <c r="J260" s="7">
        <v>0</v>
      </c>
      <c r="K260" s="4">
        <v>1</v>
      </c>
      <c r="L260" s="7">
        <v>40</v>
      </c>
      <c r="M260" s="7">
        <v>1</v>
      </c>
      <c r="N260" s="4">
        <v>12</v>
      </c>
      <c r="O260" s="7">
        <v>322</v>
      </c>
      <c r="P260" s="7">
        <v>8.0500000000000007</v>
      </c>
      <c r="Q260" s="4">
        <v>12</v>
      </c>
      <c r="R260" s="7">
        <v>362</v>
      </c>
      <c r="S260" s="7">
        <v>9.0500000000000007</v>
      </c>
    </row>
    <row r="261" spans="1:19" ht="13.5" thickBot="1" x14ac:dyDescent="0.25">
      <c r="A261" s="2" t="s">
        <v>333</v>
      </c>
      <c r="B261" s="1" t="s">
        <v>332</v>
      </c>
      <c r="C261" s="2" t="s">
        <v>29</v>
      </c>
      <c r="D261" s="4">
        <v>15959</v>
      </c>
      <c r="E261" s="77">
        <v>2</v>
      </c>
      <c r="F261" s="7">
        <v>64</v>
      </c>
      <c r="G261" s="7">
        <v>1.6</v>
      </c>
      <c r="H261" s="4">
        <v>4</v>
      </c>
      <c r="I261" s="7">
        <v>125</v>
      </c>
      <c r="J261" s="7">
        <v>3.125</v>
      </c>
      <c r="K261" s="4">
        <v>6</v>
      </c>
      <c r="L261" s="7">
        <v>189</v>
      </c>
      <c r="M261" s="7">
        <v>4.7249999999999996</v>
      </c>
      <c r="N261" s="4">
        <v>11</v>
      </c>
      <c r="O261" s="7">
        <v>193</v>
      </c>
      <c r="P261" s="7">
        <v>4.8250000000000002</v>
      </c>
      <c r="Q261" s="4">
        <v>17</v>
      </c>
      <c r="R261" s="7">
        <v>382</v>
      </c>
      <c r="S261" s="7">
        <v>9.5500000000000007</v>
      </c>
    </row>
    <row r="262" spans="1:19" ht="13.5" thickBot="1" x14ac:dyDescent="0.25">
      <c r="A262" s="2" t="s">
        <v>343</v>
      </c>
      <c r="B262" s="1" t="s">
        <v>342</v>
      </c>
      <c r="C262" s="2" t="s">
        <v>29</v>
      </c>
      <c r="D262" s="4">
        <v>21165</v>
      </c>
      <c r="E262" s="4">
        <v>4</v>
      </c>
      <c r="F262" s="7">
        <v>160</v>
      </c>
      <c r="G262" s="7">
        <v>4</v>
      </c>
      <c r="H262" s="4">
        <v>0</v>
      </c>
      <c r="I262" s="7">
        <v>0</v>
      </c>
      <c r="J262" s="7">
        <v>0</v>
      </c>
      <c r="K262" s="4">
        <v>4</v>
      </c>
      <c r="L262" s="7">
        <v>160</v>
      </c>
      <c r="M262" s="7">
        <v>4</v>
      </c>
      <c r="N262" s="4">
        <v>9</v>
      </c>
      <c r="O262" s="7">
        <v>246</v>
      </c>
      <c r="P262" s="7">
        <v>6.15</v>
      </c>
      <c r="Q262" s="4">
        <v>13</v>
      </c>
      <c r="R262" s="7">
        <v>406</v>
      </c>
      <c r="S262" s="7">
        <v>10.15</v>
      </c>
    </row>
    <row r="263" spans="1:19" ht="13.5" thickBot="1" x14ac:dyDescent="0.25">
      <c r="A263" s="2" t="s">
        <v>345</v>
      </c>
      <c r="B263" s="1" t="s">
        <v>344</v>
      </c>
      <c r="C263" s="2" t="s">
        <v>29</v>
      </c>
      <c r="D263" s="4">
        <v>22423</v>
      </c>
      <c r="E263" s="4">
        <v>2</v>
      </c>
      <c r="F263" s="7">
        <v>60</v>
      </c>
      <c r="G263" s="7">
        <v>1.5</v>
      </c>
      <c r="H263" s="4">
        <v>1</v>
      </c>
      <c r="I263" s="7">
        <v>25</v>
      </c>
      <c r="J263" s="7">
        <v>0.625</v>
      </c>
      <c r="K263" s="4">
        <v>2</v>
      </c>
      <c r="L263" s="7">
        <v>60</v>
      </c>
      <c r="M263" s="7">
        <v>1.5</v>
      </c>
      <c r="N263" s="4">
        <v>6</v>
      </c>
      <c r="O263" s="7">
        <v>200</v>
      </c>
      <c r="P263" s="7">
        <v>5</v>
      </c>
      <c r="Q263" s="4">
        <v>8</v>
      </c>
      <c r="R263" s="7">
        <v>260</v>
      </c>
      <c r="S263" s="7">
        <v>6.5</v>
      </c>
    </row>
    <row r="264" spans="1:19" ht="13.5" thickBot="1" x14ac:dyDescent="0.25">
      <c r="A264" s="2" t="s">
        <v>351</v>
      </c>
      <c r="B264" s="1" t="s">
        <v>350</v>
      </c>
      <c r="C264" s="2" t="s">
        <v>29</v>
      </c>
      <c r="D264" s="4">
        <v>14236</v>
      </c>
      <c r="E264" s="4">
        <v>7</v>
      </c>
      <c r="F264" s="7">
        <v>152</v>
      </c>
      <c r="G264" s="7">
        <v>3.8</v>
      </c>
      <c r="H264" s="4">
        <v>0</v>
      </c>
      <c r="I264" s="7">
        <v>0</v>
      </c>
      <c r="J264" s="7">
        <v>0</v>
      </c>
      <c r="K264" s="4">
        <v>7</v>
      </c>
      <c r="L264" s="7">
        <v>152</v>
      </c>
      <c r="M264" s="7">
        <v>3.8</v>
      </c>
      <c r="N264" s="4">
        <v>8</v>
      </c>
      <c r="O264" s="7">
        <v>131</v>
      </c>
      <c r="P264" s="7">
        <v>3.2749999999999999</v>
      </c>
      <c r="Q264" s="4">
        <v>15</v>
      </c>
      <c r="R264" s="7">
        <v>283</v>
      </c>
      <c r="S264" s="7">
        <v>7.0750000000000002</v>
      </c>
    </row>
    <row r="265" spans="1:19" ht="13.5" thickBot="1" x14ac:dyDescent="0.25">
      <c r="A265" s="2" t="s">
        <v>353</v>
      </c>
      <c r="B265" s="1" t="s">
        <v>352</v>
      </c>
      <c r="C265" s="2" t="s">
        <v>29</v>
      </c>
      <c r="D265" s="4">
        <v>12920</v>
      </c>
      <c r="E265" s="4">
        <v>1</v>
      </c>
      <c r="F265" s="7">
        <v>35</v>
      </c>
      <c r="G265" s="7">
        <v>0.875</v>
      </c>
      <c r="H265" s="4">
        <v>3</v>
      </c>
      <c r="I265" s="7">
        <v>64</v>
      </c>
      <c r="J265" s="7">
        <v>1.6</v>
      </c>
      <c r="K265" s="4">
        <v>4</v>
      </c>
      <c r="L265" s="7">
        <v>104</v>
      </c>
      <c r="M265" s="7">
        <v>2.6</v>
      </c>
      <c r="N265" s="4">
        <v>4</v>
      </c>
      <c r="O265" s="7">
        <v>60</v>
      </c>
      <c r="P265" s="7">
        <v>1.5</v>
      </c>
      <c r="Q265" s="4">
        <v>8</v>
      </c>
      <c r="R265" s="7">
        <v>164</v>
      </c>
      <c r="S265" s="7">
        <v>4.0999999999999996</v>
      </c>
    </row>
    <row r="266" spans="1:19" ht="13.5" thickBot="1" x14ac:dyDescent="0.25">
      <c r="A266" s="2" t="s">
        <v>355</v>
      </c>
      <c r="B266" s="1" t="s">
        <v>354</v>
      </c>
      <c r="C266" s="2" t="s">
        <v>29</v>
      </c>
      <c r="D266" s="4">
        <v>24587</v>
      </c>
      <c r="E266" s="4">
        <v>3</v>
      </c>
      <c r="F266" s="7">
        <v>83</v>
      </c>
      <c r="G266" s="7">
        <v>2.0750000000000002</v>
      </c>
      <c r="H266" s="4">
        <v>0</v>
      </c>
      <c r="I266" s="7">
        <v>0</v>
      </c>
      <c r="J266" s="7">
        <v>0</v>
      </c>
      <c r="K266" s="4">
        <v>3</v>
      </c>
      <c r="L266" s="7">
        <v>83</v>
      </c>
      <c r="M266" s="7">
        <v>2.0750000000000002</v>
      </c>
      <c r="N266" s="4">
        <v>9</v>
      </c>
      <c r="O266" s="7">
        <v>116</v>
      </c>
      <c r="P266" s="7">
        <v>2.9</v>
      </c>
      <c r="Q266" s="4">
        <v>12</v>
      </c>
      <c r="R266" s="7">
        <v>199</v>
      </c>
      <c r="S266" s="7">
        <v>4.9749999999999996</v>
      </c>
    </row>
    <row r="267" spans="1:19" ht="13.5" thickBot="1" x14ac:dyDescent="0.25">
      <c r="A267" s="2" t="s">
        <v>361</v>
      </c>
      <c r="B267" s="1" t="s">
        <v>360</v>
      </c>
      <c r="C267" s="2" t="s">
        <v>29</v>
      </c>
      <c r="D267" s="4">
        <v>13233</v>
      </c>
      <c r="E267" s="4">
        <v>2</v>
      </c>
      <c r="F267" s="7">
        <v>68</v>
      </c>
      <c r="G267" s="7">
        <v>1.7</v>
      </c>
      <c r="H267" s="4">
        <v>11</v>
      </c>
      <c r="I267" s="7">
        <v>293</v>
      </c>
      <c r="J267" s="7">
        <v>7.3250000000000002</v>
      </c>
      <c r="K267" s="4">
        <v>13</v>
      </c>
      <c r="L267" s="7">
        <v>361</v>
      </c>
      <c r="M267" s="7">
        <v>9.0250000000000004</v>
      </c>
      <c r="N267" s="4">
        <v>1</v>
      </c>
      <c r="O267" s="7">
        <v>10</v>
      </c>
      <c r="P267" s="7">
        <v>0.25</v>
      </c>
      <c r="Q267" s="4">
        <v>14</v>
      </c>
      <c r="R267" s="7">
        <v>371</v>
      </c>
      <c r="S267" s="7">
        <v>9.2750000000000004</v>
      </c>
    </row>
    <row r="268" spans="1:19" ht="13.5" thickBot="1" x14ac:dyDescent="0.25">
      <c r="A268" s="2" t="s">
        <v>363</v>
      </c>
      <c r="B268" s="1" t="s">
        <v>362</v>
      </c>
      <c r="C268" s="2" t="s">
        <v>29</v>
      </c>
      <c r="D268" s="4">
        <v>16422</v>
      </c>
      <c r="E268" s="4">
        <v>4</v>
      </c>
      <c r="F268" s="7">
        <v>124</v>
      </c>
      <c r="G268" s="7">
        <v>3.1</v>
      </c>
      <c r="H268" s="4">
        <v>0</v>
      </c>
      <c r="I268" s="7">
        <v>0</v>
      </c>
      <c r="J268" s="7">
        <v>0</v>
      </c>
      <c r="K268" s="4">
        <v>4</v>
      </c>
      <c r="L268" s="7">
        <v>124</v>
      </c>
      <c r="M268" s="7">
        <v>3.1</v>
      </c>
      <c r="N268" s="4">
        <v>8</v>
      </c>
      <c r="O268" s="7">
        <v>162</v>
      </c>
      <c r="P268" s="7">
        <v>4.05</v>
      </c>
      <c r="Q268" s="4">
        <v>12</v>
      </c>
      <c r="R268" s="7">
        <v>286</v>
      </c>
      <c r="S268" s="7">
        <v>7.15</v>
      </c>
    </row>
    <row r="269" spans="1:19" ht="13.5" thickBot="1" x14ac:dyDescent="0.25">
      <c r="A269" s="2" t="s">
        <v>371</v>
      </c>
      <c r="B269" s="1" t="s">
        <v>370</v>
      </c>
      <c r="C269" s="2" t="s">
        <v>29</v>
      </c>
      <c r="D269" s="4">
        <v>19202</v>
      </c>
      <c r="E269" s="4">
        <v>6</v>
      </c>
      <c r="F269" s="7">
        <v>212.5</v>
      </c>
      <c r="G269" s="7">
        <v>5.3125</v>
      </c>
      <c r="H269" s="4">
        <v>1</v>
      </c>
      <c r="I269" s="7">
        <v>37.5</v>
      </c>
      <c r="J269" s="7">
        <v>0.9375</v>
      </c>
      <c r="K269" s="4">
        <v>7</v>
      </c>
      <c r="L269" s="7">
        <v>250</v>
      </c>
      <c r="M269" s="7">
        <v>6.25</v>
      </c>
      <c r="N269" s="4">
        <v>13</v>
      </c>
      <c r="O269" s="7">
        <v>200</v>
      </c>
      <c r="P269" s="7">
        <v>5</v>
      </c>
      <c r="Q269" s="4">
        <v>20</v>
      </c>
      <c r="R269" s="7">
        <v>450</v>
      </c>
      <c r="S269" s="7">
        <v>11.25</v>
      </c>
    </row>
    <row r="270" spans="1:19" ht="13.5" thickBot="1" x14ac:dyDescent="0.25">
      <c r="A270" s="2" t="s">
        <v>375</v>
      </c>
      <c r="B270" s="1" t="s">
        <v>374</v>
      </c>
      <c r="C270" s="2" t="s">
        <v>29</v>
      </c>
      <c r="D270" s="4">
        <v>23088</v>
      </c>
      <c r="E270" s="4">
        <v>1</v>
      </c>
      <c r="F270" s="7">
        <v>40</v>
      </c>
      <c r="G270" s="7">
        <v>1</v>
      </c>
      <c r="H270" s="4">
        <v>3</v>
      </c>
      <c r="I270" s="7">
        <v>114</v>
      </c>
      <c r="J270" s="7">
        <v>2.85</v>
      </c>
      <c r="K270" s="4">
        <v>4</v>
      </c>
      <c r="L270" s="7">
        <v>154</v>
      </c>
      <c r="M270" s="7">
        <v>3.85</v>
      </c>
      <c r="N270" s="4">
        <v>6</v>
      </c>
      <c r="O270" s="7">
        <v>147.5</v>
      </c>
      <c r="P270" s="7">
        <v>3.6875</v>
      </c>
      <c r="Q270" s="4">
        <v>10</v>
      </c>
      <c r="R270" s="7">
        <v>301.5</v>
      </c>
      <c r="S270" s="7">
        <v>7.5374999999999996</v>
      </c>
    </row>
    <row r="271" spans="1:19" ht="13.5" thickBot="1" x14ac:dyDescent="0.25">
      <c r="A271" s="2" t="s">
        <v>383</v>
      </c>
      <c r="B271" s="1" t="s">
        <v>382</v>
      </c>
      <c r="C271" s="2" t="s">
        <v>29</v>
      </c>
      <c r="D271" s="4">
        <v>15322</v>
      </c>
      <c r="E271" s="4">
        <v>1</v>
      </c>
      <c r="F271" s="7">
        <v>34</v>
      </c>
      <c r="G271" s="7">
        <v>0.85</v>
      </c>
      <c r="H271" s="4">
        <v>1</v>
      </c>
      <c r="I271" s="7">
        <v>40</v>
      </c>
      <c r="J271" s="7">
        <v>1</v>
      </c>
      <c r="K271" s="4">
        <v>1</v>
      </c>
      <c r="L271" s="7">
        <v>40</v>
      </c>
      <c r="M271" s="7">
        <v>1</v>
      </c>
      <c r="N271" s="4">
        <v>6</v>
      </c>
      <c r="O271" s="7">
        <v>250</v>
      </c>
      <c r="P271" s="7">
        <v>6.25</v>
      </c>
      <c r="Q271" s="4">
        <v>8</v>
      </c>
      <c r="R271" s="7">
        <v>290</v>
      </c>
      <c r="S271" s="7">
        <v>7.25</v>
      </c>
    </row>
    <row r="272" spans="1:19" ht="13.5" thickBot="1" x14ac:dyDescent="0.25">
      <c r="A272" s="2" t="s">
        <v>385</v>
      </c>
      <c r="B272" s="1" t="s">
        <v>384</v>
      </c>
      <c r="C272" s="2" t="s">
        <v>29</v>
      </c>
      <c r="D272" s="4">
        <v>22115</v>
      </c>
      <c r="E272" s="4">
        <v>1</v>
      </c>
      <c r="F272" s="7">
        <v>40</v>
      </c>
      <c r="G272" s="7">
        <v>1</v>
      </c>
      <c r="H272" s="4">
        <v>11</v>
      </c>
      <c r="I272" s="7">
        <v>263</v>
      </c>
      <c r="J272" s="7">
        <v>6.5750000000000002</v>
      </c>
      <c r="K272" s="4">
        <v>12</v>
      </c>
      <c r="L272" s="7">
        <v>303</v>
      </c>
      <c r="M272" s="7">
        <v>7.5750000000000002</v>
      </c>
      <c r="N272" s="4">
        <v>4</v>
      </c>
      <c r="O272" s="7">
        <v>56</v>
      </c>
      <c r="P272" s="7">
        <v>1.4</v>
      </c>
      <c r="Q272" s="4">
        <v>16</v>
      </c>
      <c r="R272" s="7">
        <v>359</v>
      </c>
      <c r="S272" s="7">
        <v>8.9749999999999996</v>
      </c>
    </row>
    <row r="273" spans="1:19" ht="13.5" thickBot="1" x14ac:dyDescent="0.25">
      <c r="A273" s="2" t="s">
        <v>399</v>
      </c>
      <c r="B273" s="1" t="s">
        <v>398</v>
      </c>
      <c r="C273" s="2" t="s">
        <v>29</v>
      </c>
      <c r="D273" s="4">
        <v>21871</v>
      </c>
      <c r="E273" s="4">
        <v>1</v>
      </c>
      <c r="F273" s="7">
        <v>40</v>
      </c>
      <c r="G273" s="7">
        <v>1</v>
      </c>
      <c r="H273" s="4">
        <v>2</v>
      </c>
      <c r="I273" s="7">
        <v>72</v>
      </c>
      <c r="J273" s="7">
        <v>1.8</v>
      </c>
      <c r="K273" s="4">
        <v>3</v>
      </c>
      <c r="L273" s="7">
        <v>112</v>
      </c>
      <c r="M273" s="7">
        <v>2.8</v>
      </c>
      <c r="N273" s="4">
        <v>9</v>
      </c>
      <c r="O273" s="7">
        <v>235</v>
      </c>
      <c r="P273" s="7">
        <v>5.875</v>
      </c>
      <c r="Q273" s="4">
        <v>13</v>
      </c>
      <c r="R273" s="7">
        <v>347</v>
      </c>
      <c r="S273" s="7">
        <v>8.6750000000000007</v>
      </c>
    </row>
    <row r="274" spans="1:19" ht="13.5" thickBot="1" x14ac:dyDescent="0.25">
      <c r="A274" s="2" t="s">
        <v>405</v>
      </c>
      <c r="B274" s="1" t="s">
        <v>404</v>
      </c>
      <c r="C274" s="2" t="s">
        <v>29</v>
      </c>
      <c r="D274" s="4">
        <v>13600</v>
      </c>
      <c r="E274" s="4">
        <v>2</v>
      </c>
      <c r="F274" s="7">
        <v>67</v>
      </c>
      <c r="G274" s="7">
        <v>1.675</v>
      </c>
      <c r="H274" s="4">
        <v>1</v>
      </c>
      <c r="I274" s="7">
        <v>40</v>
      </c>
      <c r="J274" s="7">
        <v>1</v>
      </c>
      <c r="K274" s="4">
        <v>3</v>
      </c>
      <c r="L274" s="7">
        <v>107</v>
      </c>
      <c r="M274" s="7">
        <v>2.6749999999999998</v>
      </c>
      <c r="N274" s="4">
        <v>2</v>
      </c>
      <c r="O274" s="7">
        <v>30</v>
      </c>
      <c r="P274" s="7">
        <v>0.75</v>
      </c>
      <c r="Q274" s="4">
        <v>5</v>
      </c>
      <c r="R274" s="7">
        <v>137</v>
      </c>
      <c r="S274" s="7">
        <v>3.4249999999999998</v>
      </c>
    </row>
    <row r="275" spans="1:19" ht="13.5" thickBot="1" x14ac:dyDescent="0.25">
      <c r="A275" s="2" t="s">
        <v>419</v>
      </c>
      <c r="B275" s="1" t="s">
        <v>418</v>
      </c>
      <c r="C275" s="2" t="s">
        <v>29</v>
      </c>
      <c r="D275" s="4">
        <v>17153</v>
      </c>
      <c r="E275" s="4">
        <v>3</v>
      </c>
      <c r="F275" s="7">
        <v>76</v>
      </c>
      <c r="G275" s="7">
        <v>1.9</v>
      </c>
      <c r="H275" s="4">
        <v>0</v>
      </c>
      <c r="I275" s="7">
        <v>0</v>
      </c>
      <c r="J275" s="7">
        <v>0</v>
      </c>
      <c r="K275" s="4">
        <v>3</v>
      </c>
      <c r="L275" s="7">
        <v>76</v>
      </c>
      <c r="M275" s="7">
        <v>1.9</v>
      </c>
      <c r="N275" s="4">
        <v>10</v>
      </c>
      <c r="O275" s="7">
        <v>139.5</v>
      </c>
      <c r="P275" s="7">
        <v>3.4874999999999998</v>
      </c>
      <c r="Q275" s="4">
        <v>13</v>
      </c>
      <c r="R275" s="7">
        <v>215.5</v>
      </c>
      <c r="S275" s="7">
        <v>5.3875000000000002</v>
      </c>
    </row>
    <row r="276" spans="1:19" ht="13.5" thickBot="1" x14ac:dyDescent="0.25">
      <c r="A276" s="2" t="s">
        <v>437</v>
      </c>
      <c r="B276" s="1" t="s">
        <v>436</v>
      </c>
      <c r="C276" s="2" t="s">
        <v>29</v>
      </c>
      <c r="D276" s="4">
        <v>25369</v>
      </c>
      <c r="E276" s="4">
        <v>1</v>
      </c>
      <c r="F276" s="170" t="s">
        <v>16</v>
      </c>
      <c r="G276" s="170" t="s">
        <v>16</v>
      </c>
      <c r="H276" s="170" t="s">
        <v>16</v>
      </c>
      <c r="I276" s="170" t="s">
        <v>16</v>
      </c>
      <c r="J276" s="170" t="s">
        <v>16</v>
      </c>
      <c r="K276" s="4">
        <v>1</v>
      </c>
      <c r="L276" s="170" t="s">
        <v>16</v>
      </c>
      <c r="M276" s="170" t="s">
        <v>16</v>
      </c>
      <c r="N276" s="4">
        <v>3</v>
      </c>
      <c r="O276" s="170" t="s">
        <v>16</v>
      </c>
      <c r="P276" s="170" t="s">
        <v>16</v>
      </c>
      <c r="Q276" s="4">
        <v>4</v>
      </c>
      <c r="R276" s="170" t="s">
        <v>16</v>
      </c>
      <c r="S276" s="170" t="s">
        <v>16</v>
      </c>
    </row>
    <row r="277" spans="1:19" ht="13.5" thickBot="1" x14ac:dyDescent="0.25">
      <c r="A277" s="2" t="s">
        <v>453</v>
      </c>
      <c r="B277" s="1" t="s">
        <v>452</v>
      </c>
      <c r="C277" s="2" t="s">
        <v>29</v>
      </c>
      <c r="D277" s="4">
        <v>22258</v>
      </c>
      <c r="E277" s="4">
        <v>2</v>
      </c>
      <c r="F277" s="7">
        <v>80</v>
      </c>
      <c r="G277" s="7">
        <v>2</v>
      </c>
      <c r="H277" s="77">
        <v>2</v>
      </c>
      <c r="I277" s="7">
        <v>80</v>
      </c>
      <c r="J277" s="7">
        <v>2</v>
      </c>
      <c r="K277" s="4">
        <v>4</v>
      </c>
      <c r="L277" s="7">
        <v>160</v>
      </c>
      <c r="M277" s="7">
        <v>4</v>
      </c>
      <c r="N277" s="4">
        <v>18</v>
      </c>
      <c r="O277" s="7">
        <v>447</v>
      </c>
      <c r="P277" s="7">
        <v>11.175000000000001</v>
      </c>
      <c r="Q277" s="4">
        <v>22</v>
      </c>
      <c r="R277" s="7">
        <v>607</v>
      </c>
      <c r="S277" s="7">
        <v>15.175000000000001</v>
      </c>
    </row>
    <row r="278" spans="1:19" ht="13.5" thickBot="1" x14ac:dyDescent="0.25">
      <c r="A278" s="2" t="s">
        <v>467</v>
      </c>
      <c r="B278" s="1" t="s">
        <v>466</v>
      </c>
      <c r="C278" s="2" t="s">
        <v>29</v>
      </c>
      <c r="D278" s="4">
        <v>14545</v>
      </c>
      <c r="E278" s="4">
        <v>2</v>
      </c>
      <c r="F278" s="7">
        <v>65</v>
      </c>
      <c r="G278" s="7">
        <v>1.625</v>
      </c>
      <c r="H278" s="4">
        <v>0</v>
      </c>
      <c r="I278" s="7">
        <v>0</v>
      </c>
      <c r="J278" s="7">
        <v>0</v>
      </c>
      <c r="K278" s="4">
        <v>2</v>
      </c>
      <c r="L278" s="7">
        <v>65</v>
      </c>
      <c r="M278" s="7">
        <v>1.625</v>
      </c>
      <c r="N278" s="4">
        <v>10</v>
      </c>
      <c r="O278" s="7">
        <v>280</v>
      </c>
      <c r="P278" s="7">
        <v>7</v>
      </c>
      <c r="Q278" s="4">
        <v>12</v>
      </c>
      <c r="R278" s="7">
        <v>345</v>
      </c>
      <c r="S278" s="7">
        <v>8.625</v>
      </c>
    </row>
    <row r="279" spans="1:19" ht="13.5" thickBot="1" x14ac:dyDescent="0.25">
      <c r="A279" s="2" t="s">
        <v>474</v>
      </c>
      <c r="B279" s="1" t="s">
        <v>473</v>
      </c>
      <c r="C279" s="2" t="s">
        <v>29</v>
      </c>
      <c r="D279" s="4">
        <v>13452</v>
      </c>
      <c r="E279" s="4">
        <v>3</v>
      </c>
      <c r="F279" s="7">
        <v>120</v>
      </c>
      <c r="G279" s="7">
        <v>3</v>
      </c>
      <c r="H279" s="4">
        <v>1</v>
      </c>
      <c r="I279" s="7">
        <v>29</v>
      </c>
      <c r="J279" s="7">
        <v>0.72499999999999998</v>
      </c>
      <c r="K279" s="4">
        <v>4</v>
      </c>
      <c r="L279" s="7">
        <v>149</v>
      </c>
      <c r="M279" s="7">
        <v>3.7250000000000001</v>
      </c>
      <c r="N279" s="4">
        <v>6</v>
      </c>
      <c r="O279" s="7">
        <v>113</v>
      </c>
      <c r="P279" s="7">
        <v>2.8250000000000002</v>
      </c>
      <c r="Q279" s="4">
        <v>10</v>
      </c>
      <c r="R279" s="7">
        <v>262</v>
      </c>
      <c r="S279" s="7">
        <v>6.55</v>
      </c>
    </row>
    <row r="280" spans="1:19" ht="13.5" thickBot="1" x14ac:dyDescent="0.25">
      <c r="A280" s="2" t="s">
        <v>488</v>
      </c>
      <c r="B280" s="1" t="s">
        <v>487</v>
      </c>
      <c r="C280" s="2" t="s">
        <v>29</v>
      </c>
      <c r="D280" s="4">
        <v>22995</v>
      </c>
      <c r="E280" s="4">
        <v>1</v>
      </c>
      <c r="F280" s="7">
        <v>40</v>
      </c>
      <c r="G280" s="7">
        <v>1</v>
      </c>
      <c r="H280" s="4">
        <v>4</v>
      </c>
      <c r="I280" s="7">
        <v>152.5</v>
      </c>
      <c r="J280" s="7">
        <v>3.8125</v>
      </c>
      <c r="K280" s="4">
        <v>5</v>
      </c>
      <c r="L280" s="7">
        <v>192.5</v>
      </c>
      <c r="M280" s="7">
        <v>4.8125</v>
      </c>
      <c r="N280" s="4">
        <v>13</v>
      </c>
      <c r="O280" s="7">
        <v>376.5</v>
      </c>
      <c r="P280" s="7">
        <v>9.4124999999999996</v>
      </c>
      <c r="Q280" s="4">
        <v>18</v>
      </c>
      <c r="R280" s="7">
        <v>569</v>
      </c>
      <c r="S280" s="7">
        <v>14.225</v>
      </c>
    </row>
    <row r="281" spans="1:19" ht="13.5" thickBot="1" x14ac:dyDescent="0.25">
      <c r="A281" s="2" t="s">
        <v>498</v>
      </c>
      <c r="B281" s="1" t="s">
        <v>497</v>
      </c>
      <c r="C281" s="2" t="s">
        <v>29</v>
      </c>
      <c r="D281" s="4">
        <v>14948</v>
      </c>
      <c r="E281" s="4">
        <v>4</v>
      </c>
      <c r="F281" s="7">
        <v>160</v>
      </c>
      <c r="G281" s="7">
        <v>4</v>
      </c>
      <c r="H281" s="4">
        <v>1</v>
      </c>
      <c r="I281" s="7">
        <v>40</v>
      </c>
      <c r="J281" s="7">
        <v>1</v>
      </c>
      <c r="K281" s="4">
        <v>5</v>
      </c>
      <c r="L281" s="7">
        <v>200</v>
      </c>
      <c r="M281" s="7">
        <v>5</v>
      </c>
      <c r="N281" s="4">
        <v>16</v>
      </c>
      <c r="O281" s="7">
        <v>412</v>
      </c>
      <c r="P281" s="7">
        <v>10.3</v>
      </c>
      <c r="Q281" s="4">
        <v>21</v>
      </c>
      <c r="R281" s="7">
        <v>612</v>
      </c>
      <c r="S281" s="7">
        <v>15.3</v>
      </c>
    </row>
    <row r="282" spans="1:19" ht="13.5" thickBot="1" x14ac:dyDescent="0.25">
      <c r="A282" s="2" t="s">
        <v>502</v>
      </c>
      <c r="B282" s="1" t="s">
        <v>501</v>
      </c>
      <c r="C282" s="2" t="s">
        <v>29</v>
      </c>
      <c r="D282" s="4">
        <v>18393</v>
      </c>
      <c r="E282" s="77">
        <v>3</v>
      </c>
      <c r="F282" s="7">
        <v>104</v>
      </c>
      <c r="G282" s="7">
        <v>2.6</v>
      </c>
      <c r="H282" s="4">
        <v>10</v>
      </c>
      <c r="I282" s="7">
        <v>287</v>
      </c>
      <c r="J282" s="7">
        <v>7.1749999999999998</v>
      </c>
      <c r="K282" s="4">
        <v>13</v>
      </c>
      <c r="L282" s="7">
        <v>391</v>
      </c>
      <c r="M282" s="7">
        <v>9.7750000000000004</v>
      </c>
      <c r="N282" s="4">
        <v>8</v>
      </c>
      <c r="O282" s="7">
        <v>92</v>
      </c>
      <c r="P282" s="7">
        <v>2.2999999999999998</v>
      </c>
      <c r="Q282" s="4">
        <v>21</v>
      </c>
      <c r="R282" s="7">
        <v>483</v>
      </c>
      <c r="S282" s="7">
        <v>12.074999999999999</v>
      </c>
    </row>
    <row r="283" spans="1:19" ht="13.5" thickBot="1" x14ac:dyDescent="0.25">
      <c r="A283" s="2" t="s">
        <v>514</v>
      </c>
      <c r="B283" s="1" t="s">
        <v>513</v>
      </c>
      <c r="C283" s="2" t="s">
        <v>29</v>
      </c>
      <c r="D283" s="4">
        <v>14384</v>
      </c>
      <c r="E283" s="4">
        <v>1</v>
      </c>
      <c r="F283" s="7">
        <v>40</v>
      </c>
      <c r="G283" s="7">
        <v>1</v>
      </c>
      <c r="H283" s="4">
        <v>2</v>
      </c>
      <c r="I283" s="7">
        <v>80</v>
      </c>
      <c r="J283" s="7">
        <v>2</v>
      </c>
      <c r="K283" s="4">
        <v>3</v>
      </c>
      <c r="L283" s="7">
        <v>120</v>
      </c>
      <c r="M283" s="7">
        <v>3</v>
      </c>
      <c r="N283" s="4">
        <v>4</v>
      </c>
      <c r="O283" s="7">
        <v>103</v>
      </c>
      <c r="P283" s="7">
        <v>2.5750000000000002</v>
      </c>
      <c r="Q283" s="4">
        <v>7</v>
      </c>
      <c r="R283" s="7">
        <v>223</v>
      </c>
      <c r="S283" s="7">
        <v>5.5750000000000002</v>
      </c>
    </row>
    <row r="284" spans="1:19" ht="13.5" thickBot="1" x14ac:dyDescent="0.25">
      <c r="A284" s="2" t="s">
        <v>518</v>
      </c>
      <c r="B284" s="1" t="s">
        <v>517</v>
      </c>
      <c r="C284" s="2" t="s">
        <v>29</v>
      </c>
      <c r="D284" s="4">
        <v>17511</v>
      </c>
      <c r="E284" s="4">
        <v>3</v>
      </c>
      <c r="F284" s="7">
        <v>80</v>
      </c>
      <c r="G284" s="7">
        <v>2</v>
      </c>
      <c r="H284" s="4">
        <v>2</v>
      </c>
      <c r="I284" s="7">
        <v>61</v>
      </c>
      <c r="J284" s="7">
        <v>1.5249999999999999</v>
      </c>
      <c r="K284" s="4">
        <v>5</v>
      </c>
      <c r="L284" s="7">
        <v>141</v>
      </c>
      <c r="M284" s="7">
        <v>3.5249999999999999</v>
      </c>
      <c r="N284" s="4">
        <v>3</v>
      </c>
      <c r="O284" s="7">
        <v>68</v>
      </c>
      <c r="P284" s="7">
        <v>1.7</v>
      </c>
      <c r="Q284" s="4">
        <v>8</v>
      </c>
      <c r="R284" s="7">
        <v>209</v>
      </c>
      <c r="S284" s="7">
        <v>5.2249999999999996</v>
      </c>
    </row>
    <row r="285" spans="1:19" ht="13.5" thickBot="1" x14ac:dyDescent="0.25">
      <c r="A285" s="2" t="s">
        <v>520</v>
      </c>
      <c r="B285" s="1" t="s">
        <v>519</v>
      </c>
      <c r="C285" s="2" t="s">
        <v>29</v>
      </c>
      <c r="D285" s="4">
        <v>15736</v>
      </c>
      <c r="E285" s="4">
        <v>8</v>
      </c>
      <c r="F285" s="7">
        <v>259</v>
      </c>
      <c r="G285" s="7">
        <v>6.4749999999999996</v>
      </c>
      <c r="H285" s="4">
        <v>1</v>
      </c>
      <c r="I285" s="7">
        <v>18</v>
      </c>
      <c r="J285" s="7">
        <v>0.45</v>
      </c>
      <c r="K285" s="4">
        <v>9</v>
      </c>
      <c r="L285" s="7">
        <v>277</v>
      </c>
      <c r="M285" s="7">
        <v>6.9249999999999998</v>
      </c>
      <c r="N285" s="4">
        <v>14</v>
      </c>
      <c r="O285" s="7">
        <v>260</v>
      </c>
      <c r="P285" s="7">
        <v>6.5</v>
      </c>
      <c r="Q285" s="4">
        <v>23</v>
      </c>
      <c r="R285" s="7">
        <v>537</v>
      </c>
      <c r="S285" s="7">
        <v>13.425000000000001</v>
      </c>
    </row>
    <row r="286" spans="1:19" ht="13.5" thickBot="1" x14ac:dyDescent="0.25">
      <c r="A286" s="2" t="s">
        <v>524</v>
      </c>
      <c r="B286" s="1" t="s">
        <v>523</v>
      </c>
      <c r="C286" s="2" t="s">
        <v>29</v>
      </c>
      <c r="D286" s="4">
        <v>13097</v>
      </c>
      <c r="E286" s="4">
        <v>0</v>
      </c>
      <c r="F286" s="7">
        <v>0</v>
      </c>
      <c r="G286" s="7">
        <v>0</v>
      </c>
      <c r="H286" s="4">
        <v>1</v>
      </c>
      <c r="I286" s="7">
        <v>40</v>
      </c>
      <c r="J286" s="7">
        <v>1</v>
      </c>
      <c r="K286" s="4">
        <v>1</v>
      </c>
      <c r="L286" s="7">
        <v>40</v>
      </c>
      <c r="M286" s="7">
        <v>1</v>
      </c>
      <c r="N286" s="4">
        <v>8</v>
      </c>
      <c r="O286" s="7">
        <v>89</v>
      </c>
      <c r="P286" s="7">
        <v>2.2250000000000001</v>
      </c>
      <c r="Q286" s="4">
        <v>9</v>
      </c>
      <c r="R286" s="7">
        <v>129</v>
      </c>
      <c r="S286" s="7">
        <v>3.2250000000000001</v>
      </c>
    </row>
    <row r="287" spans="1:19" ht="13.5" thickBot="1" x14ac:dyDescent="0.25">
      <c r="A287" s="2" t="s">
        <v>534</v>
      </c>
      <c r="B287" s="1" t="s">
        <v>533</v>
      </c>
      <c r="C287" s="2" t="s">
        <v>29</v>
      </c>
      <c r="D287" s="4">
        <v>22857</v>
      </c>
      <c r="E287" s="4">
        <v>7</v>
      </c>
      <c r="F287" s="7">
        <v>210</v>
      </c>
      <c r="G287" s="7">
        <v>5.25</v>
      </c>
      <c r="H287" s="4">
        <v>0</v>
      </c>
      <c r="I287" s="7">
        <v>0</v>
      </c>
      <c r="J287" s="7">
        <v>0</v>
      </c>
      <c r="K287" s="4">
        <v>7</v>
      </c>
      <c r="L287" s="7">
        <v>210</v>
      </c>
      <c r="M287" s="7">
        <v>5.25</v>
      </c>
      <c r="N287" s="4">
        <v>11</v>
      </c>
      <c r="O287" s="7">
        <v>340</v>
      </c>
      <c r="P287" s="7">
        <v>8.5</v>
      </c>
      <c r="Q287" s="4">
        <v>17</v>
      </c>
      <c r="R287" s="7">
        <v>550</v>
      </c>
      <c r="S287" s="7">
        <v>13.75</v>
      </c>
    </row>
    <row r="288" spans="1:19" ht="13.5" thickBot="1" x14ac:dyDescent="0.25">
      <c r="A288" s="2" t="s">
        <v>548</v>
      </c>
      <c r="B288" s="1" t="s">
        <v>547</v>
      </c>
      <c r="C288" s="2" t="s">
        <v>29</v>
      </c>
      <c r="D288" s="4">
        <v>25686</v>
      </c>
      <c r="E288" s="4">
        <v>2</v>
      </c>
      <c r="F288" s="7">
        <v>75</v>
      </c>
      <c r="G288" s="7">
        <v>1.875</v>
      </c>
      <c r="H288" s="4">
        <v>5</v>
      </c>
      <c r="I288" s="7">
        <v>187.5</v>
      </c>
      <c r="J288" s="7">
        <v>4.6875</v>
      </c>
      <c r="K288" s="4">
        <v>7</v>
      </c>
      <c r="L288" s="7">
        <v>262.5</v>
      </c>
      <c r="M288" s="7">
        <v>6.5625</v>
      </c>
      <c r="N288" s="4">
        <v>21</v>
      </c>
      <c r="O288" s="7">
        <v>485</v>
      </c>
      <c r="P288" s="7">
        <v>12.125</v>
      </c>
      <c r="Q288" s="4">
        <v>28</v>
      </c>
      <c r="R288" s="7">
        <v>747.5</v>
      </c>
      <c r="S288" s="7">
        <v>18.6875</v>
      </c>
    </row>
    <row r="289" spans="1:19" ht="13.5" thickBot="1" x14ac:dyDescent="0.25">
      <c r="A289" s="2" t="s">
        <v>564</v>
      </c>
      <c r="B289" s="1" t="s">
        <v>563</v>
      </c>
      <c r="C289" s="2" t="s">
        <v>29</v>
      </c>
      <c r="D289" s="4">
        <v>12561</v>
      </c>
      <c r="E289" s="4">
        <v>1</v>
      </c>
      <c r="F289" s="7">
        <v>40</v>
      </c>
      <c r="G289" s="7">
        <v>1</v>
      </c>
      <c r="H289" s="4">
        <v>4</v>
      </c>
      <c r="I289" s="7">
        <v>140</v>
      </c>
      <c r="J289" s="7">
        <v>3.5</v>
      </c>
      <c r="K289" s="4">
        <v>5</v>
      </c>
      <c r="L289" s="7">
        <v>180</v>
      </c>
      <c r="M289" s="7">
        <v>4.5</v>
      </c>
      <c r="N289" s="4">
        <v>3</v>
      </c>
      <c r="O289" s="7">
        <v>59</v>
      </c>
      <c r="P289" s="7">
        <v>1.4750000000000001</v>
      </c>
      <c r="Q289" s="4">
        <v>8</v>
      </c>
      <c r="R289" s="7">
        <v>239</v>
      </c>
      <c r="S289" s="7">
        <v>5.9749999999999996</v>
      </c>
    </row>
    <row r="290" spans="1:19" ht="13.5" thickBot="1" x14ac:dyDescent="0.25">
      <c r="A290" s="2" t="s">
        <v>574</v>
      </c>
      <c r="B290" s="1" t="s">
        <v>573</v>
      </c>
      <c r="C290" s="2" t="s">
        <v>29</v>
      </c>
      <c r="D290" s="4">
        <v>24164</v>
      </c>
      <c r="E290" s="4">
        <v>2</v>
      </c>
      <c r="F290" s="7">
        <v>80</v>
      </c>
      <c r="G290" s="7">
        <v>2</v>
      </c>
      <c r="H290" s="4">
        <v>1</v>
      </c>
      <c r="I290" s="7">
        <v>38.5</v>
      </c>
      <c r="J290" s="7">
        <v>0.96250000000000002</v>
      </c>
      <c r="K290" s="4">
        <v>3</v>
      </c>
      <c r="L290" s="7">
        <v>118.5</v>
      </c>
      <c r="M290" s="7">
        <v>2.9624999999999999</v>
      </c>
      <c r="N290" s="4">
        <v>19</v>
      </c>
      <c r="O290" s="7">
        <v>324.64</v>
      </c>
      <c r="P290" s="7">
        <v>8.1159999999999997</v>
      </c>
      <c r="Q290" s="4">
        <v>22</v>
      </c>
      <c r="R290" s="7">
        <v>443.14</v>
      </c>
      <c r="S290" s="7">
        <v>11.0785</v>
      </c>
    </row>
    <row r="291" spans="1:19" ht="13.5" thickBot="1" x14ac:dyDescent="0.25">
      <c r="A291" s="2" t="s">
        <v>576</v>
      </c>
      <c r="B291" s="1" t="s">
        <v>575</v>
      </c>
      <c r="C291" s="2" t="s">
        <v>29</v>
      </c>
      <c r="D291" s="4">
        <v>14230</v>
      </c>
      <c r="E291" s="4">
        <v>1</v>
      </c>
      <c r="F291" s="7">
        <v>40</v>
      </c>
      <c r="G291" s="7">
        <v>1</v>
      </c>
      <c r="H291" s="4">
        <v>1</v>
      </c>
      <c r="I291" s="7">
        <v>40</v>
      </c>
      <c r="J291" s="7">
        <v>1</v>
      </c>
      <c r="K291" s="4">
        <v>2</v>
      </c>
      <c r="L291" s="7">
        <v>80</v>
      </c>
      <c r="M291" s="7">
        <v>2</v>
      </c>
      <c r="N291" s="4">
        <v>15</v>
      </c>
      <c r="O291" s="7">
        <v>353</v>
      </c>
      <c r="P291" s="7">
        <v>8.8249999999999993</v>
      </c>
      <c r="Q291" s="4">
        <v>17</v>
      </c>
      <c r="R291" s="7">
        <v>433</v>
      </c>
      <c r="S291" s="7">
        <v>10.824999999999999</v>
      </c>
    </row>
    <row r="292" spans="1:19" ht="13.5" thickBot="1" x14ac:dyDescent="0.25">
      <c r="A292" s="2" t="s">
        <v>580</v>
      </c>
      <c r="B292" s="1" t="s">
        <v>579</v>
      </c>
      <c r="C292" s="2" t="s">
        <v>29</v>
      </c>
      <c r="D292" s="4">
        <v>20526</v>
      </c>
      <c r="E292" s="4">
        <v>9</v>
      </c>
      <c r="F292" s="7">
        <v>271</v>
      </c>
      <c r="G292" s="7">
        <v>6.7750000000000004</v>
      </c>
      <c r="H292" s="4">
        <v>8</v>
      </c>
      <c r="I292" s="7">
        <v>172</v>
      </c>
      <c r="J292" s="7">
        <v>4.3</v>
      </c>
      <c r="K292" s="4">
        <v>17</v>
      </c>
      <c r="L292" s="7">
        <v>443</v>
      </c>
      <c r="M292" s="7">
        <v>11.074999999999999</v>
      </c>
      <c r="N292" s="4">
        <v>8</v>
      </c>
      <c r="O292" s="7">
        <v>159</v>
      </c>
      <c r="P292" s="7">
        <v>3.9750000000000001</v>
      </c>
      <c r="Q292" s="4">
        <v>29</v>
      </c>
      <c r="R292" s="7">
        <v>602</v>
      </c>
      <c r="S292" s="7">
        <v>15.05</v>
      </c>
    </row>
    <row r="293" spans="1:19" ht="13.5" thickBot="1" x14ac:dyDescent="0.25">
      <c r="A293" s="2" t="s">
        <v>588</v>
      </c>
      <c r="B293" s="1" t="s">
        <v>587</v>
      </c>
      <c r="C293" s="2" t="s">
        <v>29</v>
      </c>
      <c r="D293" s="4">
        <v>13579</v>
      </c>
      <c r="E293" s="4">
        <v>2</v>
      </c>
      <c r="F293" s="7">
        <v>80</v>
      </c>
      <c r="G293" s="7">
        <v>2</v>
      </c>
      <c r="H293" s="4">
        <v>0</v>
      </c>
      <c r="I293" s="7">
        <v>0</v>
      </c>
      <c r="J293" s="7">
        <v>0</v>
      </c>
      <c r="K293" s="4">
        <v>2</v>
      </c>
      <c r="L293" s="7">
        <v>80</v>
      </c>
      <c r="M293" s="7">
        <v>2</v>
      </c>
      <c r="N293" s="4">
        <v>16</v>
      </c>
      <c r="O293" s="7">
        <v>322</v>
      </c>
      <c r="P293" s="7">
        <v>8.0500000000000007</v>
      </c>
      <c r="Q293" s="4">
        <v>17</v>
      </c>
      <c r="R293" s="7">
        <v>402</v>
      </c>
      <c r="S293" s="7">
        <v>10.050000000000001</v>
      </c>
    </row>
    <row r="294" spans="1:19" ht="13.5" thickBot="1" x14ac:dyDescent="0.25">
      <c r="A294" s="2" t="s">
        <v>600</v>
      </c>
      <c r="B294" s="1" t="s">
        <v>599</v>
      </c>
      <c r="C294" s="2" t="s">
        <v>29</v>
      </c>
      <c r="D294" s="4">
        <v>16709</v>
      </c>
      <c r="E294" s="4">
        <v>5</v>
      </c>
      <c r="F294" s="7">
        <v>186</v>
      </c>
      <c r="G294" s="7">
        <v>4.6500000000000004</v>
      </c>
      <c r="H294" s="4">
        <v>3</v>
      </c>
      <c r="I294" s="7">
        <v>140</v>
      </c>
      <c r="J294" s="7">
        <v>3.5</v>
      </c>
      <c r="K294" s="4">
        <v>8</v>
      </c>
      <c r="L294" s="7">
        <v>326</v>
      </c>
      <c r="M294" s="7">
        <v>8.15</v>
      </c>
      <c r="N294" s="4">
        <v>14</v>
      </c>
      <c r="O294" s="7">
        <v>239</v>
      </c>
      <c r="P294" s="7">
        <v>5.9749999999999996</v>
      </c>
      <c r="Q294" s="4">
        <v>23</v>
      </c>
      <c r="R294" s="7">
        <v>565</v>
      </c>
      <c r="S294" s="7">
        <v>14.125</v>
      </c>
    </row>
    <row r="295" spans="1:19" ht="13.5" thickBot="1" x14ac:dyDescent="0.25">
      <c r="A295" s="2" t="s">
        <v>616</v>
      </c>
      <c r="B295" s="1" t="s">
        <v>615</v>
      </c>
      <c r="C295" s="2" t="s">
        <v>29</v>
      </c>
      <c r="D295" s="4">
        <v>12798</v>
      </c>
      <c r="E295" s="4">
        <v>1</v>
      </c>
      <c r="F295" s="7">
        <v>40</v>
      </c>
      <c r="G295" s="7">
        <v>1</v>
      </c>
      <c r="H295" s="4">
        <v>11</v>
      </c>
      <c r="I295" s="7">
        <v>300</v>
      </c>
      <c r="J295" s="7">
        <v>7.5</v>
      </c>
      <c r="K295" s="4">
        <v>11</v>
      </c>
      <c r="L295" s="7">
        <v>300</v>
      </c>
      <c r="M295" s="7">
        <v>7.5</v>
      </c>
      <c r="N295" s="4">
        <v>7</v>
      </c>
      <c r="O295" s="7">
        <v>100</v>
      </c>
      <c r="P295" s="7">
        <v>2.5</v>
      </c>
      <c r="Q295" s="4">
        <v>19</v>
      </c>
      <c r="R295" s="7">
        <v>400</v>
      </c>
      <c r="S295" s="7">
        <v>10</v>
      </c>
    </row>
    <row r="296" spans="1:19" ht="13.5" thickBot="1" x14ac:dyDescent="0.25">
      <c r="A296" s="2" t="s">
        <v>618</v>
      </c>
      <c r="B296" s="1" t="s">
        <v>617</v>
      </c>
      <c r="C296" s="2" t="s">
        <v>29</v>
      </c>
      <c r="D296" s="4">
        <v>13912</v>
      </c>
      <c r="E296" s="77">
        <v>2</v>
      </c>
      <c r="F296" s="7">
        <v>78</v>
      </c>
      <c r="G296" s="7">
        <v>1.95</v>
      </c>
      <c r="H296" s="4">
        <v>0</v>
      </c>
      <c r="I296" s="7">
        <v>0</v>
      </c>
      <c r="J296" s="7">
        <v>0</v>
      </c>
      <c r="K296" s="4">
        <v>2</v>
      </c>
      <c r="L296" s="7">
        <v>78</v>
      </c>
      <c r="M296" s="7">
        <v>1.95</v>
      </c>
      <c r="N296" s="4">
        <v>9</v>
      </c>
      <c r="O296" s="7">
        <v>201</v>
      </c>
      <c r="P296" s="7">
        <v>5.0250000000000004</v>
      </c>
      <c r="Q296" s="4">
        <v>11</v>
      </c>
      <c r="R296" s="7">
        <v>279</v>
      </c>
      <c r="S296" s="7">
        <v>6.9749999999999996</v>
      </c>
    </row>
    <row r="297" spans="1:19" ht="13.5" thickBot="1" x14ac:dyDescent="0.25">
      <c r="A297" s="2" t="s">
        <v>622</v>
      </c>
      <c r="B297" s="1" t="s">
        <v>621</v>
      </c>
      <c r="C297" s="2" t="s">
        <v>29</v>
      </c>
      <c r="D297" s="4">
        <v>14878</v>
      </c>
      <c r="E297" s="4">
        <v>1</v>
      </c>
      <c r="F297" s="7">
        <v>40</v>
      </c>
      <c r="G297" s="7">
        <v>1</v>
      </c>
      <c r="H297" s="4">
        <v>8</v>
      </c>
      <c r="I297" s="7">
        <v>320</v>
      </c>
      <c r="J297" s="7">
        <v>8</v>
      </c>
      <c r="K297" s="4">
        <v>9</v>
      </c>
      <c r="L297" s="7">
        <v>360</v>
      </c>
      <c r="M297" s="7">
        <v>9</v>
      </c>
      <c r="N297" s="4">
        <v>13</v>
      </c>
      <c r="O297" s="7">
        <v>283</v>
      </c>
      <c r="P297" s="7">
        <v>7.0750000000000002</v>
      </c>
      <c r="Q297" s="4">
        <v>22</v>
      </c>
      <c r="R297" s="7">
        <v>643</v>
      </c>
      <c r="S297" s="7">
        <v>16.074999999999999</v>
      </c>
    </row>
    <row r="298" spans="1:19" ht="13.5" thickBot="1" x14ac:dyDescent="0.25">
      <c r="A298" s="2" t="s">
        <v>658</v>
      </c>
      <c r="B298" s="1" t="s">
        <v>657</v>
      </c>
      <c r="C298" s="2" t="s">
        <v>29</v>
      </c>
      <c r="D298" s="4">
        <v>12486</v>
      </c>
      <c r="E298" s="4">
        <v>1</v>
      </c>
      <c r="F298" s="7">
        <v>40</v>
      </c>
      <c r="G298" s="7">
        <v>1</v>
      </c>
      <c r="H298" s="77">
        <v>0</v>
      </c>
      <c r="I298" s="7">
        <v>0</v>
      </c>
      <c r="J298" s="7">
        <v>0</v>
      </c>
      <c r="K298" s="4">
        <v>1</v>
      </c>
      <c r="L298" s="7">
        <v>40</v>
      </c>
      <c r="M298" s="7">
        <v>1</v>
      </c>
      <c r="N298" s="4">
        <v>14</v>
      </c>
      <c r="O298" s="7">
        <v>135</v>
      </c>
      <c r="P298" s="7">
        <v>3.375</v>
      </c>
      <c r="Q298" s="4">
        <v>15</v>
      </c>
      <c r="R298" s="7">
        <v>175</v>
      </c>
      <c r="S298" s="7">
        <v>4.375</v>
      </c>
    </row>
    <row r="299" spans="1:19" ht="13.5" thickBot="1" x14ac:dyDescent="0.25">
      <c r="A299" s="2" t="s">
        <v>686</v>
      </c>
      <c r="B299" s="1" t="s">
        <v>685</v>
      </c>
      <c r="C299" s="2" t="s">
        <v>29</v>
      </c>
      <c r="D299" s="4">
        <v>16753</v>
      </c>
      <c r="E299" s="4">
        <v>9</v>
      </c>
      <c r="F299" s="7">
        <v>155</v>
      </c>
      <c r="G299" s="7">
        <v>3.875</v>
      </c>
      <c r="H299" s="4">
        <v>8</v>
      </c>
      <c r="I299" s="7">
        <v>142</v>
      </c>
      <c r="J299" s="7">
        <v>3.55</v>
      </c>
      <c r="K299" s="4">
        <v>17</v>
      </c>
      <c r="L299" s="7">
        <v>297</v>
      </c>
      <c r="M299" s="7">
        <v>7.4249999999999998</v>
      </c>
      <c r="N299" s="4">
        <v>39</v>
      </c>
      <c r="O299" s="7">
        <v>631</v>
      </c>
      <c r="P299" s="7">
        <v>15.775</v>
      </c>
      <c r="Q299" s="4">
        <v>56</v>
      </c>
      <c r="R299" s="7">
        <v>928</v>
      </c>
      <c r="S299" s="7">
        <v>23.2</v>
      </c>
    </row>
    <row r="300" spans="1:19" ht="13.5" thickBot="1" x14ac:dyDescent="0.25">
      <c r="A300" s="2" t="s">
        <v>728</v>
      </c>
      <c r="B300" s="1" t="s">
        <v>727</v>
      </c>
      <c r="C300" s="2" t="s">
        <v>29</v>
      </c>
      <c r="D300" s="4">
        <v>18260</v>
      </c>
      <c r="E300" s="4">
        <v>5</v>
      </c>
      <c r="F300" s="7">
        <v>166.14</v>
      </c>
      <c r="G300" s="7">
        <v>4.1535000000000002</v>
      </c>
      <c r="H300" s="4">
        <v>4</v>
      </c>
      <c r="I300" s="7">
        <v>141.84</v>
      </c>
      <c r="J300" s="7">
        <v>3.5459999999999998</v>
      </c>
      <c r="K300" s="4">
        <v>9</v>
      </c>
      <c r="L300" s="7">
        <v>307.98</v>
      </c>
      <c r="M300" s="7">
        <v>7.6994999999999996</v>
      </c>
      <c r="N300" s="4">
        <v>23</v>
      </c>
      <c r="O300" s="7">
        <v>414.06</v>
      </c>
      <c r="P300" s="7">
        <v>10.3515</v>
      </c>
      <c r="Q300" s="4">
        <v>32</v>
      </c>
      <c r="R300" s="7">
        <v>722.04</v>
      </c>
      <c r="S300" s="7">
        <v>18.050999999999998</v>
      </c>
    </row>
    <row r="301" spans="1:19" ht="13.5" thickBot="1" x14ac:dyDescent="0.25">
      <c r="A301" s="2" t="s">
        <v>730</v>
      </c>
      <c r="B301" s="1" t="s">
        <v>729</v>
      </c>
      <c r="C301" s="2" t="s">
        <v>29</v>
      </c>
      <c r="D301" s="4">
        <v>13940</v>
      </c>
      <c r="E301" s="4">
        <v>3</v>
      </c>
      <c r="F301" s="7">
        <v>99</v>
      </c>
      <c r="G301" s="7">
        <v>2.4750000000000001</v>
      </c>
      <c r="H301" s="4">
        <v>4</v>
      </c>
      <c r="I301" s="7">
        <v>129</v>
      </c>
      <c r="J301" s="7">
        <v>3.2250000000000001</v>
      </c>
      <c r="K301" s="4">
        <v>7</v>
      </c>
      <c r="L301" s="7">
        <v>228</v>
      </c>
      <c r="M301" s="7">
        <v>5.7</v>
      </c>
      <c r="N301" s="4">
        <v>9</v>
      </c>
      <c r="O301" s="7">
        <v>140</v>
      </c>
      <c r="P301" s="7">
        <v>3.5</v>
      </c>
      <c r="Q301" s="4">
        <v>16</v>
      </c>
      <c r="R301" s="7">
        <v>368</v>
      </c>
      <c r="S301" s="7">
        <v>9.1999999999999993</v>
      </c>
    </row>
    <row r="302" spans="1:19" ht="13.5" thickBot="1" x14ac:dyDescent="0.25">
      <c r="A302" s="2" t="s">
        <v>736</v>
      </c>
      <c r="B302" s="1" t="s">
        <v>735</v>
      </c>
      <c r="C302" s="2" t="s">
        <v>29</v>
      </c>
      <c r="D302" s="4">
        <v>17937</v>
      </c>
      <c r="E302" s="4">
        <v>2</v>
      </c>
      <c r="F302" s="7">
        <v>65</v>
      </c>
      <c r="G302" s="7">
        <v>1.625</v>
      </c>
      <c r="H302" s="4">
        <v>2</v>
      </c>
      <c r="I302" s="7">
        <v>75</v>
      </c>
      <c r="J302" s="7">
        <v>1.875</v>
      </c>
      <c r="K302" s="4">
        <v>4</v>
      </c>
      <c r="L302" s="7">
        <v>140</v>
      </c>
      <c r="M302" s="7">
        <v>3.5</v>
      </c>
      <c r="N302" s="4">
        <v>10</v>
      </c>
      <c r="O302" s="7">
        <v>200</v>
      </c>
      <c r="P302" s="7">
        <v>5</v>
      </c>
      <c r="Q302" s="4">
        <v>14</v>
      </c>
      <c r="R302" s="7">
        <v>340</v>
      </c>
      <c r="S302" s="7">
        <v>8.5</v>
      </c>
    </row>
    <row r="303" spans="1:19" ht="13.5" thickBot="1" x14ac:dyDescent="0.25">
      <c r="A303" s="2" t="s">
        <v>755</v>
      </c>
      <c r="B303" s="1" t="s">
        <v>754</v>
      </c>
      <c r="C303" s="2" t="s">
        <v>29</v>
      </c>
      <c r="D303" s="4">
        <v>18134</v>
      </c>
      <c r="E303" s="4">
        <v>3</v>
      </c>
      <c r="F303" s="7">
        <v>120</v>
      </c>
      <c r="G303" s="7">
        <v>3</v>
      </c>
      <c r="H303" s="4">
        <v>3</v>
      </c>
      <c r="I303" s="7">
        <v>120</v>
      </c>
      <c r="J303" s="7">
        <v>3</v>
      </c>
      <c r="K303" s="4">
        <v>3</v>
      </c>
      <c r="L303" s="7">
        <v>240</v>
      </c>
      <c r="M303" s="7">
        <v>6</v>
      </c>
      <c r="N303" s="4">
        <v>8</v>
      </c>
      <c r="O303" s="7">
        <v>218</v>
      </c>
      <c r="P303" s="7">
        <v>5.45</v>
      </c>
      <c r="Q303" s="4">
        <v>14</v>
      </c>
      <c r="R303" s="7">
        <v>458</v>
      </c>
      <c r="S303" s="7">
        <v>11.45</v>
      </c>
    </row>
    <row r="304" spans="1:19" ht="13.5" thickBot="1" x14ac:dyDescent="0.25">
      <c r="A304" s="2" t="s">
        <v>767</v>
      </c>
      <c r="B304" s="1" t="s">
        <v>766</v>
      </c>
      <c r="C304" s="2" t="s">
        <v>29</v>
      </c>
      <c r="D304" s="4">
        <v>16881</v>
      </c>
      <c r="E304" s="4">
        <v>1</v>
      </c>
      <c r="F304" s="7">
        <v>40</v>
      </c>
      <c r="G304" s="7">
        <v>1</v>
      </c>
      <c r="H304" s="77">
        <v>1</v>
      </c>
      <c r="I304" s="7">
        <v>8</v>
      </c>
      <c r="J304" s="7">
        <v>0.2</v>
      </c>
      <c r="K304" s="4">
        <v>2</v>
      </c>
      <c r="L304" s="7">
        <v>48</v>
      </c>
      <c r="M304" s="7">
        <v>1.2</v>
      </c>
      <c r="N304" s="4">
        <v>2</v>
      </c>
      <c r="O304" s="7">
        <v>8</v>
      </c>
      <c r="P304" s="7">
        <v>0.2</v>
      </c>
      <c r="Q304" s="4">
        <v>4</v>
      </c>
      <c r="R304" s="7">
        <v>56</v>
      </c>
      <c r="S304" s="7">
        <v>1.4</v>
      </c>
    </row>
    <row r="305" spans="1:19" ht="13.5" thickBot="1" x14ac:dyDescent="0.25">
      <c r="A305" s="2" t="s">
        <v>771</v>
      </c>
      <c r="B305" s="1" t="s">
        <v>770</v>
      </c>
      <c r="C305" s="2" t="s">
        <v>29</v>
      </c>
      <c r="D305" s="4">
        <v>14253</v>
      </c>
      <c r="E305" s="4">
        <v>2</v>
      </c>
      <c r="F305" s="7">
        <v>69</v>
      </c>
      <c r="G305" s="7">
        <v>1.7250000000000001</v>
      </c>
      <c r="H305" s="4">
        <v>1</v>
      </c>
      <c r="I305" s="7">
        <v>40</v>
      </c>
      <c r="J305" s="7">
        <v>1</v>
      </c>
      <c r="K305" s="4">
        <v>3</v>
      </c>
      <c r="L305" s="7">
        <v>109</v>
      </c>
      <c r="M305" s="7">
        <v>2.7250000000000001</v>
      </c>
      <c r="N305" s="4">
        <v>10</v>
      </c>
      <c r="O305" s="7">
        <v>250.5</v>
      </c>
      <c r="P305" s="7">
        <v>6.2625000000000002</v>
      </c>
      <c r="Q305" s="4">
        <v>13</v>
      </c>
      <c r="R305" s="7">
        <v>359.5</v>
      </c>
      <c r="S305" s="7">
        <v>8.9875000000000007</v>
      </c>
    </row>
    <row r="306" spans="1:19" ht="13.5" thickBot="1" x14ac:dyDescent="0.25">
      <c r="A306" s="2" t="s">
        <v>791</v>
      </c>
      <c r="B306" s="1" t="s">
        <v>790</v>
      </c>
      <c r="C306" s="2" t="s">
        <v>29</v>
      </c>
      <c r="D306" s="4">
        <v>12238</v>
      </c>
      <c r="E306" s="4">
        <v>2</v>
      </c>
      <c r="F306" s="7">
        <v>75</v>
      </c>
      <c r="G306" s="7">
        <v>1.875</v>
      </c>
      <c r="H306" s="4">
        <v>1</v>
      </c>
      <c r="I306" s="7">
        <v>35</v>
      </c>
      <c r="J306" s="7">
        <v>0.875</v>
      </c>
      <c r="K306" s="4">
        <v>3</v>
      </c>
      <c r="L306" s="7">
        <v>105</v>
      </c>
      <c r="M306" s="7">
        <v>2.625</v>
      </c>
      <c r="N306" s="4">
        <v>10</v>
      </c>
      <c r="O306" s="7">
        <v>154.5</v>
      </c>
      <c r="P306" s="7">
        <v>3.8624999999999998</v>
      </c>
      <c r="Q306" s="4">
        <v>13</v>
      </c>
      <c r="R306" s="7">
        <v>259.5</v>
      </c>
      <c r="S306" s="7">
        <v>6.4874999999999998</v>
      </c>
    </row>
    <row r="307" spans="1:19" ht="13.5" thickBot="1" x14ac:dyDescent="0.25">
      <c r="A307" s="2" t="s">
        <v>813</v>
      </c>
      <c r="B307" s="1" t="s">
        <v>812</v>
      </c>
      <c r="C307" s="2" t="s">
        <v>29</v>
      </c>
      <c r="D307" s="4">
        <v>17593</v>
      </c>
      <c r="E307" s="4">
        <v>5</v>
      </c>
      <c r="F307" s="7">
        <v>100</v>
      </c>
      <c r="G307" s="7">
        <v>2.5</v>
      </c>
      <c r="H307" s="4">
        <v>0</v>
      </c>
      <c r="I307" s="7">
        <v>0</v>
      </c>
      <c r="J307" s="7">
        <v>0</v>
      </c>
      <c r="K307" s="4">
        <v>5</v>
      </c>
      <c r="L307" s="7">
        <v>100</v>
      </c>
      <c r="M307" s="7">
        <v>2.5</v>
      </c>
      <c r="N307" s="4">
        <v>9</v>
      </c>
      <c r="O307" s="7">
        <v>155.5</v>
      </c>
      <c r="P307" s="7">
        <v>3.8875000000000002</v>
      </c>
      <c r="Q307" s="4">
        <v>14</v>
      </c>
      <c r="R307" s="7">
        <v>255.5</v>
      </c>
      <c r="S307" s="7">
        <v>6.3875000000000002</v>
      </c>
    </row>
    <row r="308" spans="1:19" ht="13.5" thickBot="1" x14ac:dyDescent="0.25">
      <c r="A308" s="2" t="s">
        <v>839</v>
      </c>
      <c r="B308" s="1" t="s">
        <v>838</v>
      </c>
      <c r="C308" s="2" t="s">
        <v>29</v>
      </c>
      <c r="D308" s="4">
        <v>13498</v>
      </c>
      <c r="E308" s="4">
        <v>6</v>
      </c>
      <c r="F308" s="7">
        <v>217</v>
      </c>
      <c r="G308" s="7">
        <v>5.4249999999999998</v>
      </c>
      <c r="H308" s="4">
        <v>1</v>
      </c>
      <c r="I308" s="7">
        <v>4</v>
      </c>
      <c r="J308" s="7">
        <v>0.1</v>
      </c>
      <c r="K308" s="4">
        <v>7</v>
      </c>
      <c r="L308" s="7">
        <v>221</v>
      </c>
      <c r="M308" s="7">
        <v>5.5250000000000004</v>
      </c>
      <c r="N308" s="4">
        <v>11</v>
      </c>
      <c r="O308" s="7">
        <v>178</v>
      </c>
      <c r="P308" s="7">
        <v>4.45</v>
      </c>
      <c r="Q308" s="4">
        <v>18</v>
      </c>
      <c r="R308" s="7">
        <v>399</v>
      </c>
      <c r="S308" s="7">
        <v>9.9749999999999996</v>
      </c>
    </row>
    <row r="309" spans="1:19" ht="13.5" thickBot="1" x14ac:dyDescent="0.25">
      <c r="A309" s="2" t="s">
        <v>44</v>
      </c>
      <c r="B309" s="1" t="s">
        <v>43</v>
      </c>
      <c r="C309" s="2" t="s">
        <v>45</v>
      </c>
      <c r="D309" s="4">
        <v>28210</v>
      </c>
      <c r="E309" s="4">
        <v>2</v>
      </c>
      <c r="F309" s="7">
        <v>67.22</v>
      </c>
      <c r="G309" s="7">
        <v>1.6805000000000001</v>
      </c>
      <c r="H309" s="4">
        <v>0</v>
      </c>
      <c r="I309" s="7">
        <v>0</v>
      </c>
      <c r="J309" s="7">
        <v>0</v>
      </c>
      <c r="K309" s="4">
        <v>2</v>
      </c>
      <c r="L309" s="7">
        <v>67.22</v>
      </c>
      <c r="M309" s="7">
        <v>1.6805000000000001</v>
      </c>
      <c r="N309" s="4">
        <v>22</v>
      </c>
      <c r="O309" s="7">
        <v>355.3</v>
      </c>
      <c r="P309" s="7">
        <v>8.8825000000000003</v>
      </c>
      <c r="Q309" s="4">
        <v>24</v>
      </c>
      <c r="R309" s="7">
        <v>422.52</v>
      </c>
      <c r="S309" s="7">
        <v>10.563000000000001</v>
      </c>
    </row>
    <row r="310" spans="1:19" ht="13.5" thickBot="1" x14ac:dyDescent="0.25">
      <c r="A310" s="2" t="s">
        <v>47</v>
      </c>
      <c r="B310" s="1" t="s">
        <v>46</v>
      </c>
      <c r="C310" s="2" t="s">
        <v>45</v>
      </c>
      <c r="D310" s="4">
        <v>28283</v>
      </c>
      <c r="E310" s="4">
        <v>2</v>
      </c>
      <c r="F310" s="7">
        <v>80</v>
      </c>
      <c r="G310" s="7">
        <v>2</v>
      </c>
      <c r="H310" s="4">
        <v>4</v>
      </c>
      <c r="I310" s="7">
        <v>88</v>
      </c>
      <c r="J310" s="7">
        <v>2.2000000000000002</v>
      </c>
      <c r="K310" s="4">
        <v>6</v>
      </c>
      <c r="L310" s="7">
        <v>168</v>
      </c>
      <c r="M310" s="7">
        <v>4.2</v>
      </c>
      <c r="N310" s="4">
        <v>3</v>
      </c>
      <c r="O310" s="7">
        <v>28</v>
      </c>
      <c r="P310" s="7">
        <v>0.7</v>
      </c>
      <c r="Q310" s="4">
        <v>8</v>
      </c>
      <c r="R310" s="7">
        <v>196</v>
      </c>
      <c r="S310" s="7">
        <v>4.9000000000000004</v>
      </c>
    </row>
    <row r="311" spans="1:19" ht="13.5" thickBot="1" x14ac:dyDescent="0.25">
      <c r="A311" s="2" t="s">
        <v>55</v>
      </c>
      <c r="B311" s="1" t="s">
        <v>54</v>
      </c>
      <c r="C311" s="2" t="s">
        <v>45</v>
      </c>
      <c r="D311" s="4">
        <v>29598</v>
      </c>
      <c r="E311" s="4">
        <v>1</v>
      </c>
      <c r="F311" s="7">
        <v>40</v>
      </c>
      <c r="G311" s="7">
        <v>1</v>
      </c>
      <c r="H311" s="4">
        <v>9</v>
      </c>
      <c r="I311" s="7">
        <v>290.5</v>
      </c>
      <c r="J311" s="7">
        <v>7.2625000000000002</v>
      </c>
      <c r="K311" s="4">
        <v>10</v>
      </c>
      <c r="L311" s="7">
        <v>330.5</v>
      </c>
      <c r="M311" s="7">
        <v>8.2624999999999993</v>
      </c>
      <c r="N311" s="77">
        <v>14</v>
      </c>
      <c r="O311" s="7">
        <v>317</v>
      </c>
      <c r="P311" s="7">
        <v>7.9249999999999998</v>
      </c>
      <c r="Q311" s="4">
        <v>24</v>
      </c>
      <c r="R311" s="7">
        <v>647.5</v>
      </c>
      <c r="S311" s="7">
        <v>16.1875</v>
      </c>
    </row>
    <row r="312" spans="1:19" ht="13.5" thickBot="1" x14ac:dyDescent="0.25">
      <c r="A312" s="2" t="s">
        <v>80</v>
      </c>
      <c r="B312" s="1" t="s">
        <v>79</v>
      </c>
      <c r="C312" s="2" t="s">
        <v>45</v>
      </c>
      <c r="D312" s="4">
        <v>35350</v>
      </c>
      <c r="E312" s="4">
        <v>49</v>
      </c>
      <c r="F312" s="7">
        <v>611.79999999999995</v>
      </c>
      <c r="G312" s="7">
        <v>15.295</v>
      </c>
      <c r="H312" s="4">
        <v>0</v>
      </c>
      <c r="I312" s="7">
        <v>0</v>
      </c>
      <c r="J312" s="7">
        <v>0</v>
      </c>
      <c r="K312" s="4">
        <v>49</v>
      </c>
      <c r="L312" s="7">
        <v>611.79999999999995</v>
      </c>
      <c r="M312" s="7">
        <v>15.295</v>
      </c>
      <c r="N312" s="4">
        <v>44</v>
      </c>
      <c r="O312" s="7">
        <v>765.72</v>
      </c>
      <c r="P312" s="7">
        <v>19.143000000000001</v>
      </c>
      <c r="Q312" s="4">
        <v>93</v>
      </c>
      <c r="R312" s="7">
        <v>1377.52</v>
      </c>
      <c r="S312" s="7">
        <v>34.438000000000002</v>
      </c>
    </row>
    <row r="313" spans="1:19" ht="13.5" thickBot="1" x14ac:dyDescent="0.25">
      <c r="A313" s="2" t="s">
        <v>92</v>
      </c>
      <c r="B313" s="1" t="s">
        <v>91</v>
      </c>
      <c r="C313" s="2" t="s">
        <v>45</v>
      </c>
      <c r="D313" s="4">
        <v>42361</v>
      </c>
      <c r="E313" s="4">
        <v>11</v>
      </c>
      <c r="F313" s="7">
        <v>249.2</v>
      </c>
      <c r="G313" s="7">
        <v>6.23</v>
      </c>
      <c r="H313" s="4">
        <v>0</v>
      </c>
      <c r="I313" s="7">
        <v>0</v>
      </c>
      <c r="J313" s="7">
        <v>0</v>
      </c>
      <c r="K313" s="4">
        <v>11</v>
      </c>
      <c r="L313" s="7">
        <v>249.2</v>
      </c>
      <c r="M313" s="7">
        <v>6.23</v>
      </c>
      <c r="N313" s="4">
        <v>18</v>
      </c>
      <c r="O313" s="7">
        <v>347.5</v>
      </c>
      <c r="P313" s="7">
        <v>8.6875</v>
      </c>
      <c r="Q313" s="4">
        <v>29</v>
      </c>
      <c r="R313" s="7">
        <v>596.70000000000005</v>
      </c>
      <c r="S313" s="7">
        <v>14.9175</v>
      </c>
    </row>
    <row r="314" spans="1:19" ht="13.5" thickBot="1" x14ac:dyDescent="0.25">
      <c r="A314" s="2" t="s">
        <v>114</v>
      </c>
      <c r="B314" s="1" t="s">
        <v>113</v>
      </c>
      <c r="C314" s="2" t="s">
        <v>45</v>
      </c>
      <c r="D314" s="4">
        <v>41070</v>
      </c>
      <c r="E314" s="4">
        <v>22</v>
      </c>
      <c r="F314" s="7">
        <v>705</v>
      </c>
      <c r="G314" s="7">
        <v>17.625</v>
      </c>
      <c r="H314" s="4">
        <v>0</v>
      </c>
      <c r="I314" s="7">
        <v>0</v>
      </c>
      <c r="J314" s="7">
        <v>0</v>
      </c>
      <c r="K314" s="4">
        <v>22</v>
      </c>
      <c r="L314" s="7">
        <v>705</v>
      </c>
      <c r="M314" s="7">
        <v>17.625</v>
      </c>
      <c r="N314" s="4">
        <v>72</v>
      </c>
      <c r="O314" s="7">
        <v>1476</v>
      </c>
      <c r="P314" s="7">
        <v>36.9</v>
      </c>
      <c r="Q314" s="4">
        <v>94</v>
      </c>
      <c r="R314" s="7">
        <v>2181</v>
      </c>
      <c r="S314" s="7">
        <v>54.524999999999999</v>
      </c>
    </row>
    <row r="315" spans="1:19" ht="13.5" thickBot="1" x14ac:dyDescent="0.25">
      <c r="A315" s="2" t="s">
        <v>120</v>
      </c>
      <c r="B315" s="1" t="s">
        <v>119</v>
      </c>
      <c r="C315" s="2" t="s">
        <v>45</v>
      </c>
      <c r="D315" s="4">
        <v>46905</v>
      </c>
      <c r="E315" s="4">
        <v>6</v>
      </c>
      <c r="F315" s="7">
        <v>240</v>
      </c>
      <c r="G315" s="7">
        <v>6</v>
      </c>
      <c r="H315" s="4">
        <v>8</v>
      </c>
      <c r="I315" s="7">
        <v>245</v>
      </c>
      <c r="J315" s="7">
        <v>6.125</v>
      </c>
      <c r="K315" s="4">
        <v>13</v>
      </c>
      <c r="L315" s="7">
        <v>485</v>
      </c>
      <c r="M315" s="7">
        <v>12.125</v>
      </c>
      <c r="N315" s="4">
        <v>21</v>
      </c>
      <c r="O315" s="7">
        <v>432</v>
      </c>
      <c r="P315" s="7">
        <v>10.8</v>
      </c>
      <c r="Q315" s="4">
        <v>39</v>
      </c>
      <c r="R315" s="7">
        <v>917</v>
      </c>
      <c r="S315" s="7">
        <v>22.925000000000001</v>
      </c>
    </row>
    <row r="316" spans="1:19" ht="13.5" thickBot="1" x14ac:dyDescent="0.25">
      <c r="A316" s="2" t="s">
        <v>130</v>
      </c>
      <c r="B316" s="1" t="s">
        <v>129</v>
      </c>
      <c r="C316" s="2" t="s">
        <v>45</v>
      </c>
      <c r="D316" s="4">
        <v>43254</v>
      </c>
      <c r="E316" s="4">
        <v>19</v>
      </c>
      <c r="F316" s="7">
        <v>427.73</v>
      </c>
      <c r="G316" s="7">
        <v>10.693250000000001</v>
      </c>
      <c r="H316" s="4">
        <v>0</v>
      </c>
      <c r="I316" s="7">
        <v>0</v>
      </c>
      <c r="J316" s="7">
        <v>0</v>
      </c>
      <c r="K316" s="4">
        <v>19</v>
      </c>
      <c r="L316" s="7">
        <v>427.73</v>
      </c>
      <c r="M316" s="7">
        <v>10.693250000000001</v>
      </c>
      <c r="N316" s="4">
        <v>38</v>
      </c>
      <c r="O316" s="7">
        <v>703.55</v>
      </c>
      <c r="P316" s="7">
        <v>17.588750000000001</v>
      </c>
      <c r="Q316" s="4">
        <v>57</v>
      </c>
      <c r="R316" s="7">
        <v>1131.28</v>
      </c>
      <c r="S316" s="7">
        <v>28.282</v>
      </c>
    </row>
    <row r="317" spans="1:19" ht="13.5" thickBot="1" x14ac:dyDescent="0.25">
      <c r="A317" s="2" t="s">
        <v>142</v>
      </c>
      <c r="B317" s="1" t="s">
        <v>141</v>
      </c>
      <c r="C317" s="2" t="s">
        <v>45</v>
      </c>
      <c r="D317" s="4">
        <v>35087</v>
      </c>
      <c r="E317" s="4">
        <v>3</v>
      </c>
      <c r="F317" s="7">
        <v>120</v>
      </c>
      <c r="G317" s="7">
        <v>3</v>
      </c>
      <c r="H317" s="4">
        <v>2</v>
      </c>
      <c r="I317" s="7">
        <v>40</v>
      </c>
      <c r="J317" s="7">
        <v>1</v>
      </c>
      <c r="K317" s="4">
        <v>5</v>
      </c>
      <c r="L317" s="7">
        <v>160</v>
      </c>
      <c r="M317" s="7">
        <v>4</v>
      </c>
      <c r="N317" s="4">
        <v>27</v>
      </c>
      <c r="O317" s="7">
        <v>511</v>
      </c>
      <c r="P317" s="7">
        <v>12.775</v>
      </c>
      <c r="Q317" s="4">
        <v>32</v>
      </c>
      <c r="R317" s="7">
        <v>671</v>
      </c>
      <c r="S317" s="7">
        <v>16.774999999999999</v>
      </c>
    </row>
    <row r="318" spans="1:19" ht="13.5" thickBot="1" x14ac:dyDescent="0.25">
      <c r="A318" s="2" t="s">
        <v>158</v>
      </c>
      <c r="B318" s="1" t="s">
        <v>157</v>
      </c>
      <c r="C318" s="2" t="s">
        <v>45</v>
      </c>
      <c r="D318" s="4">
        <v>38002</v>
      </c>
      <c r="E318" s="4">
        <v>2</v>
      </c>
      <c r="F318" s="7">
        <v>66</v>
      </c>
      <c r="G318" s="7">
        <v>1.65</v>
      </c>
      <c r="H318" s="4">
        <v>10</v>
      </c>
      <c r="I318" s="7">
        <v>400</v>
      </c>
      <c r="J318" s="7">
        <v>10</v>
      </c>
      <c r="K318" s="4">
        <v>12</v>
      </c>
      <c r="L318" s="7">
        <v>495</v>
      </c>
      <c r="M318" s="7">
        <v>12.375</v>
      </c>
      <c r="N318" s="4">
        <v>11</v>
      </c>
      <c r="O318" s="7">
        <v>124</v>
      </c>
      <c r="P318" s="7">
        <v>3.1</v>
      </c>
      <c r="Q318" s="4">
        <v>23</v>
      </c>
      <c r="R318" s="7">
        <v>619</v>
      </c>
      <c r="S318" s="7">
        <v>15.475</v>
      </c>
    </row>
    <row r="319" spans="1:19" ht="13.5" thickBot="1" x14ac:dyDescent="0.25">
      <c r="A319" s="2" t="s">
        <v>178</v>
      </c>
      <c r="B319" s="1" t="s">
        <v>177</v>
      </c>
      <c r="C319" s="2" t="s">
        <v>45</v>
      </c>
      <c r="D319" s="4">
        <v>43381</v>
      </c>
      <c r="E319" s="4">
        <v>9</v>
      </c>
      <c r="F319" s="7">
        <v>202.68</v>
      </c>
      <c r="G319" s="7">
        <v>5.0670000000000002</v>
      </c>
      <c r="H319" s="4">
        <v>1</v>
      </c>
      <c r="I319" s="7">
        <v>2.2799999999999998</v>
      </c>
      <c r="J319" s="7">
        <v>5.7000000000000002E-2</v>
      </c>
      <c r="K319" s="4">
        <v>10</v>
      </c>
      <c r="L319" s="7">
        <v>204.96</v>
      </c>
      <c r="M319" s="7">
        <v>5.1239999999999997</v>
      </c>
      <c r="N319" s="4">
        <v>26</v>
      </c>
      <c r="O319" s="7">
        <v>324.39</v>
      </c>
      <c r="P319" s="7">
        <v>8.10975</v>
      </c>
      <c r="Q319" s="4">
        <v>36</v>
      </c>
      <c r="R319" s="7">
        <v>529.35</v>
      </c>
      <c r="S319" s="7">
        <v>13.233750000000001</v>
      </c>
    </row>
    <row r="320" spans="1:19" ht="13.5" thickBot="1" x14ac:dyDescent="0.25">
      <c r="A320" s="2" t="s">
        <v>182</v>
      </c>
      <c r="B320" s="1" t="s">
        <v>181</v>
      </c>
      <c r="C320" s="2" t="s">
        <v>45</v>
      </c>
      <c r="D320" s="4">
        <v>35563</v>
      </c>
      <c r="E320" s="4">
        <v>15</v>
      </c>
      <c r="F320" s="7">
        <v>392</v>
      </c>
      <c r="G320" s="7">
        <v>9.8000000000000007</v>
      </c>
      <c r="H320" s="4">
        <v>0</v>
      </c>
      <c r="I320" s="7">
        <v>0</v>
      </c>
      <c r="J320" s="7">
        <v>0</v>
      </c>
      <c r="K320" s="4">
        <v>15</v>
      </c>
      <c r="L320" s="7">
        <v>392</v>
      </c>
      <c r="M320" s="7">
        <v>9.8000000000000007</v>
      </c>
      <c r="N320" s="4">
        <v>30</v>
      </c>
      <c r="O320" s="7">
        <v>494</v>
      </c>
      <c r="P320" s="7">
        <v>12.35</v>
      </c>
      <c r="Q320" s="4">
        <v>45</v>
      </c>
      <c r="R320" s="7">
        <v>886</v>
      </c>
      <c r="S320" s="7">
        <v>22.15</v>
      </c>
    </row>
    <row r="321" spans="1:19" ht="13.5" thickBot="1" x14ac:dyDescent="0.25">
      <c r="A321" s="2" t="s">
        <v>196</v>
      </c>
      <c r="B321" s="1" t="s">
        <v>195</v>
      </c>
      <c r="C321" s="2" t="s">
        <v>45</v>
      </c>
      <c r="D321" s="4">
        <v>40186</v>
      </c>
      <c r="E321" s="4">
        <v>12</v>
      </c>
      <c r="F321" s="7">
        <v>431</v>
      </c>
      <c r="G321" s="7">
        <v>10.775</v>
      </c>
      <c r="H321" s="4">
        <v>0</v>
      </c>
      <c r="I321" s="7">
        <v>0</v>
      </c>
      <c r="J321" s="7">
        <v>0</v>
      </c>
      <c r="K321" s="4">
        <v>12</v>
      </c>
      <c r="L321" s="7">
        <v>431</v>
      </c>
      <c r="M321" s="7">
        <v>10.775</v>
      </c>
      <c r="N321" s="4">
        <v>17</v>
      </c>
      <c r="O321" s="7">
        <v>360</v>
      </c>
      <c r="P321" s="7">
        <v>9</v>
      </c>
      <c r="Q321" s="4">
        <v>30</v>
      </c>
      <c r="R321" s="7">
        <v>791</v>
      </c>
      <c r="S321" s="7">
        <v>19.774999999999999</v>
      </c>
    </row>
    <row r="322" spans="1:19" ht="13.5" thickBot="1" x14ac:dyDescent="0.25">
      <c r="A322" s="2" t="s">
        <v>198</v>
      </c>
      <c r="B322" s="1" t="s">
        <v>197</v>
      </c>
      <c r="C322" s="2" t="s">
        <v>45</v>
      </c>
      <c r="D322" s="4">
        <v>28263</v>
      </c>
      <c r="E322" s="4">
        <v>1</v>
      </c>
      <c r="F322" s="7">
        <v>40</v>
      </c>
      <c r="G322" s="7">
        <v>1</v>
      </c>
      <c r="H322" s="4">
        <v>7</v>
      </c>
      <c r="I322" s="7">
        <v>156</v>
      </c>
      <c r="J322" s="7">
        <v>3.9</v>
      </c>
      <c r="K322" s="4">
        <v>8</v>
      </c>
      <c r="L322" s="7">
        <v>222</v>
      </c>
      <c r="M322" s="7">
        <v>5.55</v>
      </c>
      <c r="N322" s="4">
        <v>4</v>
      </c>
      <c r="O322" s="7">
        <v>88</v>
      </c>
      <c r="P322" s="7">
        <v>2.2000000000000002</v>
      </c>
      <c r="Q322" s="4">
        <v>12</v>
      </c>
      <c r="R322" s="7">
        <v>310</v>
      </c>
      <c r="S322" s="7">
        <v>7.75</v>
      </c>
    </row>
    <row r="323" spans="1:19" ht="13.5" thickBot="1" x14ac:dyDescent="0.25">
      <c r="A323" s="2" t="s">
        <v>208</v>
      </c>
      <c r="B323" s="1" t="s">
        <v>207</v>
      </c>
      <c r="C323" s="2" t="s">
        <v>45</v>
      </c>
      <c r="D323" s="4">
        <v>26391</v>
      </c>
      <c r="E323" s="4">
        <v>10</v>
      </c>
      <c r="F323" s="7">
        <v>360</v>
      </c>
      <c r="G323" s="7">
        <v>9</v>
      </c>
      <c r="H323" s="4">
        <v>0</v>
      </c>
      <c r="I323" s="7">
        <v>0</v>
      </c>
      <c r="J323" s="7">
        <v>0</v>
      </c>
      <c r="K323" s="4">
        <v>10</v>
      </c>
      <c r="L323" s="7">
        <v>360</v>
      </c>
      <c r="M323" s="7">
        <v>9</v>
      </c>
      <c r="N323" s="4">
        <v>18</v>
      </c>
      <c r="O323" s="7">
        <v>380</v>
      </c>
      <c r="P323" s="7">
        <v>9.5</v>
      </c>
      <c r="Q323" s="4">
        <v>28</v>
      </c>
      <c r="R323" s="7">
        <v>740</v>
      </c>
      <c r="S323" s="7">
        <v>18.5</v>
      </c>
    </row>
    <row r="324" spans="1:19" ht="13.5" thickBot="1" x14ac:dyDescent="0.25">
      <c r="A324" s="2" t="s">
        <v>227</v>
      </c>
      <c r="B324" s="1" t="s">
        <v>226</v>
      </c>
      <c r="C324" s="2" t="s">
        <v>45</v>
      </c>
      <c r="D324" s="4">
        <v>32799</v>
      </c>
      <c r="E324" s="4">
        <v>4</v>
      </c>
      <c r="F324" s="7">
        <v>160</v>
      </c>
      <c r="G324" s="7">
        <v>4</v>
      </c>
      <c r="H324" s="4">
        <v>10</v>
      </c>
      <c r="I324" s="7">
        <v>236</v>
      </c>
      <c r="J324" s="7">
        <v>5.9</v>
      </c>
      <c r="K324" s="4">
        <v>14</v>
      </c>
      <c r="L324" s="7">
        <v>396</v>
      </c>
      <c r="M324" s="7">
        <v>9.9</v>
      </c>
      <c r="N324" s="4">
        <v>14</v>
      </c>
      <c r="O324" s="7">
        <v>234</v>
      </c>
      <c r="P324" s="7">
        <v>5.85</v>
      </c>
      <c r="Q324" s="4">
        <v>28</v>
      </c>
      <c r="R324" s="7">
        <v>630</v>
      </c>
      <c r="S324" s="7">
        <v>15.75</v>
      </c>
    </row>
    <row r="325" spans="1:19" ht="13.5" thickBot="1" x14ac:dyDescent="0.25">
      <c r="A325" s="2" t="s">
        <v>239</v>
      </c>
      <c r="B325" s="1" t="s">
        <v>238</v>
      </c>
      <c r="C325" s="2" t="s">
        <v>45</v>
      </c>
      <c r="D325" s="4">
        <v>26168</v>
      </c>
      <c r="E325" s="4">
        <v>1</v>
      </c>
      <c r="F325" s="7">
        <v>40</v>
      </c>
      <c r="G325" s="7">
        <v>1</v>
      </c>
      <c r="H325" s="4">
        <v>2</v>
      </c>
      <c r="I325" s="7">
        <v>75</v>
      </c>
      <c r="J325" s="7">
        <v>1.875</v>
      </c>
      <c r="K325" s="4">
        <v>3</v>
      </c>
      <c r="L325" s="7">
        <v>115</v>
      </c>
      <c r="M325" s="7">
        <v>2.875</v>
      </c>
      <c r="N325" s="4">
        <v>19</v>
      </c>
      <c r="O325" s="7">
        <v>420.5</v>
      </c>
      <c r="P325" s="7">
        <v>10.512499999999999</v>
      </c>
      <c r="Q325" s="4">
        <v>22</v>
      </c>
      <c r="R325" s="7">
        <v>535.5</v>
      </c>
      <c r="S325" s="7">
        <v>13.387499999999999</v>
      </c>
    </row>
    <row r="326" spans="1:19" ht="13.5" thickBot="1" x14ac:dyDescent="0.25">
      <c r="A326" s="2" t="s">
        <v>251</v>
      </c>
      <c r="B326" s="1" t="s">
        <v>250</v>
      </c>
      <c r="C326" s="2" t="s">
        <v>45</v>
      </c>
      <c r="D326" s="4">
        <v>48579</v>
      </c>
      <c r="E326" s="77">
        <v>7</v>
      </c>
      <c r="F326" s="7">
        <v>244</v>
      </c>
      <c r="G326" s="7">
        <v>6.1</v>
      </c>
      <c r="H326" s="4">
        <v>4</v>
      </c>
      <c r="I326" s="7">
        <v>105</v>
      </c>
      <c r="J326" s="7">
        <v>2.625</v>
      </c>
      <c r="K326" s="4">
        <v>11</v>
      </c>
      <c r="L326" s="7">
        <v>349</v>
      </c>
      <c r="M326" s="7">
        <v>8.7249999999999996</v>
      </c>
      <c r="N326" s="4">
        <v>18</v>
      </c>
      <c r="O326" s="7">
        <v>301</v>
      </c>
      <c r="P326" s="7">
        <v>7.5250000000000004</v>
      </c>
      <c r="Q326" s="4">
        <v>29</v>
      </c>
      <c r="R326" s="7">
        <v>650</v>
      </c>
      <c r="S326" s="7">
        <v>16.25</v>
      </c>
    </row>
    <row r="327" spans="1:19" ht="13.5" thickBot="1" x14ac:dyDescent="0.25">
      <c r="A327" s="2" t="s">
        <v>253</v>
      </c>
      <c r="B327" s="1" t="s">
        <v>252</v>
      </c>
      <c r="C327" s="2" t="s">
        <v>45</v>
      </c>
      <c r="D327" s="4">
        <v>32442</v>
      </c>
      <c r="E327" s="4">
        <v>7</v>
      </c>
      <c r="F327" s="7">
        <v>170</v>
      </c>
      <c r="G327" s="7">
        <v>4.25</v>
      </c>
      <c r="H327" s="4">
        <v>0</v>
      </c>
      <c r="I327" s="7">
        <v>0</v>
      </c>
      <c r="J327" s="7">
        <v>0</v>
      </c>
      <c r="K327" s="4">
        <v>7</v>
      </c>
      <c r="L327" s="7">
        <v>170</v>
      </c>
      <c r="M327" s="7">
        <v>4.25</v>
      </c>
      <c r="N327" s="4">
        <v>5</v>
      </c>
      <c r="O327" s="7">
        <v>144</v>
      </c>
      <c r="P327" s="7">
        <v>3.6</v>
      </c>
      <c r="Q327" s="4">
        <v>12</v>
      </c>
      <c r="R327" s="7">
        <v>314</v>
      </c>
      <c r="S327" s="7">
        <v>7.85</v>
      </c>
    </row>
    <row r="328" spans="1:19" ht="13.5" thickBot="1" x14ac:dyDescent="0.25">
      <c r="A328" s="2" t="s">
        <v>313</v>
      </c>
      <c r="B328" s="1" t="s">
        <v>312</v>
      </c>
      <c r="C328" s="2" t="s">
        <v>45</v>
      </c>
      <c r="D328" s="4">
        <v>27692</v>
      </c>
      <c r="E328" s="4">
        <v>2</v>
      </c>
      <c r="F328" s="7">
        <v>80</v>
      </c>
      <c r="G328" s="7">
        <v>2</v>
      </c>
      <c r="H328" s="4">
        <v>1</v>
      </c>
      <c r="I328" s="7">
        <v>29</v>
      </c>
      <c r="J328" s="7">
        <v>0.72499999999999998</v>
      </c>
      <c r="K328" s="4">
        <v>3</v>
      </c>
      <c r="L328" s="7">
        <v>109</v>
      </c>
      <c r="M328" s="7">
        <v>2.7250000000000001</v>
      </c>
      <c r="N328" s="4">
        <v>6</v>
      </c>
      <c r="O328" s="7">
        <v>134.5</v>
      </c>
      <c r="P328" s="7">
        <v>3.3624999999999998</v>
      </c>
      <c r="Q328" s="4">
        <v>9</v>
      </c>
      <c r="R328" s="7">
        <v>243.5</v>
      </c>
      <c r="S328" s="7">
        <v>6.0875000000000004</v>
      </c>
    </row>
    <row r="329" spans="1:19" ht="13.5" thickBot="1" x14ac:dyDescent="0.25">
      <c r="A329" s="2" t="s">
        <v>321</v>
      </c>
      <c r="B329" s="1" t="s">
        <v>320</v>
      </c>
      <c r="C329" s="2" t="s">
        <v>45</v>
      </c>
      <c r="D329" s="4">
        <v>46985</v>
      </c>
      <c r="E329" s="4">
        <v>3</v>
      </c>
      <c r="F329" s="7">
        <v>100</v>
      </c>
      <c r="G329" s="7">
        <v>2.5</v>
      </c>
      <c r="H329" s="4">
        <v>0</v>
      </c>
      <c r="I329" s="7">
        <v>0</v>
      </c>
      <c r="J329" s="7">
        <v>0</v>
      </c>
      <c r="K329" s="4">
        <v>3</v>
      </c>
      <c r="L329" s="7">
        <v>100</v>
      </c>
      <c r="M329" s="7">
        <v>2.5</v>
      </c>
      <c r="N329" s="4">
        <v>18</v>
      </c>
      <c r="O329" s="7">
        <v>501</v>
      </c>
      <c r="P329" s="7">
        <v>12.525</v>
      </c>
      <c r="Q329" s="4">
        <v>21</v>
      </c>
      <c r="R329" s="7">
        <v>601</v>
      </c>
      <c r="S329" s="7">
        <v>15.025</v>
      </c>
    </row>
    <row r="330" spans="1:19" ht="13.5" thickBot="1" x14ac:dyDescent="0.25">
      <c r="A330" s="2" t="s">
        <v>341</v>
      </c>
      <c r="B330" s="1" t="s">
        <v>340</v>
      </c>
      <c r="C330" s="2" t="s">
        <v>45</v>
      </c>
      <c r="D330" s="4">
        <v>40898</v>
      </c>
      <c r="E330" s="4">
        <v>5</v>
      </c>
      <c r="F330" s="7">
        <v>198</v>
      </c>
      <c r="G330" s="7">
        <v>4.95</v>
      </c>
      <c r="H330" s="4">
        <v>1</v>
      </c>
      <c r="I330" s="7">
        <v>5.5</v>
      </c>
      <c r="J330" s="7">
        <v>0.13750000000000001</v>
      </c>
      <c r="K330" s="4">
        <v>6</v>
      </c>
      <c r="L330" s="7">
        <v>203.5</v>
      </c>
      <c r="M330" s="7">
        <v>5.0875000000000004</v>
      </c>
      <c r="N330" s="4">
        <v>22</v>
      </c>
      <c r="O330" s="7">
        <v>549.5</v>
      </c>
      <c r="P330" s="7">
        <v>13.737500000000001</v>
      </c>
      <c r="Q330" s="4">
        <v>28</v>
      </c>
      <c r="R330" s="7">
        <v>753</v>
      </c>
      <c r="S330" s="7">
        <v>18.824999999999999</v>
      </c>
    </row>
    <row r="331" spans="1:19" ht="13.5" thickBot="1" x14ac:dyDescent="0.25">
      <c r="A331" s="2" t="s">
        <v>401</v>
      </c>
      <c r="B331" s="1" t="s">
        <v>400</v>
      </c>
      <c r="C331" s="2" t="s">
        <v>45</v>
      </c>
      <c r="D331" s="4">
        <v>41786</v>
      </c>
      <c r="E331" s="4">
        <v>2</v>
      </c>
      <c r="F331" s="7">
        <v>80</v>
      </c>
      <c r="G331" s="7">
        <v>2</v>
      </c>
      <c r="H331" s="4">
        <v>1</v>
      </c>
      <c r="I331" s="7">
        <v>40</v>
      </c>
      <c r="J331" s="7">
        <v>1</v>
      </c>
      <c r="K331" s="4">
        <v>3</v>
      </c>
      <c r="L331" s="7">
        <v>120</v>
      </c>
      <c r="M331" s="7">
        <v>3</v>
      </c>
      <c r="N331" s="4">
        <v>6</v>
      </c>
      <c r="O331" s="7">
        <v>200</v>
      </c>
      <c r="P331" s="7">
        <v>5</v>
      </c>
      <c r="Q331" s="4">
        <v>9</v>
      </c>
      <c r="R331" s="7">
        <v>320</v>
      </c>
      <c r="S331" s="7">
        <v>8</v>
      </c>
    </row>
    <row r="332" spans="1:19" ht="13.5" thickBot="1" x14ac:dyDescent="0.25">
      <c r="A332" s="2" t="s">
        <v>445</v>
      </c>
      <c r="B332" s="1" t="s">
        <v>444</v>
      </c>
      <c r="C332" s="2" t="s">
        <v>45</v>
      </c>
      <c r="D332" s="4">
        <v>40771</v>
      </c>
      <c r="E332" s="4">
        <v>3</v>
      </c>
      <c r="F332" s="7">
        <v>102</v>
      </c>
      <c r="G332" s="7">
        <v>2.5499999999999998</v>
      </c>
      <c r="H332" s="4">
        <v>15</v>
      </c>
      <c r="I332" s="7">
        <v>312</v>
      </c>
      <c r="J332" s="7">
        <v>7.8</v>
      </c>
      <c r="K332" s="4">
        <v>17</v>
      </c>
      <c r="L332" s="7">
        <v>414</v>
      </c>
      <c r="M332" s="7">
        <v>10.35</v>
      </c>
      <c r="N332" s="4">
        <v>4</v>
      </c>
      <c r="O332" s="7">
        <v>61</v>
      </c>
      <c r="P332" s="7">
        <v>1.5249999999999999</v>
      </c>
      <c r="Q332" s="4">
        <v>21</v>
      </c>
      <c r="R332" s="7">
        <v>475</v>
      </c>
      <c r="S332" s="7">
        <v>11.875</v>
      </c>
    </row>
    <row r="333" spans="1:19" ht="13.5" thickBot="1" x14ac:dyDescent="0.25">
      <c r="A333" s="2" t="s">
        <v>451</v>
      </c>
      <c r="B333" s="1" t="s">
        <v>450</v>
      </c>
      <c r="C333" s="2" t="s">
        <v>45</v>
      </c>
      <c r="D333" s="4">
        <v>38144</v>
      </c>
      <c r="E333" s="4">
        <v>2</v>
      </c>
      <c r="F333" s="7">
        <v>80</v>
      </c>
      <c r="G333" s="7">
        <v>2</v>
      </c>
      <c r="H333" s="4">
        <v>0</v>
      </c>
      <c r="I333" s="7">
        <v>0</v>
      </c>
      <c r="J333" s="7">
        <v>0</v>
      </c>
      <c r="K333" s="4">
        <v>2</v>
      </c>
      <c r="L333" s="7">
        <v>80</v>
      </c>
      <c r="M333" s="7">
        <v>2</v>
      </c>
      <c r="N333" s="4">
        <v>4</v>
      </c>
      <c r="O333" s="7">
        <v>100</v>
      </c>
      <c r="P333" s="7">
        <v>2.5</v>
      </c>
      <c r="Q333" s="4">
        <v>6</v>
      </c>
      <c r="R333" s="7">
        <v>180</v>
      </c>
      <c r="S333" s="7">
        <v>4.5</v>
      </c>
    </row>
    <row r="334" spans="1:19" ht="13.5" thickBot="1" x14ac:dyDescent="0.25">
      <c r="A334" s="2" t="s">
        <v>463</v>
      </c>
      <c r="B334" s="1" t="s">
        <v>462</v>
      </c>
      <c r="C334" s="2" t="s">
        <v>45</v>
      </c>
      <c r="D334" s="4">
        <v>35540</v>
      </c>
      <c r="E334" s="4">
        <v>5</v>
      </c>
      <c r="F334" s="7">
        <v>192</v>
      </c>
      <c r="G334" s="7">
        <v>4.8</v>
      </c>
      <c r="H334" s="4">
        <v>0</v>
      </c>
      <c r="I334" s="7">
        <v>0</v>
      </c>
      <c r="J334" s="7">
        <v>0</v>
      </c>
      <c r="K334" s="4">
        <v>5</v>
      </c>
      <c r="L334" s="7">
        <v>192</v>
      </c>
      <c r="M334" s="7">
        <v>4.8</v>
      </c>
      <c r="N334" s="4">
        <v>24</v>
      </c>
      <c r="O334" s="7">
        <v>695</v>
      </c>
      <c r="P334" s="7">
        <v>17.375</v>
      </c>
      <c r="Q334" s="4">
        <v>29</v>
      </c>
      <c r="R334" s="7">
        <v>887</v>
      </c>
      <c r="S334" s="7">
        <v>22.175000000000001</v>
      </c>
    </row>
    <row r="335" spans="1:19" ht="13.5" thickBot="1" x14ac:dyDescent="0.25">
      <c r="A335" s="2" t="s">
        <v>480</v>
      </c>
      <c r="B335" s="1" t="s">
        <v>479</v>
      </c>
      <c r="C335" s="2" t="s">
        <v>45</v>
      </c>
      <c r="D335" s="4">
        <v>29694</v>
      </c>
      <c r="E335" s="4">
        <v>4</v>
      </c>
      <c r="F335" s="7">
        <v>115</v>
      </c>
      <c r="G335" s="7">
        <v>2.875</v>
      </c>
      <c r="H335" s="4">
        <v>1</v>
      </c>
      <c r="I335" s="7">
        <v>20</v>
      </c>
      <c r="J335" s="7">
        <v>0.5</v>
      </c>
      <c r="K335" s="4">
        <v>5</v>
      </c>
      <c r="L335" s="7">
        <v>135</v>
      </c>
      <c r="M335" s="7">
        <v>3.375</v>
      </c>
      <c r="N335" s="4">
        <v>8</v>
      </c>
      <c r="O335" s="7">
        <v>150</v>
      </c>
      <c r="P335" s="7">
        <v>3.75</v>
      </c>
      <c r="Q335" s="4">
        <v>13</v>
      </c>
      <c r="R335" s="7">
        <v>285</v>
      </c>
      <c r="S335" s="7">
        <v>7.125</v>
      </c>
    </row>
    <row r="336" spans="1:19" ht="13.5" thickBot="1" x14ac:dyDescent="0.25">
      <c r="A336" s="2" t="s">
        <v>500</v>
      </c>
      <c r="B336" s="1" t="s">
        <v>499</v>
      </c>
      <c r="C336" s="2" t="s">
        <v>45</v>
      </c>
      <c r="D336" s="4">
        <v>28646</v>
      </c>
      <c r="E336" s="4">
        <v>1</v>
      </c>
      <c r="F336" s="7">
        <v>40</v>
      </c>
      <c r="G336" s="7">
        <v>1</v>
      </c>
      <c r="H336" s="4">
        <v>2</v>
      </c>
      <c r="I336" s="7">
        <v>75</v>
      </c>
      <c r="J336" s="7">
        <v>1.875</v>
      </c>
      <c r="K336" s="4">
        <v>3</v>
      </c>
      <c r="L336" s="7">
        <v>115</v>
      </c>
      <c r="M336" s="7">
        <v>2.875</v>
      </c>
      <c r="N336" s="4">
        <v>34</v>
      </c>
      <c r="O336" s="7">
        <v>537</v>
      </c>
      <c r="P336" s="7">
        <v>13.425000000000001</v>
      </c>
      <c r="Q336" s="4">
        <v>38</v>
      </c>
      <c r="R336" s="7">
        <v>652</v>
      </c>
      <c r="S336" s="7">
        <v>16.3</v>
      </c>
    </row>
    <row r="337" spans="1:19" ht="13.5" thickBot="1" x14ac:dyDescent="0.25">
      <c r="A337" s="2" t="s">
        <v>556</v>
      </c>
      <c r="B337" s="1" t="s">
        <v>555</v>
      </c>
      <c r="C337" s="2" t="s">
        <v>45</v>
      </c>
      <c r="D337" s="4">
        <v>34467</v>
      </c>
      <c r="E337" s="4">
        <v>14</v>
      </c>
      <c r="F337" s="7">
        <v>480</v>
      </c>
      <c r="G337" s="7">
        <v>12</v>
      </c>
      <c r="H337" s="4">
        <v>0</v>
      </c>
      <c r="I337" s="7">
        <v>0</v>
      </c>
      <c r="J337" s="7">
        <v>0</v>
      </c>
      <c r="K337" s="4">
        <v>14</v>
      </c>
      <c r="L337" s="7">
        <v>480</v>
      </c>
      <c r="M337" s="7">
        <v>12</v>
      </c>
      <c r="N337" s="4">
        <v>38</v>
      </c>
      <c r="O337" s="7">
        <v>650</v>
      </c>
      <c r="P337" s="7">
        <v>16.25</v>
      </c>
      <c r="Q337" s="4">
        <v>51</v>
      </c>
      <c r="R337" s="7">
        <v>1130</v>
      </c>
      <c r="S337" s="7">
        <v>28.25</v>
      </c>
    </row>
    <row r="338" spans="1:19" ht="13.5" thickBot="1" x14ac:dyDescent="0.25">
      <c r="A338" s="2" t="s">
        <v>562</v>
      </c>
      <c r="B338" s="1" t="s">
        <v>561</v>
      </c>
      <c r="C338" s="2" t="s">
        <v>45</v>
      </c>
      <c r="D338" s="4">
        <v>29319</v>
      </c>
      <c r="E338" s="4">
        <v>6</v>
      </c>
      <c r="F338" s="7">
        <v>158</v>
      </c>
      <c r="G338" s="7">
        <v>3.95</v>
      </c>
      <c r="H338" s="77">
        <v>0</v>
      </c>
      <c r="I338" s="7">
        <v>0</v>
      </c>
      <c r="J338" s="7">
        <v>0</v>
      </c>
      <c r="K338" s="4">
        <v>6</v>
      </c>
      <c r="L338" s="7">
        <v>158</v>
      </c>
      <c r="M338" s="7">
        <v>3.95</v>
      </c>
      <c r="N338" s="4">
        <v>12</v>
      </c>
      <c r="O338" s="7">
        <v>185</v>
      </c>
      <c r="P338" s="7">
        <v>4.625</v>
      </c>
      <c r="Q338" s="4">
        <v>18</v>
      </c>
      <c r="R338" s="7">
        <v>343</v>
      </c>
      <c r="S338" s="7">
        <v>8.5749999999999993</v>
      </c>
    </row>
    <row r="339" spans="1:19" ht="13.5" thickBot="1" x14ac:dyDescent="0.25">
      <c r="A339" s="2" t="s">
        <v>568</v>
      </c>
      <c r="B339" s="1" t="s">
        <v>567</v>
      </c>
      <c r="C339" s="2" t="s">
        <v>45</v>
      </c>
      <c r="D339" s="4">
        <v>35394</v>
      </c>
      <c r="E339" s="4">
        <v>15</v>
      </c>
      <c r="F339" s="7">
        <v>382.5</v>
      </c>
      <c r="G339" s="7">
        <v>9.5625</v>
      </c>
      <c r="H339" s="4">
        <v>1</v>
      </c>
      <c r="I339" s="7">
        <v>28</v>
      </c>
      <c r="J339" s="7">
        <v>0.7</v>
      </c>
      <c r="K339" s="4">
        <v>16</v>
      </c>
      <c r="L339" s="7">
        <v>410.5</v>
      </c>
      <c r="M339" s="7">
        <v>10.262499999999999</v>
      </c>
      <c r="N339" s="4">
        <v>29</v>
      </c>
      <c r="O339" s="7">
        <v>690</v>
      </c>
      <c r="P339" s="7">
        <v>17.25</v>
      </c>
      <c r="Q339" s="4">
        <v>45</v>
      </c>
      <c r="R339" s="7">
        <v>1100.5</v>
      </c>
      <c r="S339" s="7">
        <v>27.512499999999999</v>
      </c>
    </row>
    <row r="340" spans="1:19" ht="13.5" thickBot="1" x14ac:dyDescent="0.25">
      <c r="A340" s="2" t="s">
        <v>598</v>
      </c>
      <c r="B340" s="1" t="s">
        <v>597</v>
      </c>
      <c r="C340" s="2" t="s">
        <v>45</v>
      </c>
      <c r="D340" s="4">
        <v>36441</v>
      </c>
      <c r="E340" s="4">
        <v>5</v>
      </c>
      <c r="F340" s="7">
        <v>177</v>
      </c>
      <c r="G340" s="7">
        <v>4.4249999999999998</v>
      </c>
      <c r="H340" s="4">
        <v>20</v>
      </c>
      <c r="I340" s="7">
        <v>527</v>
      </c>
      <c r="J340" s="7">
        <v>13.175000000000001</v>
      </c>
      <c r="K340" s="4">
        <v>25</v>
      </c>
      <c r="L340" s="7">
        <v>704</v>
      </c>
      <c r="M340" s="7">
        <v>17.600000000000001</v>
      </c>
      <c r="N340" s="4">
        <v>13</v>
      </c>
      <c r="O340" s="7">
        <v>299</v>
      </c>
      <c r="P340" s="7">
        <v>7.4749999999999996</v>
      </c>
      <c r="Q340" s="4">
        <v>38</v>
      </c>
      <c r="R340" s="7">
        <v>1003</v>
      </c>
      <c r="S340" s="7">
        <v>25.074999999999999</v>
      </c>
    </row>
    <row r="341" spans="1:19" ht="13.5" thickBot="1" x14ac:dyDescent="0.25">
      <c r="A341" s="2" t="s">
        <v>608</v>
      </c>
      <c r="B341" s="1" t="s">
        <v>607</v>
      </c>
      <c r="C341" s="2" t="s">
        <v>45</v>
      </c>
      <c r="D341" s="4">
        <v>36656</v>
      </c>
      <c r="E341" s="4">
        <v>16</v>
      </c>
      <c r="F341" s="7">
        <v>531</v>
      </c>
      <c r="G341" s="7">
        <v>13.275</v>
      </c>
      <c r="H341" s="4">
        <v>0</v>
      </c>
      <c r="I341" s="7">
        <v>0</v>
      </c>
      <c r="J341" s="7">
        <v>0</v>
      </c>
      <c r="K341" s="4">
        <v>16</v>
      </c>
      <c r="L341" s="7">
        <v>531</v>
      </c>
      <c r="M341" s="7">
        <v>13.275</v>
      </c>
      <c r="N341" s="4">
        <v>46</v>
      </c>
      <c r="O341" s="7">
        <v>1211</v>
      </c>
      <c r="P341" s="7">
        <v>30.274999999999999</v>
      </c>
      <c r="Q341" s="4">
        <v>61</v>
      </c>
      <c r="R341" s="7">
        <v>1742</v>
      </c>
      <c r="S341" s="7">
        <v>43.55</v>
      </c>
    </row>
    <row r="342" spans="1:19" ht="13.5" thickBot="1" x14ac:dyDescent="0.25">
      <c r="A342" s="2" t="s">
        <v>636</v>
      </c>
      <c r="B342" s="1" t="s">
        <v>635</v>
      </c>
      <c r="C342" s="2" t="s">
        <v>45</v>
      </c>
      <c r="D342" s="4">
        <v>48362</v>
      </c>
      <c r="E342" s="4">
        <v>10</v>
      </c>
      <c r="F342" s="7">
        <v>299</v>
      </c>
      <c r="G342" s="7">
        <v>7.4749999999999996</v>
      </c>
      <c r="H342" s="4">
        <v>4</v>
      </c>
      <c r="I342" s="7">
        <v>81</v>
      </c>
      <c r="J342" s="7">
        <v>2.0249999999999999</v>
      </c>
      <c r="K342" s="4">
        <v>14</v>
      </c>
      <c r="L342" s="7">
        <v>380</v>
      </c>
      <c r="M342" s="7">
        <v>9.5</v>
      </c>
      <c r="N342" s="4">
        <v>24</v>
      </c>
      <c r="O342" s="7">
        <v>478</v>
      </c>
      <c r="P342" s="7">
        <v>11.95</v>
      </c>
      <c r="Q342" s="4">
        <v>38</v>
      </c>
      <c r="R342" s="7">
        <v>858</v>
      </c>
      <c r="S342" s="7">
        <v>21.45</v>
      </c>
    </row>
    <row r="343" spans="1:19" ht="13.5" thickBot="1" x14ac:dyDescent="0.25">
      <c r="A343" s="2" t="s">
        <v>662</v>
      </c>
      <c r="B343" s="1" t="s">
        <v>661</v>
      </c>
      <c r="C343" s="2" t="s">
        <v>45</v>
      </c>
      <c r="D343" s="4">
        <v>33839</v>
      </c>
      <c r="E343" s="4">
        <v>9</v>
      </c>
      <c r="F343" s="7">
        <v>360</v>
      </c>
      <c r="G343" s="7">
        <v>9</v>
      </c>
      <c r="H343" s="4">
        <v>0</v>
      </c>
      <c r="I343" s="7">
        <v>0</v>
      </c>
      <c r="J343" s="7">
        <v>0</v>
      </c>
      <c r="K343" s="4">
        <v>9</v>
      </c>
      <c r="L343" s="7">
        <v>360</v>
      </c>
      <c r="M343" s="7">
        <v>9</v>
      </c>
      <c r="N343" s="4">
        <v>20</v>
      </c>
      <c r="O343" s="7">
        <v>362</v>
      </c>
      <c r="P343" s="7">
        <v>9.0500000000000007</v>
      </c>
      <c r="Q343" s="4">
        <v>29</v>
      </c>
      <c r="R343" s="7">
        <v>722</v>
      </c>
      <c r="S343" s="7">
        <v>18.05</v>
      </c>
    </row>
    <row r="344" spans="1:19" ht="13.5" thickBot="1" x14ac:dyDescent="0.25">
      <c r="A344" s="2" t="s">
        <v>664</v>
      </c>
      <c r="B344" s="1" t="s">
        <v>663</v>
      </c>
      <c r="C344" s="2" t="s">
        <v>45</v>
      </c>
      <c r="D344" s="4">
        <v>39868</v>
      </c>
      <c r="E344" s="4">
        <v>3</v>
      </c>
      <c r="F344" s="7">
        <v>109</v>
      </c>
      <c r="G344" s="7">
        <v>2.7250000000000001</v>
      </c>
      <c r="H344" s="4">
        <v>0</v>
      </c>
      <c r="I344" s="7">
        <v>0</v>
      </c>
      <c r="J344" s="7">
        <v>0</v>
      </c>
      <c r="K344" s="4">
        <v>3</v>
      </c>
      <c r="L344" s="7">
        <v>109</v>
      </c>
      <c r="M344" s="7">
        <v>2.7250000000000001</v>
      </c>
      <c r="N344" s="4">
        <v>7</v>
      </c>
      <c r="O344" s="7">
        <v>163</v>
      </c>
      <c r="P344" s="7">
        <v>4.0750000000000002</v>
      </c>
      <c r="Q344" s="4">
        <v>10</v>
      </c>
      <c r="R344" s="7">
        <v>272</v>
      </c>
      <c r="S344" s="7">
        <v>6.8</v>
      </c>
    </row>
    <row r="345" spans="1:19" ht="13.5" thickBot="1" x14ac:dyDescent="0.25">
      <c r="A345" s="2" t="s">
        <v>668</v>
      </c>
      <c r="B345" s="1" t="s">
        <v>667</v>
      </c>
      <c r="C345" s="2" t="s">
        <v>45</v>
      </c>
      <c r="D345" s="4">
        <v>47299</v>
      </c>
      <c r="E345" s="4">
        <v>10</v>
      </c>
      <c r="F345" s="7">
        <v>321</v>
      </c>
      <c r="G345" s="7">
        <v>8.0250000000000004</v>
      </c>
      <c r="H345" s="4">
        <v>0</v>
      </c>
      <c r="I345" s="7">
        <v>0</v>
      </c>
      <c r="J345" s="7">
        <v>0</v>
      </c>
      <c r="K345" s="4">
        <v>10</v>
      </c>
      <c r="L345" s="7">
        <v>321</v>
      </c>
      <c r="M345" s="7">
        <v>8.0250000000000004</v>
      </c>
      <c r="N345" s="4">
        <v>12</v>
      </c>
      <c r="O345" s="7">
        <v>250.5</v>
      </c>
      <c r="P345" s="7">
        <v>6.2625000000000002</v>
      </c>
      <c r="Q345" s="4">
        <v>22</v>
      </c>
      <c r="R345" s="7">
        <v>571.5</v>
      </c>
      <c r="S345" s="7">
        <v>14.2875</v>
      </c>
    </row>
    <row r="346" spans="1:19" ht="13.5" thickBot="1" x14ac:dyDescent="0.25">
      <c r="A346" s="2" t="s">
        <v>688</v>
      </c>
      <c r="B346" s="1" t="s">
        <v>687</v>
      </c>
      <c r="C346" s="2" t="s">
        <v>45</v>
      </c>
      <c r="D346" s="4">
        <v>26376</v>
      </c>
      <c r="E346" s="4">
        <v>10</v>
      </c>
      <c r="F346" s="7">
        <v>290</v>
      </c>
      <c r="G346" s="7">
        <v>7.25</v>
      </c>
      <c r="H346" s="4">
        <v>0</v>
      </c>
      <c r="I346" s="7">
        <v>0</v>
      </c>
      <c r="J346" s="7">
        <v>0</v>
      </c>
      <c r="K346" s="4">
        <v>10</v>
      </c>
      <c r="L346" s="7">
        <v>290</v>
      </c>
      <c r="M346" s="7">
        <v>7.25</v>
      </c>
      <c r="N346" s="4">
        <v>32</v>
      </c>
      <c r="O346" s="7">
        <v>550</v>
      </c>
      <c r="P346" s="7">
        <v>13.75</v>
      </c>
      <c r="Q346" s="4">
        <v>42</v>
      </c>
      <c r="R346" s="7">
        <v>840</v>
      </c>
      <c r="S346" s="7">
        <v>21</v>
      </c>
    </row>
    <row r="347" spans="1:19" ht="13.5" thickBot="1" x14ac:dyDescent="0.25">
      <c r="A347" s="2" t="s">
        <v>712</v>
      </c>
      <c r="B347" s="1" t="s">
        <v>711</v>
      </c>
      <c r="C347" s="2" t="s">
        <v>45</v>
      </c>
      <c r="D347" s="4">
        <v>27920</v>
      </c>
      <c r="E347" s="4">
        <v>2</v>
      </c>
      <c r="F347" s="7">
        <v>79</v>
      </c>
      <c r="G347" s="7">
        <v>1.9750000000000001</v>
      </c>
      <c r="H347" s="4">
        <v>4</v>
      </c>
      <c r="I347" s="7">
        <v>150</v>
      </c>
      <c r="J347" s="7">
        <v>3.75</v>
      </c>
      <c r="K347" s="4">
        <v>2</v>
      </c>
      <c r="L347" s="7">
        <v>229</v>
      </c>
      <c r="M347" s="7">
        <v>5.7249999999999996</v>
      </c>
      <c r="N347" s="4">
        <v>17</v>
      </c>
      <c r="O347" s="7">
        <v>456</v>
      </c>
      <c r="P347" s="7">
        <v>11.4</v>
      </c>
      <c r="Q347" s="4">
        <v>23</v>
      </c>
      <c r="R347" s="7">
        <v>685</v>
      </c>
      <c r="S347" s="7">
        <v>17.125</v>
      </c>
    </row>
    <row r="348" spans="1:19" ht="13.5" thickBot="1" x14ac:dyDescent="0.25">
      <c r="A348" s="2" t="s">
        <v>722</v>
      </c>
      <c r="B348" s="1" t="s">
        <v>721</v>
      </c>
      <c r="C348" s="2" t="s">
        <v>45</v>
      </c>
      <c r="D348" s="4">
        <v>30047</v>
      </c>
      <c r="E348" s="4">
        <v>3</v>
      </c>
      <c r="F348" s="7">
        <v>120</v>
      </c>
      <c r="G348" s="7">
        <v>3</v>
      </c>
      <c r="H348" s="4">
        <v>0</v>
      </c>
      <c r="I348" s="7">
        <v>0</v>
      </c>
      <c r="J348" s="7">
        <v>0</v>
      </c>
      <c r="K348" s="4">
        <v>3</v>
      </c>
      <c r="L348" s="7">
        <v>120</v>
      </c>
      <c r="M348" s="7">
        <v>3</v>
      </c>
      <c r="N348" s="4">
        <v>7</v>
      </c>
      <c r="O348" s="7">
        <v>144</v>
      </c>
      <c r="P348" s="7">
        <v>3.6</v>
      </c>
      <c r="Q348" s="4">
        <v>10</v>
      </c>
      <c r="R348" s="7">
        <v>264</v>
      </c>
      <c r="S348" s="7">
        <v>6.6</v>
      </c>
    </row>
    <row r="349" spans="1:19" ht="13.5" thickBot="1" x14ac:dyDescent="0.25">
      <c r="A349" s="2" t="s">
        <v>740</v>
      </c>
      <c r="B349" s="1" t="s">
        <v>739</v>
      </c>
      <c r="C349" s="2" t="s">
        <v>45</v>
      </c>
      <c r="D349" s="4">
        <v>40841</v>
      </c>
      <c r="E349" s="4">
        <v>2</v>
      </c>
      <c r="F349" s="7">
        <v>78</v>
      </c>
      <c r="G349" s="7">
        <v>1.95</v>
      </c>
      <c r="H349" s="4">
        <v>17</v>
      </c>
      <c r="I349" s="7">
        <v>270</v>
      </c>
      <c r="J349" s="7">
        <v>6.75</v>
      </c>
      <c r="K349" s="4">
        <v>19</v>
      </c>
      <c r="L349" s="7">
        <v>348</v>
      </c>
      <c r="M349" s="7">
        <v>8.6999999999999993</v>
      </c>
      <c r="N349" s="4">
        <v>21</v>
      </c>
      <c r="O349" s="7">
        <v>225</v>
      </c>
      <c r="P349" s="7">
        <v>5.625</v>
      </c>
      <c r="Q349" s="4">
        <v>40</v>
      </c>
      <c r="R349" s="7">
        <v>573</v>
      </c>
      <c r="S349" s="7">
        <v>14.324999999999999</v>
      </c>
    </row>
    <row r="350" spans="1:19" ht="13.5" thickBot="1" x14ac:dyDescent="0.25">
      <c r="A350" s="2" t="s">
        <v>785</v>
      </c>
      <c r="B350" s="1" t="s">
        <v>784</v>
      </c>
      <c r="C350" s="2" t="s">
        <v>45</v>
      </c>
      <c r="D350" s="4">
        <v>44265</v>
      </c>
      <c r="E350" s="4">
        <v>4</v>
      </c>
      <c r="F350" s="7">
        <v>137</v>
      </c>
      <c r="G350" s="7">
        <v>3.4249999999999998</v>
      </c>
      <c r="H350" s="4">
        <v>9</v>
      </c>
      <c r="I350" s="7">
        <v>263</v>
      </c>
      <c r="J350" s="7">
        <v>6.5750000000000002</v>
      </c>
      <c r="K350" s="4">
        <v>13</v>
      </c>
      <c r="L350" s="7">
        <v>400</v>
      </c>
      <c r="M350" s="7">
        <v>10</v>
      </c>
      <c r="N350" s="4">
        <v>36</v>
      </c>
      <c r="O350" s="7">
        <v>692</v>
      </c>
      <c r="P350" s="7">
        <v>17.3</v>
      </c>
      <c r="Q350" s="4">
        <v>49</v>
      </c>
      <c r="R350" s="7">
        <v>1092</v>
      </c>
      <c r="S350" s="7">
        <v>27.3</v>
      </c>
    </row>
    <row r="351" spans="1:19" ht="13.5" thickBot="1" x14ac:dyDescent="0.25">
      <c r="A351" s="2" t="s">
        <v>827</v>
      </c>
      <c r="B351" s="1" t="s">
        <v>826</v>
      </c>
      <c r="C351" s="2" t="s">
        <v>45</v>
      </c>
      <c r="D351" s="4">
        <v>30019</v>
      </c>
      <c r="E351" s="4">
        <v>8</v>
      </c>
      <c r="F351" s="7">
        <v>264</v>
      </c>
      <c r="G351" s="7">
        <v>6.6</v>
      </c>
      <c r="H351" s="4">
        <v>2</v>
      </c>
      <c r="I351" s="7">
        <v>80</v>
      </c>
      <c r="J351" s="7">
        <v>2</v>
      </c>
      <c r="K351" s="4">
        <v>10</v>
      </c>
      <c r="L351" s="7">
        <v>333</v>
      </c>
      <c r="M351" s="7">
        <v>8.3249999999999993</v>
      </c>
      <c r="N351" s="4">
        <v>25</v>
      </c>
      <c r="O351" s="7">
        <v>230</v>
      </c>
      <c r="P351" s="7">
        <v>5.75</v>
      </c>
      <c r="Q351" s="4">
        <v>33</v>
      </c>
      <c r="R351" s="7">
        <v>563</v>
      </c>
      <c r="S351" s="7">
        <v>14.074999999999999</v>
      </c>
    </row>
    <row r="352" spans="1:19" ht="13.5" thickBot="1" x14ac:dyDescent="0.25">
      <c r="A352" s="2" t="s">
        <v>59</v>
      </c>
      <c r="B352" s="1" t="s">
        <v>58</v>
      </c>
      <c r="C352" s="2" t="s">
        <v>60</v>
      </c>
      <c r="D352" s="4">
        <v>163590</v>
      </c>
      <c r="E352" s="4">
        <v>18</v>
      </c>
      <c r="F352" s="7">
        <v>720</v>
      </c>
      <c r="G352" s="7">
        <v>18</v>
      </c>
      <c r="H352" s="4">
        <v>0</v>
      </c>
      <c r="I352" s="7">
        <v>0</v>
      </c>
      <c r="J352" s="7">
        <v>0</v>
      </c>
      <c r="K352" s="4">
        <v>18</v>
      </c>
      <c r="L352" s="7">
        <v>720</v>
      </c>
      <c r="M352" s="7">
        <v>18</v>
      </c>
      <c r="N352" s="4">
        <v>219</v>
      </c>
      <c r="O352" s="7">
        <v>6240</v>
      </c>
      <c r="P352" s="7">
        <v>156</v>
      </c>
      <c r="Q352" s="4">
        <v>237</v>
      </c>
      <c r="R352" s="7">
        <v>6960</v>
      </c>
      <c r="S352" s="7">
        <v>174</v>
      </c>
    </row>
    <row r="353" spans="1:19" ht="13.5" thickBot="1" x14ac:dyDescent="0.25">
      <c r="A353" s="2" t="s">
        <v>86</v>
      </c>
      <c r="B353" s="1" t="s">
        <v>85</v>
      </c>
      <c r="C353" s="2" t="s">
        <v>60</v>
      </c>
      <c r="D353" s="4">
        <v>107681</v>
      </c>
      <c r="E353" s="4">
        <v>11</v>
      </c>
      <c r="F353" s="7">
        <v>440</v>
      </c>
      <c r="G353" s="7">
        <v>11</v>
      </c>
      <c r="H353" s="4">
        <v>3</v>
      </c>
      <c r="I353" s="7">
        <v>3</v>
      </c>
      <c r="J353" s="7">
        <v>7.4999999999999997E-2</v>
      </c>
      <c r="K353" s="4">
        <v>14</v>
      </c>
      <c r="L353" s="7">
        <v>443</v>
      </c>
      <c r="M353" s="7">
        <v>11.074999999999999</v>
      </c>
      <c r="N353" s="4">
        <v>107</v>
      </c>
      <c r="O353" s="7">
        <v>2101.5</v>
      </c>
      <c r="P353" s="7">
        <v>52.537500000000001</v>
      </c>
      <c r="Q353" s="4">
        <v>121</v>
      </c>
      <c r="R353" s="7">
        <v>2544.5</v>
      </c>
      <c r="S353" s="7">
        <v>63.612499999999997</v>
      </c>
    </row>
    <row r="354" spans="1:19" ht="13.5" thickBot="1" x14ac:dyDescent="0.25">
      <c r="A354" s="2" t="s">
        <v>148</v>
      </c>
      <c r="B354" s="1" t="s">
        <v>147</v>
      </c>
      <c r="C354" s="2" t="s">
        <v>60</v>
      </c>
      <c r="D354" s="4">
        <v>90173</v>
      </c>
      <c r="E354" s="4">
        <v>31</v>
      </c>
      <c r="F354" s="7">
        <v>793.1</v>
      </c>
      <c r="G354" s="7">
        <v>19.827500000000001</v>
      </c>
      <c r="H354" s="4">
        <v>0</v>
      </c>
      <c r="I354" s="7">
        <v>0</v>
      </c>
      <c r="J354" s="7">
        <v>0</v>
      </c>
      <c r="K354" s="4">
        <v>31</v>
      </c>
      <c r="L354" s="7">
        <v>793.1</v>
      </c>
      <c r="M354" s="7">
        <v>19.827500000000001</v>
      </c>
      <c r="N354" s="4">
        <v>64</v>
      </c>
      <c r="O354" s="7">
        <v>1465.4</v>
      </c>
      <c r="P354" s="7">
        <v>36.634999999999998</v>
      </c>
      <c r="Q354" s="4">
        <v>95</v>
      </c>
      <c r="R354" s="7">
        <v>2258.5</v>
      </c>
      <c r="S354" s="7">
        <v>56.462499999999999</v>
      </c>
    </row>
    <row r="355" spans="1:19" ht="13.5" thickBot="1" x14ac:dyDescent="0.25">
      <c r="A355" s="2" t="s">
        <v>150</v>
      </c>
      <c r="B355" s="1" t="s">
        <v>149</v>
      </c>
      <c r="C355" s="2" t="s">
        <v>60</v>
      </c>
      <c r="D355" s="4">
        <v>238859</v>
      </c>
      <c r="E355" s="4">
        <v>41</v>
      </c>
      <c r="F355" s="7">
        <v>1595</v>
      </c>
      <c r="G355" s="7">
        <v>39.875</v>
      </c>
      <c r="H355" s="4">
        <v>0</v>
      </c>
      <c r="I355" s="7">
        <v>0</v>
      </c>
      <c r="J355" s="7">
        <v>0</v>
      </c>
      <c r="K355" s="4">
        <v>41</v>
      </c>
      <c r="L355" s="7">
        <v>1595</v>
      </c>
      <c r="M355" s="7">
        <v>39.875</v>
      </c>
      <c r="N355" s="4">
        <v>175</v>
      </c>
      <c r="O355" s="7">
        <v>3830</v>
      </c>
      <c r="P355" s="7">
        <v>95.75</v>
      </c>
      <c r="Q355" s="4">
        <v>216</v>
      </c>
      <c r="R355" s="7">
        <v>5425</v>
      </c>
      <c r="S355" s="7">
        <v>135.625</v>
      </c>
    </row>
    <row r="356" spans="1:19" ht="13.5" thickBot="1" x14ac:dyDescent="0.25">
      <c r="A356" s="2" t="s">
        <v>180</v>
      </c>
      <c r="B356" s="1" t="s">
        <v>179</v>
      </c>
      <c r="C356" s="2" t="s">
        <v>60</v>
      </c>
      <c r="D356" s="4">
        <v>51640</v>
      </c>
      <c r="E356" s="4">
        <v>6</v>
      </c>
      <c r="F356" s="7">
        <v>240</v>
      </c>
      <c r="G356" s="7">
        <v>6</v>
      </c>
      <c r="H356" s="4">
        <v>3</v>
      </c>
      <c r="I356" s="7">
        <v>120</v>
      </c>
      <c r="J356" s="7">
        <v>3</v>
      </c>
      <c r="K356" s="4">
        <v>9</v>
      </c>
      <c r="L356" s="7">
        <v>360</v>
      </c>
      <c r="M356" s="7">
        <v>9</v>
      </c>
      <c r="N356" s="4">
        <v>31</v>
      </c>
      <c r="O356" s="7">
        <v>752</v>
      </c>
      <c r="P356" s="7">
        <v>18.8</v>
      </c>
      <c r="Q356" s="4">
        <v>40</v>
      </c>
      <c r="R356" s="7">
        <v>1112</v>
      </c>
      <c r="S356" s="7">
        <v>27.8</v>
      </c>
    </row>
    <row r="357" spans="1:19" ht="13.5" thickBot="1" x14ac:dyDescent="0.25">
      <c r="A357" s="2" t="s">
        <v>186</v>
      </c>
      <c r="B357" s="1" t="s">
        <v>185</v>
      </c>
      <c r="C357" s="2" t="s">
        <v>60</v>
      </c>
      <c r="D357" s="4">
        <v>169833</v>
      </c>
      <c r="E357" s="4">
        <v>55</v>
      </c>
      <c r="F357" s="7">
        <v>985</v>
      </c>
      <c r="G357" s="7">
        <v>24.625</v>
      </c>
      <c r="H357" s="4">
        <v>0</v>
      </c>
      <c r="I357" s="7">
        <v>0</v>
      </c>
      <c r="J357" s="7">
        <v>0</v>
      </c>
      <c r="K357" s="4">
        <v>55</v>
      </c>
      <c r="L357" s="7">
        <v>985</v>
      </c>
      <c r="M357" s="7">
        <v>24.625</v>
      </c>
      <c r="N357" s="4">
        <v>91</v>
      </c>
      <c r="O357" s="7">
        <v>1420</v>
      </c>
      <c r="P357" s="7">
        <v>35.5</v>
      </c>
      <c r="Q357" s="4">
        <v>146</v>
      </c>
      <c r="R357" s="7">
        <v>2405</v>
      </c>
      <c r="S357" s="7">
        <v>60.125</v>
      </c>
    </row>
    <row r="358" spans="1:19" ht="13.5" thickBot="1" x14ac:dyDescent="0.25">
      <c r="A358" s="2" t="s">
        <v>221</v>
      </c>
      <c r="B358" s="1" t="s">
        <v>220</v>
      </c>
      <c r="C358" s="2" t="s">
        <v>60</v>
      </c>
      <c r="D358" s="4">
        <v>57774</v>
      </c>
      <c r="E358" s="4">
        <v>13</v>
      </c>
      <c r="F358" s="7">
        <v>380</v>
      </c>
      <c r="G358" s="7">
        <v>9.5</v>
      </c>
      <c r="H358" s="4">
        <v>0</v>
      </c>
      <c r="I358" s="7">
        <v>0</v>
      </c>
      <c r="J358" s="7">
        <v>0</v>
      </c>
      <c r="K358" s="4">
        <v>13</v>
      </c>
      <c r="L358" s="7">
        <v>380</v>
      </c>
      <c r="M358" s="7">
        <v>9.5</v>
      </c>
      <c r="N358" s="4">
        <v>35</v>
      </c>
      <c r="O358" s="7">
        <v>395</v>
      </c>
      <c r="P358" s="7">
        <v>9.875</v>
      </c>
      <c r="Q358" s="4">
        <v>48</v>
      </c>
      <c r="R358" s="7">
        <v>775</v>
      </c>
      <c r="S358" s="7">
        <v>19.375</v>
      </c>
    </row>
    <row r="359" spans="1:19" ht="13.5" thickBot="1" x14ac:dyDescent="0.25">
      <c r="A359" s="2" t="s">
        <v>223</v>
      </c>
      <c r="B359" s="1" t="s">
        <v>222</v>
      </c>
      <c r="C359" s="2" t="s">
        <v>60</v>
      </c>
      <c r="D359" s="4">
        <v>98153</v>
      </c>
      <c r="E359" s="4">
        <v>17</v>
      </c>
      <c r="F359" s="7">
        <v>652</v>
      </c>
      <c r="G359" s="7">
        <v>16.3</v>
      </c>
      <c r="H359" s="4">
        <v>0</v>
      </c>
      <c r="I359" s="7">
        <v>0</v>
      </c>
      <c r="J359" s="7">
        <v>0</v>
      </c>
      <c r="K359" s="4">
        <v>17</v>
      </c>
      <c r="L359" s="7">
        <v>652</v>
      </c>
      <c r="M359" s="7">
        <v>16.3</v>
      </c>
      <c r="N359" s="4">
        <v>64</v>
      </c>
      <c r="O359" s="7">
        <v>1538</v>
      </c>
      <c r="P359" s="7">
        <v>38.450000000000003</v>
      </c>
      <c r="Q359" s="4">
        <v>81</v>
      </c>
      <c r="R359" s="7">
        <v>2190</v>
      </c>
      <c r="S359" s="7">
        <v>54.75</v>
      </c>
    </row>
    <row r="360" spans="1:19" ht="13.5" thickBot="1" x14ac:dyDescent="0.25">
      <c r="A360" s="2" t="s">
        <v>233</v>
      </c>
      <c r="B360" s="1" t="s">
        <v>232</v>
      </c>
      <c r="C360" s="2" t="s">
        <v>60</v>
      </c>
      <c r="D360" s="4">
        <v>713777</v>
      </c>
      <c r="E360" s="4">
        <v>90</v>
      </c>
      <c r="F360" s="7">
        <v>3600</v>
      </c>
      <c r="G360" s="7">
        <v>90</v>
      </c>
      <c r="H360" s="4">
        <v>0</v>
      </c>
      <c r="I360" s="7">
        <v>0</v>
      </c>
      <c r="J360" s="7">
        <v>0</v>
      </c>
      <c r="K360" s="4">
        <v>90</v>
      </c>
      <c r="L360" s="7">
        <v>3600</v>
      </c>
      <c r="M360" s="7">
        <v>90</v>
      </c>
      <c r="N360" s="4">
        <v>226</v>
      </c>
      <c r="O360" s="7">
        <v>9040</v>
      </c>
      <c r="P360" s="7">
        <v>226</v>
      </c>
      <c r="Q360" s="4">
        <v>316</v>
      </c>
      <c r="R360" s="7">
        <v>12640</v>
      </c>
      <c r="S360" s="7">
        <v>316</v>
      </c>
    </row>
    <row r="361" spans="1:19" ht="13.5" thickBot="1" x14ac:dyDescent="0.25">
      <c r="A361" s="2" t="s">
        <v>277</v>
      </c>
      <c r="B361" s="1" t="s">
        <v>276</v>
      </c>
      <c r="C361" s="2" t="s">
        <v>60</v>
      </c>
      <c r="D361" s="4">
        <v>90112</v>
      </c>
      <c r="E361" s="4">
        <v>24</v>
      </c>
      <c r="F361" s="7">
        <v>848</v>
      </c>
      <c r="G361" s="7">
        <v>21.2</v>
      </c>
      <c r="H361" s="4">
        <v>9</v>
      </c>
      <c r="I361" s="7">
        <v>264</v>
      </c>
      <c r="J361" s="7">
        <v>6.6</v>
      </c>
      <c r="K361" s="4">
        <v>33</v>
      </c>
      <c r="L361" s="7">
        <v>1112</v>
      </c>
      <c r="M361" s="7">
        <v>27.8</v>
      </c>
      <c r="N361" s="4">
        <v>101</v>
      </c>
      <c r="O361" s="7">
        <v>1718</v>
      </c>
      <c r="P361" s="7">
        <v>42.95</v>
      </c>
      <c r="Q361" s="4">
        <v>134</v>
      </c>
      <c r="R361" s="7">
        <v>2830</v>
      </c>
      <c r="S361" s="7">
        <v>70.75</v>
      </c>
    </row>
    <row r="362" spans="1:19" ht="13.5" thickBot="1" x14ac:dyDescent="0.25">
      <c r="A362" s="2" t="s">
        <v>291</v>
      </c>
      <c r="B362" s="1" t="s">
        <v>290</v>
      </c>
      <c r="C362" s="2" t="s">
        <v>60</v>
      </c>
      <c r="D362" s="4">
        <v>102434</v>
      </c>
      <c r="E362" s="4">
        <v>16</v>
      </c>
      <c r="F362" s="7">
        <v>624</v>
      </c>
      <c r="G362" s="7">
        <v>15.6</v>
      </c>
      <c r="H362" s="4">
        <v>1</v>
      </c>
      <c r="I362" s="7">
        <v>40</v>
      </c>
      <c r="J362" s="7">
        <v>1</v>
      </c>
      <c r="K362" s="4">
        <v>17</v>
      </c>
      <c r="L362" s="7">
        <v>664</v>
      </c>
      <c r="M362" s="7">
        <v>16.600000000000001</v>
      </c>
      <c r="N362" s="4">
        <v>19</v>
      </c>
      <c r="O362" s="7">
        <v>528.5</v>
      </c>
      <c r="P362" s="7">
        <v>13.2125</v>
      </c>
      <c r="Q362" s="4">
        <v>36</v>
      </c>
      <c r="R362" s="7">
        <v>1192.5</v>
      </c>
      <c r="S362" s="7">
        <v>29.8125</v>
      </c>
    </row>
    <row r="363" spans="1:19" ht="13.5" thickBot="1" x14ac:dyDescent="0.25">
      <c r="A363" s="2" t="s">
        <v>317</v>
      </c>
      <c r="B363" s="1" t="s">
        <v>316</v>
      </c>
      <c r="C363" s="2" t="s">
        <v>60</v>
      </c>
      <c r="D363" s="4">
        <v>332567</v>
      </c>
      <c r="E363" s="4">
        <v>25</v>
      </c>
      <c r="F363" s="7">
        <v>1040</v>
      </c>
      <c r="G363" s="7">
        <v>26</v>
      </c>
      <c r="H363" s="4">
        <v>0</v>
      </c>
      <c r="I363" s="7">
        <v>0</v>
      </c>
      <c r="J363" s="7">
        <v>0</v>
      </c>
      <c r="K363" s="4">
        <v>25</v>
      </c>
      <c r="L363" s="7">
        <v>1040</v>
      </c>
      <c r="M363" s="7">
        <v>26</v>
      </c>
      <c r="N363" s="4">
        <v>114</v>
      </c>
      <c r="O363" s="7">
        <v>2271</v>
      </c>
      <c r="P363" s="7">
        <v>56.774999999999999</v>
      </c>
      <c r="Q363" s="4">
        <v>137</v>
      </c>
      <c r="R363" s="7">
        <v>3311</v>
      </c>
      <c r="S363" s="7">
        <v>82.775000000000006</v>
      </c>
    </row>
    <row r="364" spans="1:19" ht="13.5" thickBot="1" x14ac:dyDescent="0.25">
      <c r="A364" s="2" t="s">
        <v>331</v>
      </c>
      <c r="B364" s="1" t="s">
        <v>330</v>
      </c>
      <c r="C364" s="2" t="s">
        <v>60</v>
      </c>
      <c r="D364" s="4">
        <v>76707</v>
      </c>
      <c r="E364" s="4">
        <v>15</v>
      </c>
      <c r="F364" s="7">
        <v>480</v>
      </c>
      <c r="G364" s="7">
        <v>12</v>
      </c>
      <c r="H364" s="4">
        <v>4</v>
      </c>
      <c r="I364" s="7">
        <v>86</v>
      </c>
      <c r="J364" s="7">
        <v>2.15</v>
      </c>
      <c r="K364" s="4">
        <v>19</v>
      </c>
      <c r="L364" s="7">
        <v>566</v>
      </c>
      <c r="M364" s="7">
        <v>14.15</v>
      </c>
      <c r="N364" s="4">
        <v>34</v>
      </c>
      <c r="O364" s="7">
        <v>840</v>
      </c>
      <c r="P364" s="7">
        <v>21</v>
      </c>
      <c r="Q364" s="4">
        <v>53</v>
      </c>
      <c r="R364" s="7">
        <v>1406</v>
      </c>
      <c r="S364" s="7">
        <v>35.15</v>
      </c>
    </row>
    <row r="365" spans="1:19" ht="13.5" thickBot="1" x14ac:dyDescent="0.25">
      <c r="A365" s="2" t="s">
        <v>335</v>
      </c>
      <c r="B365" s="1" t="s">
        <v>334</v>
      </c>
      <c r="C365" s="2" t="s">
        <v>60</v>
      </c>
      <c r="D365" s="4">
        <v>188040</v>
      </c>
      <c r="E365" s="4">
        <v>25</v>
      </c>
      <c r="F365" s="7">
        <v>1000</v>
      </c>
      <c r="G365" s="7">
        <v>25</v>
      </c>
      <c r="H365" s="4">
        <v>0</v>
      </c>
      <c r="I365" s="7">
        <v>0</v>
      </c>
      <c r="J365" s="7">
        <v>0</v>
      </c>
      <c r="K365" s="4">
        <v>25</v>
      </c>
      <c r="L365" s="7">
        <v>1000</v>
      </c>
      <c r="M365" s="7">
        <v>25</v>
      </c>
      <c r="N365" s="4">
        <v>132</v>
      </c>
      <c r="O365" s="7">
        <v>3060</v>
      </c>
      <c r="P365" s="7">
        <v>76.5</v>
      </c>
      <c r="Q365" s="4">
        <v>157</v>
      </c>
      <c r="R365" s="7">
        <v>4060</v>
      </c>
      <c r="S365" s="7">
        <v>101.5</v>
      </c>
    </row>
    <row r="366" spans="1:19" ht="13.5" thickBot="1" x14ac:dyDescent="0.25">
      <c r="A366" s="2" t="s">
        <v>339</v>
      </c>
      <c r="B366" s="1" t="s">
        <v>338</v>
      </c>
      <c r="C366" s="2" t="s">
        <v>60</v>
      </c>
      <c r="D366" s="4">
        <v>51133</v>
      </c>
      <c r="E366" s="4">
        <v>18</v>
      </c>
      <c r="F366" s="7">
        <v>636</v>
      </c>
      <c r="G366" s="7">
        <v>15.9</v>
      </c>
      <c r="H366" s="4">
        <v>0</v>
      </c>
      <c r="I366" s="7">
        <v>0</v>
      </c>
      <c r="J366" s="7">
        <v>0</v>
      </c>
      <c r="K366" s="4">
        <v>18</v>
      </c>
      <c r="L366" s="7">
        <v>636</v>
      </c>
      <c r="M366" s="7">
        <v>15.9</v>
      </c>
      <c r="N366" s="4">
        <v>90</v>
      </c>
      <c r="O366" s="7">
        <v>1152.3800000000001</v>
      </c>
      <c r="P366" s="7">
        <v>28.8095</v>
      </c>
      <c r="Q366" s="4">
        <v>108</v>
      </c>
      <c r="R366" s="7">
        <v>1788.38</v>
      </c>
      <c r="S366" s="7">
        <v>44.709499999999998</v>
      </c>
    </row>
    <row r="367" spans="1:19" ht="13.5" thickBot="1" x14ac:dyDescent="0.25">
      <c r="A367" s="2" t="s">
        <v>367</v>
      </c>
      <c r="B367" s="1" t="s">
        <v>366</v>
      </c>
      <c r="C367" s="2" t="s">
        <v>60</v>
      </c>
      <c r="D367" s="4">
        <v>102423</v>
      </c>
      <c r="E367" s="4">
        <v>13</v>
      </c>
      <c r="F367" s="7">
        <v>512.47</v>
      </c>
      <c r="G367" s="7">
        <v>12.81175</v>
      </c>
      <c r="H367" s="4">
        <v>0</v>
      </c>
      <c r="I367" s="7">
        <v>0</v>
      </c>
      <c r="J367" s="7">
        <v>0</v>
      </c>
      <c r="K367" s="4">
        <v>13</v>
      </c>
      <c r="L367" s="7">
        <v>512.47</v>
      </c>
      <c r="M367" s="7">
        <v>12.81175</v>
      </c>
      <c r="N367" s="4">
        <v>56</v>
      </c>
      <c r="O367" s="7">
        <v>1457.29</v>
      </c>
      <c r="P367" s="7">
        <v>36.432250000000003</v>
      </c>
      <c r="Q367" s="4">
        <v>69</v>
      </c>
      <c r="R367" s="7">
        <v>1969.76</v>
      </c>
      <c r="S367" s="7">
        <v>49.244</v>
      </c>
    </row>
    <row r="368" spans="1:19" ht="13.5" thickBot="1" x14ac:dyDescent="0.25">
      <c r="A368" s="2" t="s">
        <v>389</v>
      </c>
      <c r="B368" s="1" t="s">
        <v>388</v>
      </c>
      <c r="C368" s="2" t="s">
        <v>60</v>
      </c>
      <c r="D368" s="4">
        <v>52529</v>
      </c>
      <c r="E368" s="4">
        <v>4</v>
      </c>
      <c r="F368" s="7">
        <v>160</v>
      </c>
      <c r="G368" s="7">
        <v>4</v>
      </c>
      <c r="H368" s="4">
        <v>0</v>
      </c>
      <c r="I368" s="7">
        <v>0</v>
      </c>
      <c r="J368" s="7">
        <v>0</v>
      </c>
      <c r="K368" s="4">
        <v>4</v>
      </c>
      <c r="L368" s="7">
        <v>160</v>
      </c>
      <c r="M368" s="7">
        <v>4</v>
      </c>
      <c r="N368" s="4">
        <v>41</v>
      </c>
      <c r="O368" s="7">
        <v>833</v>
      </c>
      <c r="P368" s="7">
        <v>20.824999999999999</v>
      </c>
      <c r="Q368" s="4">
        <v>41</v>
      </c>
      <c r="R368" s="7">
        <v>993</v>
      </c>
      <c r="S368" s="7">
        <v>24.824999999999999</v>
      </c>
    </row>
    <row r="369" spans="1:19" ht="13.5" thickBot="1" x14ac:dyDescent="0.25">
      <c r="A369" s="2" t="s">
        <v>409</v>
      </c>
      <c r="B369" s="1" t="s">
        <v>408</v>
      </c>
      <c r="C369" s="2" t="s">
        <v>60</v>
      </c>
      <c r="D369" s="4">
        <v>160248</v>
      </c>
      <c r="E369" s="4">
        <v>19</v>
      </c>
      <c r="F369" s="7">
        <v>748</v>
      </c>
      <c r="G369" s="7">
        <v>18.7</v>
      </c>
      <c r="H369" s="4">
        <v>5</v>
      </c>
      <c r="I369" s="7">
        <v>173</v>
      </c>
      <c r="J369" s="7">
        <v>4.3250000000000002</v>
      </c>
      <c r="K369" s="4">
        <v>24</v>
      </c>
      <c r="L369" s="7">
        <v>921</v>
      </c>
      <c r="M369" s="7">
        <v>23.024999999999999</v>
      </c>
      <c r="N369" s="4">
        <v>130</v>
      </c>
      <c r="O369" s="7">
        <v>3543</v>
      </c>
      <c r="P369" s="7">
        <v>88.575000000000003</v>
      </c>
      <c r="Q369" s="4">
        <v>154</v>
      </c>
      <c r="R369" s="7">
        <v>4464</v>
      </c>
      <c r="S369" s="7">
        <v>111.6</v>
      </c>
    </row>
    <row r="370" spans="1:19" ht="13.5" thickBot="1" x14ac:dyDescent="0.25">
      <c r="A370" s="2" t="s">
        <v>417</v>
      </c>
      <c r="B370" s="1" t="s">
        <v>416</v>
      </c>
      <c r="C370" s="2" t="s">
        <v>60</v>
      </c>
      <c r="D370" s="4">
        <v>116445</v>
      </c>
      <c r="E370" s="4">
        <v>21</v>
      </c>
      <c r="F370" s="7">
        <v>820</v>
      </c>
      <c r="G370" s="7">
        <v>20.5</v>
      </c>
      <c r="H370" s="4">
        <v>0</v>
      </c>
      <c r="I370" s="7">
        <v>0</v>
      </c>
      <c r="J370" s="7">
        <v>0</v>
      </c>
      <c r="K370" s="4">
        <v>21</v>
      </c>
      <c r="L370" s="7">
        <v>820</v>
      </c>
      <c r="M370" s="7">
        <v>20.5</v>
      </c>
      <c r="N370" s="4">
        <v>147</v>
      </c>
      <c r="O370" s="7">
        <v>4000</v>
      </c>
      <c r="P370" s="7">
        <v>100</v>
      </c>
      <c r="Q370" s="4">
        <v>168</v>
      </c>
      <c r="R370" s="7">
        <v>4820</v>
      </c>
      <c r="S370" s="7">
        <v>120.5</v>
      </c>
    </row>
    <row r="371" spans="1:19" ht="13.5" thickBot="1" x14ac:dyDescent="0.25">
      <c r="A371" s="2" t="s">
        <v>421</v>
      </c>
      <c r="B371" s="1" t="s">
        <v>420</v>
      </c>
      <c r="C371" s="2" t="s">
        <v>60</v>
      </c>
      <c r="D371" s="4">
        <v>395660</v>
      </c>
      <c r="E371" s="4">
        <v>70</v>
      </c>
      <c r="F371" s="7">
        <v>2494</v>
      </c>
      <c r="G371" s="7">
        <v>62.35</v>
      </c>
      <c r="H371" s="4">
        <v>3</v>
      </c>
      <c r="I371" s="7">
        <v>120</v>
      </c>
      <c r="J371" s="7">
        <v>3</v>
      </c>
      <c r="K371" s="4">
        <v>73</v>
      </c>
      <c r="L371" s="7">
        <v>2614</v>
      </c>
      <c r="M371" s="7">
        <v>65.349999999999994</v>
      </c>
      <c r="N371" s="4">
        <v>238</v>
      </c>
      <c r="O371" s="7">
        <v>6293</v>
      </c>
      <c r="P371" s="7">
        <v>157.32499999999999</v>
      </c>
      <c r="Q371" s="4">
        <v>311</v>
      </c>
      <c r="R371" s="7">
        <v>8907</v>
      </c>
      <c r="S371" s="7">
        <v>222.67500000000001</v>
      </c>
    </row>
    <row r="372" spans="1:19" ht="13.5" thickBot="1" x14ac:dyDescent="0.25">
      <c r="A372" s="2" t="s">
        <v>431</v>
      </c>
      <c r="B372" s="1" t="s">
        <v>430</v>
      </c>
      <c r="C372" s="2" t="s">
        <v>60</v>
      </c>
      <c r="D372" s="4">
        <v>60006</v>
      </c>
      <c r="E372" s="4">
        <v>5</v>
      </c>
      <c r="F372" s="7">
        <v>200</v>
      </c>
      <c r="G372" s="7">
        <v>5</v>
      </c>
      <c r="H372" s="4">
        <v>14</v>
      </c>
      <c r="I372" s="7">
        <v>302.55</v>
      </c>
      <c r="J372" s="7">
        <v>7.5637499999999998</v>
      </c>
      <c r="K372" s="4">
        <v>19</v>
      </c>
      <c r="L372" s="7">
        <v>502.55</v>
      </c>
      <c r="M372" s="7">
        <v>12.563750000000001</v>
      </c>
      <c r="N372" s="4">
        <v>26</v>
      </c>
      <c r="O372" s="7">
        <v>341.14</v>
      </c>
      <c r="P372" s="7">
        <v>8.5284999999999993</v>
      </c>
      <c r="Q372" s="4">
        <v>44</v>
      </c>
      <c r="R372" s="7">
        <v>843.69</v>
      </c>
      <c r="S372" s="7">
        <v>21.09225</v>
      </c>
    </row>
    <row r="373" spans="1:19" ht="13.5" thickBot="1" x14ac:dyDescent="0.25">
      <c r="A373" s="2" t="s">
        <v>459</v>
      </c>
      <c r="B373" s="1" t="s">
        <v>458</v>
      </c>
      <c r="C373" s="2" t="s">
        <v>60</v>
      </c>
      <c r="D373" s="4">
        <v>96942</v>
      </c>
      <c r="E373" s="4">
        <v>17</v>
      </c>
      <c r="F373" s="7">
        <v>640</v>
      </c>
      <c r="G373" s="7">
        <v>16</v>
      </c>
      <c r="H373" s="4">
        <v>2</v>
      </c>
      <c r="I373" s="7">
        <v>40</v>
      </c>
      <c r="J373" s="7">
        <v>1</v>
      </c>
      <c r="K373" s="4">
        <v>17</v>
      </c>
      <c r="L373" s="7">
        <v>640</v>
      </c>
      <c r="M373" s="7">
        <v>16</v>
      </c>
      <c r="N373" s="4">
        <v>33</v>
      </c>
      <c r="O373" s="7">
        <v>702</v>
      </c>
      <c r="P373" s="7">
        <v>17.55</v>
      </c>
      <c r="Q373" s="4">
        <v>50</v>
      </c>
      <c r="R373" s="7">
        <v>1342</v>
      </c>
      <c r="S373" s="7">
        <v>33.549999999999997</v>
      </c>
    </row>
    <row r="374" spans="1:19" ht="13.5" thickBot="1" x14ac:dyDescent="0.25">
      <c r="A374" s="2" t="s">
        <v>526</v>
      </c>
      <c r="B374" s="1" t="s">
        <v>525</v>
      </c>
      <c r="C374" s="2" t="s">
        <v>60</v>
      </c>
      <c r="D374" s="4">
        <v>149955</v>
      </c>
      <c r="E374" s="4">
        <v>24</v>
      </c>
      <c r="F374" s="7">
        <v>879</v>
      </c>
      <c r="G374" s="7">
        <v>21.975000000000001</v>
      </c>
      <c r="H374" s="4">
        <v>1</v>
      </c>
      <c r="I374" s="7">
        <v>40</v>
      </c>
      <c r="J374" s="7">
        <v>1</v>
      </c>
      <c r="K374" s="4">
        <v>25</v>
      </c>
      <c r="L374" s="7">
        <v>919</v>
      </c>
      <c r="M374" s="7">
        <v>22.975000000000001</v>
      </c>
      <c r="N374" s="4">
        <v>120</v>
      </c>
      <c r="O374" s="7">
        <v>2901.5</v>
      </c>
      <c r="P374" s="7">
        <v>72.537499999999994</v>
      </c>
      <c r="Q374" s="4">
        <v>145</v>
      </c>
      <c r="R374" s="7">
        <v>3820.5</v>
      </c>
      <c r="S374" s="7">
        <v>95.512500000000003</v>
      </c>
    </row>
    <row r="375" spans="1:19" ht="13.5" thickBot="1" x14ac:dyDescent="0.25">
      <c r="A375" s="2" t="s">
        <v>540</v>
      </c>
      <c r="B375" s="1" t="s">
        <v>539</v>
      </c>
      <c r="C375" s="2" t="s">
        <v>60</v>
      </c>
      <c r="D375" s="4">
        <v>105852</v>
      </c>
      <c r="E375" s="4">
        <v>12</v>
      </c>
      <c r="F375" s="7">
        <v>480</v>
      </c>
      <c r="G375" s="7">
        <v>12</v>
      </c>
      <c r="H375" s="4">
        <v>3</v>
      </c>
      <c r="I375" s="7">
        <v>120</v>
      </c>
      <c r="J375" s="7">
        <v>3</v>
      </c>
      <c r="K375" s="4">
        <v>15</v>
      </c>
      <c r="L375" s="7">
        <v>600</v>
      </c>
      <c r="M375" s="7">
        <v>15</v>
      </c>
      <c r="N375" s="4">
        <v>46</v>
      </c>
      <c r="O375" s="7">
        <v>1046</v>
      </c>
      <c r="P375" s="7">
        <v>26.15</v>
      </c>
      <c r="Q375" s="4">
        <v>61</v>
      </c>
      <c r="R375" s="7">
        <v>1646</v>
      </c>
      <c r="S375" s="7">
        <v>41.15</v>
      </c>
    </row>
    <row r="376" spans="1:19" ht="13.5" thickBot="1" x14ac:dyDescent="0.25">
      <c r="A376" s="2" t="s">
        <v>560</v>
      </c>
      <c r="B376" s="1" t="s">
        <v>559</v>
      </c>
      <c r="C376" s="2" t="s">
        <v>60</v>
      </c>
      <c r="D376" s="4">
        <v>55374</v>
      </c>
      <c r="E376" s="77">
        <v>19</v>
      </c>
      <c r="F376" s="7">
        <v>507</v>
      </c>
      <c r="G376" s="7">
        <v>12.675000000000001</v>
      </c>
      <c r="H376" s="4">
        <v>0</v>
      </c>
      <c r="I376" s="7">
        <v>0</v>
      </c>
      <c r="J376" s="7">
        <v>0</v>
      </c>
      <c r="K376" s="4">
        <v>19</v>
      </c>
      <c r="L376" s="7">
        <v>507</v>
      </c>
      <c r="M376" s="7">
        <v>12.675000000000001</v>
      </c>
      <c r="N376" s="4">
        <v>42</v>
      </c>
      <c r="O376" s="7">
        <v>964</v>
      </c>
      <c r="P376" s="7">
        <v>24.1</v>
      </c>
      <c r="Q376" s="4">
        <v>61</v>
      </c>
      <c r="R376" s="7">
        <v>1471</v>
      </c>
      <c r="S376" s="7">
        <v>36.774999999999999</v>
      </c>
    </row>
    <row r="377" spans="1:19" ht="13.5" thickBot="1" x14ac:dyDescent="0.25">
      <c r="A377" s="2" t="s">
        <v>610</v>
      </c>
      <c r="B377" s="1" t="s">
        <v>609</v>
      </c>
      <c r="C377" s="2" t="s">
        <v>60</v>
      </c>
      <c r="D377" s="4">
        <v>59515</v>
      </c>
      <c r="E377" s="4">
        <v>5</v>
      </c>
      <c r="F377" s="7">
        <v>200</v>
      </c>
      <c r="G377" s="7">
        <v>5</v>
      </c>
      <c r="H377" s="4">
        <v>1</v>
      </c>
      <c r="I377" s="7">
        <v>40</v>
      </c>
      <c r="J377" s="7">
        <v>1</v>
      </c>
      <c r="K377" s="4">
        <v>6</v>
      </c>
      <c r="L377" s="7">
        <v>240</v>
      </c>
      <c r="M377" s="7">
        <v>6</v>
      </c>
      <c r="N377" s="4">
        <v>14</v>
      </c>
      <c r="O377" s="7">
        <v>290</v>
      </c>
      <c r="P377" s="7">
        <v>7.25</v>
      </c>
      <c r="Q377" s="4">
        <v>20</v>
      </c>
      <c r="R377" s="7">
        <v>530</v>
      </c>
      <c r="S377" s="7">
        <v>13.25</v>
      </c>
    </row>
    <row r="378" spans="1:19" ht="13.5" thickBot="1" x14ac:dyDescent="0.25">
      <c r="A378" s="2" t="s">
        <v>614</v>
      </c>
      <c r="B378" s="1" t="s">
        <v>613</v>
      </c>
      <c r="C378" s="2" t="s">
        <v>60</v>
      </c>
      <c r="D378" s="4">
        <v>52170</v>
      </c>
      <c r="E378" s="4">
        <v>16</v>
      </c>
      <c r="F378" s="7">
        <v>467.75</v>
      </c>
      <c r="G378" s="7">
        <v>11.69375</v>
      </c>
      <c r="H378" s="4">
        <v>4</v>
      </c>
      <c r="I378" s="7">
        <v>104</v>
      </c>
      <c r="J378" s="7">
        <v>2.6</v>
      </c>
      <c r="K378" s="4">
        <v>20</v>
      </c>
      <c r="L378" s="7">
        <v>571.75</v>
      </c>
      <c r="M378" s="7">
        <v>14.293749999999999</v>
      </c>
      <c r="N378" s="4">
        <v>27</v>
      </c>
      <c r="O378" s="7">
        <v>673.13</v>
      </c>
      <c r="P378" s="7">
        <v>16.828250000000001</v>
      </c>
      <c r="Q378" s="4">
        <v>47</v>
      </c>
      <c r="R378" s="7">
        <v>1244.8800000000001</v>
      </c>
      <c r="S378" s="7">
        <v>31.122</v>
      </c>
    </row>
    <row r="379" spans="1:19" ht="13.5" thickBot="1" x14ac:dyDescent="0.25">
      <c r="A379" s="2" t="s">
        <v>624</v>
      </c>
      <c r="B379" s="1" t="s">
        <v>623</v>
      </c>
      <c r="C379" s="2" t="s">
        <v>60</v>
      </c>
      <c r="D379" s="4">
        <v>124690</v>
      </c>
      <c r="E379" s="4">
        <v>10</v>
      </c>
      <c r="F379" s="7">
        <v>385</v>
      </c>
      <c r="G379" s="7">
        <v>9.625</v>
      </c>
      <c r="H379" s="4">
        <v>0</v>
      </c>
      <c r="I379" s="7">
        <v>0</v>
      </c>
      <c r="J379" s="7">
        <v>0</v>
      </c>
      <c r="K379" s="4">
        <v>10</v>
      </c>
      <c r="L379" s="7">
        <v>385</v>
      </c>
      <c r="M379" s="7">
        <v>9.625</v>
      </c>
      <c r="N379" s="4">
        <v>70</v>
      </c>
      <c r="O379" s="7">
        <v>1300</v>
      </c>
      <c r="P379" s="7">
        <v>32.5</v>
      </c>
      <c r="Q379" s="4">
        <v>80</v>
      </c>
      <c r="R379" s="7">
        <v>1685</v>
      </c>
      <c r="S379" s="7">
        <v>42.125</v>
      </c>
    </row>
    <row r="380" spans="1:19" ht="13.5" thickBot="1" x14ac:dyDescent="0.25">
      <c r="A380" s="2" t="s">
        <v>660</v>
      </c>
      <c r="B380" s="1" t="s">
        <v>659</v>
      </c>
      <c r="C380" s="2" t="s">
        <v>60</v>
      </c>
      <c r="D380" s="4">
        <v>100485</v>
      </c>
      <c r="E380" s="4">
        <v>56</v>
      </c>
      <c r="F380" s="7">
        <v>939</v>
      </c>
      <c r="G380" s="7">
        <v>23.475000000000001</v>
      </c>
      <c r="H380" s="4">
        <v>2</v>
      </c>
      <c r="I380" s="7">
        <v>47</v>
      </c>
      <c r="J380" s="7">
        <v>1.175</v>
      </c>
      <c r="K380" s="4">
        <v>58</v>
      </c>
      <c r="L380" s="7">
        <v>941</v>
      </c>
      <c r="M380" s="7">
        <v>23.524999999999999</v>
      </c>
      <c r="N380" s="4">
        <v>84</v>
      </c>
      <c r="O380" s="7">
        <v>1429</v>
      </c>
      <c r="P380" s="7">
        <v>35.725000000000001</v>
      </c>
      <c r="Q380" s="4">
        <v>142</v>
      </c>
      <c r="R380" s="7">
        <v>2370</v>
      </c>
      <c r="S380" s="7">
        <v>59.25</v>
      </c>
    </row>
    <row r="381" spans="1:19" ht="13.5" thickBot="1" x14ac:dyDescent="0.25">
      <c r="A381" s="2" t="s">
        <v>670</v>
      </c>
      <c r="B381" s="1" t="s">
        <v>669</v>
      </c>
      <c r="C381" s="2" t="s">
        <v>60</v>
      </c>
      <c r="D381" s="4">
        <v>57236</v>
      </c>
      <c r="E381" s="4">
        <v>15</v>
      </c>
      <c r="F381" s="7">
        <v>416</v>
      </c>
      <c r="G381" s="7">
        <v>10.4</v>
      </c>
      <c r="H381" s="4">
        <v>0</v>
      </c>
      <c r="I381" s="7">
        <v>0</v>
      </c>
      <c r="J381" s="7">
        <v>0</v>
      </c>
      <c r="K381" s="4">
        <v>15</v>
      </c>
      <c r="L381" s="7">
        <v>416</v>
      </c>
      <c r="M381" s="7">
        <v>10.4</v>
      </c>
      <c r="N381" s="4">
        <v>26</v>
      </c>
      <c r="O381" s="7">
        <v>512</v>
      </c>
      <c r="P381" s="7">
        <v>12.8</v>
      </c>
      <c r="Q381" s="4">
        <v>41</v>
      </c>
      <c r="R381" s="7">
        <v>928</v>
      </c>
      <c r="S381" s="7">
        <v>23.2</v>
      </c>
    </row>
    <row r="382" spans="1:19" ht="13.5" thickBot="1" x14ac:dyDescent="0.25">
      <c r="A382" s="2" t="s">
        <v>678</v>
      </c>
      <c r="B382" s="1" t="s">
        <v>677</v>
      </c>
      <c r="C382" s="2" t="s">
        <v>60</v>
      </c>
      <c r="D382" s="4">
        <v>160312</v>
      </c>
      <c r="E382" s="4">
        <v>14</v>
      </c>
      <c r="F382" s="7">
        <v>510</v>
      </c>
      <c r="G382" s="7">
        <v>12.75</v>
      </c>
      <c r="H382" s="4">
        <v>9</v>
      </c>
      <c r="I382" s="7">
        <v>337.5</v>
      </c>
      <c r="J382" s="7">
        <v>8.4375</v>
      </c>
      <c r="K382" s="4">
        <v>23</v>
      </c>
      <c r="L382" s="7">
        <v>847.5</v>
      </c>
      <c r="M382" s="7">
        <v>21.1875</v>
      </c>
      <c r="N382" s="4">
        <v>94</v>
      </c>
      <c r="O382" s="7">
        <v>1998.5</v>
      </c>
      <c r="P382" s="7">
        <v>49.962499999999999</v>
      </c>
      <c r="Q382" s="4">
        <v>117</v>
      </c>
      <c r="R382" s="7">
        <v>2846</v>
      </c>
      <c r="S382" s="7">
        <v>71.150000000000006</v>
      </c>
    </row>
    <row r="383" spans="1:19" ht="13.5" thickBot="1" x14ac:dyDescent="0.25">
      <c r="A383" s="2" t="s">
        <v>680</v>
      </c>
      <c r="B383" s="1" t="s">
        <v>679</v>
      </c>
      <c r="C383" s="2" t="s">
        <v>60</v>
      </c>
      <c r="D383" s="4">
        <v>59715</v>
      </c>
      <c r="E383" s="4">
        <v>7</v>
      </c>
      <c r="F383" s="7">
        <v>240</v>
      </c>
      <c r="G383" s="7">
        <v>6</v>
      </c>
      <c r="H383" s="4">
        <v>1</v>
      </c>
      <c r="I383" s="7">
        <v>20</v>
      </c>
      <c r="J383" s="7">
        <v>0.5</v>
      </c>
      <c r="K383" s="4">
        <v>8</v>
      </c>
      <c r="L383" s="7">
        <v>264</v>
      </c>
      <c r="M383" s="7">
        <v>6.6</v>
      </c>
      <c r="N383" s="4">
        <v>13</v>
      </c>
      <c r="O383" s="7">
        <v>360</v>
      </c>
      <c r="P383" s="7">
        <v>9</v>
      </c>
      <c r="Q383" s="4">
        <v>21</v>
      </c>
      <c r="R383" s="7">
        <v>624</v>
      </c>
      <c r="S383" s="7">
        <v>15.6</v>
      </c>
    </row>
    <row r="384" spans="1:19" ht="13.5" thickBot="1" x14ac:dyDescent="0.25">
      <c r="A384" s="2" t="s">
        <v>708</v>
      </c>
      <c r="B384" s="1" t="s">
        <v>707</v>
      </c>
      <c r="C384" s="2" t="s">
        <v>60</v>
      </c>
      <c r="D384" s="4">
        <v>73804</v>
      </c>
      <c r="E384" s="4">
        <v>5</v>
      </c>
      <c r="F384" s="7">
        <v>187.5</v>
      </c>
      <c r="G384" s="7">
        <v>4.6875</v>
      </c>
      <c r="H384" s="4">
        <v>6</v>
      </c>
      <c r="I384" s="7">
        <v>10</v>
      </c>
      <c r="J384" s="7">
        <v>0.25</v>
      </c>
      <c r="K384" s="4">
        <v>11</v>
      </c>
      <c r="L384" s="7">
        <v>197.5</v>
      </c>
      <c r="M384" s="7">
        <v>4.9375</v>
      </c>
      <c r="N384" s="4">
        <v>13</v>
      </c>
      <c r="O384" s="7">
        <v>292</v>
      </c>
      <c r="P384" s="7">
        <v>7.3</v>
      </c>
      <c r="Q384" s="4">
        <v>24</v>
      </c>
      <c r="R384" s="7">
        <v>489.5</v>
      </c>
      <c r="S384" s="7">
        <v>12.237500000000001</v>
      </c>
    </row>
    <row r="385" spans="1:19" ht="13.5" thickBot="1" x14ac:dyDescent="0.25">
      <c r="A385" s="2" t="s">
        <v>720</v>
      </c>
      <c r="B385" s="1" t="s">
        <v>719</v>
      </c>
      <c r="C385" s="2" t="s">
        <v>60</v>
      </c>
      <c r="D385" s="4">
        <v>75814</v>
      </c>
      <c r="E385" s="4">
        <v>16</v>
      </c>
      <c r="F385" s="7">
        <v>640</v>
      </c>
      <c r="G385" s="7">
        <v>16</v>
      </c>
      <c r="H385" s="4">
        <v>0</v>
      </c>
      <c r="I385" s="7">
        <v>0</v>
      </c>
      <c r="J385" s="7">
        <v>0</v>
      </c>
      <c r="K385" s="4">
        <v>16</v>
      </c>
      <c r="L385" s="7">
        <v>640</v>
      </c>
      <c r="M385" s="7">
        <v>16</v>
      </c>
      <c r="N385" s="4">
        <v>32</v>
      </c>
      <c r="O385" s="7">
        <v>451</v>
      </c>
      <c r="P385" s="7">
        <v>11.275</v>
      </c>
      <c r="Q385" s="4">
        <v>68</v>
      </c>
      <c r="R385" s="7">
        <v>1091</v>
      </c>
      <c r="S385" s="7">
        <v>27.274999999999999</v>
      </c>
    </row>
    <row r="386" spans="1:19" ht="13.5" thickBot="1" x14ac:dyDescent="0.25">
      <c r="A386" s="2" t="s">
        <v>734</v>
      </c>
      <c r="B386" s="1" t="s">
        <v>733</v>
      </c>
      <c r="C386" s="2" t="s">
        <v>60</v>
      </c>
      <c r="D386" s="4">
        <v>129699</v>
      </c>
      <c r="E386" s="4">
        <v>16</v>
      </c>
      <c r="F386" s="7">
        <v>470</v>
      </c>
      <c r="G386" s="7">
        <v>11.75</v>
      </c>
      <c r="H386" s="4">
        <v>0</v>
      </c>
      <c r="I386" s="7">
        <v>0</v>
      </c>
      <c r="J386" s="7">
        <v>0</v>
      </c>
      <c r="K386" s="4">
        <v>16</v>
      </c>
      <c r="L386" s="7">
        <v>470</v>
      </c>
      <c r="M386" s="7">
        <v>11.75</v>
      </c>
      <c r="N386" s="4">
        <v>25</v>
      </c>
      <c r="O386" s="7">
        <v>600</v>
      </c>
      <c r="P386" s="7">
        <v>15</v>
      </c>
      <c r="Q386" s="4">
        <v>41</v>
      </c>
      <c r="R386" s="7">
        <v>1070</v>
      </c>
      <c r="S386" s="7">
        <v>26.75</v>
      </c>
    </row>
    <row r="387" spans="1:19" ht="13.5" thickBot="1" x14ac:dyDescent="0.25">
      <c r="A387" s="2" t="s">
        <v>751</v>
      </c>
      <c r="B387" s="1" t="s">
        <v>750</v>
      </c>
      <c r="C387" s="2" t="s">
        <v>60</v>
      </c>
      <c r="D387" s="4">
        <v>63131</v>
      </c>
      <c r="E387" s="4">
        <v>4</v>
      </c>
      <c r="F387" s="7">
        <v>160</v>
      </c>
      <c r="G387" s="7">
        <v>4</v>
      </c>
      <c r="H387" s="4">
        <v>0</v>
      </c>
      <c r="I387" s="7">
        <v>0</v>
      </c>
      <c r="J387" s="7">
        <v>0</v>
      </c>
      <c r="K387" s="4">
        <v>4</v>
      </c>
      <c r="L387" s="7">
        <v>160</v>
      </c>
      <c r="M387" s="7">
        <v>4</v>
      </c>
      <c r="N387" s="4">
        <v>20</v>
      </c>
      <c r="O387" s="7">
        <v>391</v>
      </c>
      <c r="P387" s="7">
        <v>9.7750000000000004</v>
      </c>
      <c r="Q387" s="4">
        <v>24</v>
      </c>
      <c r="R387" s="7">
        <v>551</v>
      </c>
      <c r="S387" s="7">
        <v>13.775</v>
      </c>
    </row>
    <row r="388" spans="1:19" ht="13.5" thickBot="1" x14ac:dyDescent="0.25">
      <c r="A388" s="2" t="s">
        <v>777</v>
      </c>
      <c r="B388" s="1" t="s">
        <v>776</v>
      </c>
      <c r="C388" s="2" t="s">
        <v>60</v>
      </c>
      <c r="D388" s="4">
        <v>97396</v>
      </c>
      <c r="E388" s="4">
        <v>8</v>
      </c>
      <c r="F388" s="7">
        <v>300</v>
      </c>
      <c r="G388" s="7">
        <v>7.5</v>
      </c>
      <c r="H388" s="4">
        <v>1</v>
      </c>
      <c r="I388" s="7">
        <v>40</v>
      </c>
      <c r="J388" s="7">
        <v>1</v>
      </c>
      <c r="K388" s="4">
        <v>9</v>
      </c>
      <c r="L388" s="7">
        <v>340</v>
      </c>
      <c r="M388" s="7">
        <v>8.5</v>
      </c>
      <c r="N388" s="4">
        <v>61</v>
      </c>
      <c r="O388" s="7">
        <v>1686</v>
      </c>
      <c r="P388" s="7">
        <v>42.15</v>
      </c>
      <c r="Q388" s="4">
        <v>70</v>
      </c>
      <c r="R388" s="7">
        <v>2026</v>
      </c>
      <c r="S388" s="7">
        <v>50.65</v>
      </c>
    </row>
    <row r="389" spans="1:19" ht="13.5" thickBot="1" x14ac:dyDescent="0.25">
      <c r="A389" s="2" t="s">
        <v>779</v>
      </c>
      <c r="B389" s="1" t="s">
        <v>778</v>
      </c>
      <c r="C389" s="2" t="s">
        <v>60</v>
      </c>
      <c r="D389" s="4">
        <v>72726</v>
      </c>
      <c r="E389" s="4">
        <v>4</v>
      </c>
      <c r="F389" s="7">
        <v>160</v>
      </c>
      <c r="G389" s="7">
        <v>4</v>
      </c>
      <c r="H389" s="4">
        <v>1</v>
      </c>
      <c r="I389" s="7">
        <v>40</v>
      </c>
      <c r="J389" s="7">
        <v>1</v>
      </c>
      <c r="K389" s="4">
        <v>5</v>
      </c>
      <c r="L389" s="7">
        <v>200</v>
      </c>
      <c r="M389" s="7">
        <v>5</v>
      </c>
      <c r="N389" s="4">
        <v>10</v>
      </c>
      <c r="O389" s="7">
        <v>205</v>
      </c>
      <c r="P389" s="7">
        <v>5.125</v>
      </c>
      <c r="Q389" s="4">
        <v>15</v>
      </c>
      <c r="R389" s="7">
        <v>405</v>
      </c>
      <c r="S389" s="7">
        <v>10.125</v>
      </c>
    </row>
    <row r="390" spans="1:19" ht="13.5" thickBot="1" x14ac:dyDescent="0.25">
      <c r="A390" s="2" t="s">
        <v>781</v>
      </c>
      <c r="B390" s="1" t="s">
        <v>780</v>
      </c>
      <c r="C390" s="2" t="s">
        <v>60</v>
      </c>
      <c r="D390" s="4">
        <v>80980</v>
      </c>
      <c r="E390" s="77">
        <v>24</v>
      </c>
      <c r="F390" s="7">
        <v>620</v>
      </c>
      <c r="G390" s="7">
        <v>15.5</v>
      </c>
      <c r="H390" s="4">
        <v>0</v>
      </c>
      <c r="I390" s="7">
        <v>0</v>
      </c>
      <c r="J390" s="7">
        <v>0</v>
      </c>
      <c r="K390" s="4">
        <v>24</v>
      </c>
      <c r="L390" s="7">
        <v>620</v>
      </c>
      <c r="M390" s="7">
        <v>15.5</v>
      </c>
      <c r="N390" s="4">
        <v>53</v>
      </c>
      <c r="O390" s="7">
        <v>1325</v>
      </c>
      <c r="P390" s="7">
        <v>33.125</v>
      </c>
      <c r="Q390" s="4">
        <v>77</v>
      </c>
      <c r="R390" s="7">
        <v>1945</v>
      </c>
      <c r="S390" s="7">
        <v>48.625</v>
      </c>
    </row>
    <row r="391" spans="1:19" ht="13.5" thickBot="1" x14ac:dyDescent="0.25">
      <c r="A391" s="2" t="s">
        <v>805</v>
      </c>
      <c r="B391" s="1" t="s">
        <v>804</v>
      </c>
      <c r="C391" s="2" t="s">
        <v>60</v>
      </c>
      <c r="D391" s="4">
        <v>134056</v>
      </c>
      <c r="E391" s="77">
        <v>9</v>
      </c>
      <c r="F391" s="7">
        <v>360</v>
      </c>
      <c r="G391" s="7">
        <v>9</v>
      </c>
      <c r="H391" s="4">
        <v>9</v>
      </c>
      <c r="I391" s="7">
        <v>177</v>
      </c>
      <c r="J391" s="7">
        <v>4.4249999999999998</v>
      </c>
      <c r="K391" s="4">
        <v>18</v>
      </c>
      <c r="L391" s="7">
        <v>537</v>
      </c>
      <c r="M391" s="7">
        <v>13.425000000000001</v>
      </c>
      <c r="N391" s="4">
        <v>30</v>
      </c>
      <c r="O391" s="7">
        <v>593</v>
      </c>
      <c r="P391" s="7">
        <v>14.824999999999999</v>
      </c>
      <c r="Q391" s="4">
        <v>47</v>
      </c>
      <c r="R391" s="7">
        <v>1130</v>
      </c>
      <c r="S391" s="7">
        <v>28.25</v>
      </c>
    </row>
    <row r="392" spans="1:19" ht="13.5" thickBot="1" x14ac:dyDescent="0.25">
      <c r="A392" s="2" t="s">
        <v>807</v>
      </c>
      <c r="B392" s="1" t="s">
        <v>806</v>
      </c>
      <c r="C392" s="2" t="s">
        <v>60</v>
      </c>
      <c r="D392" s="4">
        <v>71997</v>
      </c>
      <c r="E392" s="77">
        <v>10</v>
      </c>
      <c r="F392" s="7">
        <v>400</v>
      </c>
      <c r="G392" s="7">
        <v>10</v>
      </c>
      <c r="H392" s="4">
        <v>0</v>
      </c>
      <c r="I392" s="7">
        <v>0</v>
      </c>
      <c r="J392" s="7">
        <v>0</v>
      </c>
      <c r="K392" s="4">
        <v>10</v>
      </c>
      <c r="L392" s="7">
        <v>400</v>
      </c>
      <c r="M392" s="7">
        <v>10</v>
      </c>
      <c r="N392" s="4">
        <v>21</v>
      </c>
      <c r="O392" s="7">
        <v>484</v>
      </c>
      <c r="P392" s="7">
        <v>12.1</v>
      </c>
      <c r="Q392" s="4">
        <v>31</v>
      </c>
      <c r="R392" s="7">
        <v>884</v>
      </c>
      <c r="S392" s="7">
        <v>22.1</v>
      </c>
    </row>
    <row r="393" spans="1:19" ht="13.5" thickBot="1" x14ac:dyDescent="0.25">
      <c r="A393" s="2" t="s">
        <v>815</v>
      </c>
      <c r="B393" s="1" t="s">
        <v>814</v>
      </c>
      <c r="C393" s="2" t="s">
        <v>60</v>
      </c>
      <c r="D393" s="4">
        <v>71755</v>
      </c>
      <c r="E393" s="77">
        <v>18</v>
      </c>
      <c r="F393" s="7">
        <v>574</v>
      </c>
      <c r="G393" s="7">
        <v>14.35</v>
      </c>
      <c r="H393" s="77">
        <v>2</v>
      </c>
      <c r="I393" s="7">
        <v>63</v>
      </c>
      <c r="J393" s="7">
        <v>1.575</v>
      </c>
      <c r="K393" s="4">
        <v>20</v>
      </c>
      <c r="L393" s="7">
        <v>636</v>
      </c>
      <c r="M393" s="7">
        <v>15.9</v>
      </c>
      <c r="N393" s="4">
        <v>52</v>
      </c>
      <c r="O393" s="7">
        <v>840</v>
      </c>
      <c r="P393" s="7">
        <v>21</v>
      </c>
      <c r="Q393" s="4">
        <v>72</v>
      </c>
      <c r="R393" s="7">
        <v>1476</v>
      </c>
      <c r="S393" s="7">
        <v>36.9</v>
      </c>
    </row>
    <row r="394" spans="1:19" ht="13.5" thickBot="1" x14ac:dyDescent="0.25">
      <c r="A394" s="2" t="s">
        <v>835</v>
      </c>
      <c r="B394" s="1" t="s">
        <v>834</v>
      </c>
      <c r="C394" s="2" t="s">
        <v>60</v>
      </c>
      <c r="D394" s="4">
        <v>89779</v>
      </c>
      <c r="E394" s="77">
        <v>11</v>
      </c>
      <c r="F394" s="7">
        <v>440</v>
      </c>
      <c r="G394" s="7">
        <v>11</v>
      </c>
      <c r="H394" s="77">
        <v>8</v>
      </c>
      <c r="I394" s="7">
        <v>320</v>
      </c>
      <c r="J394" s="7">
        <v>8</v>
      </c>
      <c r="K394" s="4">
        <v>19</v>
      </c>
      <c r="L394" s="7">
        <v>760</v>
      </c>
      <c r="M394" s="7">
        <v>19</v>
      </c>
      <c r="N394" s="4">
        <v>53</v>
      </c>
      <c r="O394" s="7">
        <v>1132</v>
      </c>
      <c r="P394" s="7">
        <v>28.3</v>
      </c>
      <c r="Q394" s="4">
        <v>72</v>
      </c>
      <c r="R394" s="7">
        <v>1892</v>
      </c>
      <c r="S394" s="7">
        <v>47.3</v>
      </c>
    </row>
    <row r="395" spans="1:19" ht="13.5" thickBot="1" x14ac:dyDescent="0.25">
      <c r="A395" s="2" t="s">
        <v>837</v>
      </c>
      <c r="B395" s="1" t="s">
        <v>836</v>
      </c>
      <c r="C395" s="2" t="s">
        <v>60</v>
      </c>
      <c r="D395" s="4">
        <v>84094</v>
      </c>
      <c r="E395" s="77">
        <v>13</v>
      </c>
      <c r="F395" s="7">
        <v>516</v>
      </c>
      <c r="G395" s="7">
        <v>12.9</v>
      </c>
      <c r="H395" s="77">
        <v>0</v>
      </c>
      <c r="I395" s="7">
        <v>0</v>
      </c>
      <c r="J395" s="7">
        <v>0</v>
      </c>
      <c r="K395" s="4">
        <v>13</v>
      </c>
      <c r="L395" s="7">
        <v>516</v>
      </c>
      <c r="M395" s="7">
        <v>12.9</v>
      </c>
      <c r="N395" s="4">
        <v>30</v>
      </c>
      <c r="O395" s="7">
        <v>961</v>
      </c>
      <c r="P395" s="7">
        <v>24.024999999999999</v>
      </c>
      <c r="Q395" s="4">
        <v>43</v>
      </c>
      <c r="R395" s="7">
        <v>1477</v>
      </c>
      <c r="S395" s="7">
        <v>36.924999999999997</v>
      </c>
    </row>
    <row r="396" spans="1:19" ht="13.5" thickBot="1" x14ac:dyDescent="0.25">
      <c r="A396" s="2" t="s">
        <v>843</v>
      </c>
      <c r="B396" s="114" t="s">
        <v>842</v>
      </c>
      <c r="C396" s="2" t="s">
        <v>60</v>
      </c>
      <c r="D396" s="4">
        <v>82974</v>
      </c>
      <c r="E396" s="4">
        <v>19</v>
      </c>
      <c r="F396" s="7">
        <v>740</v>
      </c>
      <c r="G396" s="7">
        <v>18.5</v>
      </c>
      <c r="H396" s="77">
        <v>0</v>
      </c>
      <c r="I396" s="7">
        <v>0</v>
      </c>
      <c r="J396" s="7">
        <v>0</v>
      </c>
      <c r="K396" s="4">
        <v>19</v>
      </c>
      <c r="L396" s="7">
        <v>740</v>
      </c>
      <c r="M396" s="7">
        <v>18.5</v>
      </c>
      <c r="N396" s="4">
        <v>41</v>
      </c>
      <c r="O396" s="7">
        <v>1052</v>
      </c>
      <c r="P396" s="7">
        <v>26.3</v>
      </c>
      <c r="Q396" s="4">
        <v>60</v>
      </c>
      <c r="R396" s="7">
        <v>1792</v>
      </c>
      <c r="S396" s="7">
        <v>44.8</v>
      </c>
    </row>
    <row r="397" spans="1:19" ht="18.75" thickBot="1" x14ac:dyDescent="0.3">
      <c r="B397" s="222" t="s">
        <v>2623</v>
      </c>
      <c r="C397" s="163">
        <f>SUBTOTAL(103, Table10[Library Class])</f>
        <v>393</v>
      </c>
    </row>
    <row r="398" spans="1:19" ht="15.75" thickBot="1" x14ac:dyDescent="0.3">
      <c r="C398" s="180" t="s">
        <v>2624</v>
      </c>
      <c r="D398" s="174">
        <f>SUBTOTAL(109,Table10[Total Population Served])</f>
        <v>9843022</v>
      </c>
      <c r="E398" s="175">
        <f>SUBTOTAL(109,Table10[Number of ALA-MLS Librarians])</f>
        <v>1605</v>
      </c>
      <c r="F398" s="175">
        <f>SUBTOTAL(109,Table10[Total Hours per Week worked by ALA-MLS Librarians])</f>
        <v>51846.93</v>
      </c>
      <c r="G398" s="175">
        <f>SUBTOTAL(109,Table10[ALA-MLS FTE (40 Hours/wk)])</f>
        <v>1296.1732499999998</v>
      </c>
      <c r="H398" s="175">
        <f>SUBTOTAL(109,Table10[Number of Other Librarians])</f>
        <v>789</v>
      </c>
      <c r="I398" s="175">
        <f>SUBTOTAL(109,Table10[Total Hours per Week worked by Other Librarians])</f>
        <v>21767.019999999997</v>
      </c>
      <c r="J398" s="175">
        <f>SUBTOTAL(109,Table10[Other Librarians FTE (40 Hours/wk)])</f>
        <v>544.17549999999972</v>
      </c>
      <c r="K398" s="175">
        <f>SUBTOTAL(109,Table10[Number of Total Librarians])</f>
        <v>2374</v>
      </c>
      <c r="L398" s="175">
        <f>SUBTOTAL(109,Table10[Total Hours per Week worked by Total Librarians])</f>
        <v>73200.450000000012</v>
      </c>
      <c r="M398" s="175">
        <f>SUBTOTAL(109,Table10[Total Librarians FTE (40 Hours/wk)])</f>
        <v>1830.0112500000007</v>
      </c>
      <c r="N398" s="175">
        <f>SUBTOTAL(109,Table10[Number of All Other Paid Staff])</f>
        <v>5695</v>
      </c>
      <c r="O398" s="175">
        <f>SUBTOTAL(109,Table10[Total Hours per Week worked by All Other Paid Staff])</f>
        <v>121371.90000000001</v>
      </c>
      <c r="P398" s="175">
        <f>SUBTOTAL(109,Table10[All Other Paid Staff FTE (40 Hours/wk)])</f>
        <v>3034.2975000000001</v>
      </c>
      <c r="Q398" s="175">
        <f>SUBTOTAL(109,Table10[Number of Total Paid Employees])</f>
        <v>8112</v>
      </c>
      <c r="R398" s="175">
        <f>SUBTOTAL(109,Table10[Total Hours per Week worked by Total Paid Employees])</f>
        <v>194572.35</v>
      </c>
      <c r="S398" s="176">
        <f>SUBTOTAL(109,Table10[Total Paid Employees FTE (40 Hours/wk)])</f>
        <v>4864.3087500000001</v>
      </c>
    </row>
    <row r="399" spans="1:19" ht="15.75" thickBot="1" x14ac:dyDescent="0.3">
      <c r="C399" s="180" t="s">
        <v>2625</v>
      </c>
      <c r="D399" s="177">
        <f>SUBTOTAL(101,Table10[Total Population Served])</f>
        <v>25045.857506361324</v>
      </c>
      <c r="E399" s="178">
        <f>SUBTOTAL(101,Table10[Number of ALA-MLS Librarians])</f>
        <v>4.0839694656488552</v>
      </c>
      <c r="F399" s="178">
        <f>SUBTOTAL(101,Table10[Total Hours per Week worked by ALA-MLS Librarians])</f>
        <v>132.26257653061225</v>
      </c>
      <c r="G399" s="178">
        <f>SUBTOTAL(101,Table10[ALA-MLS FTE (40 Hours/wk)])</f>
        <v>3.3065644132653058</v>
      </c>
      <c r="H399" s="178">
        <f>SUBTOTAL(101,Table10[Number of Other Librarians])</f>
        <v>2.0127551020408165</v>
      </c>
      <c r="I399" s="178">
        <f>SUBTOTAL(101,Table10[Total Hours per Week worked by Other Librarians])</f>
        <v>55.670127877237846</v>
      </c>
      <c r="J399" s="178">
        <f>SUBTOTAL(101,Table10[Other Librarians FTE (40 Hours/wk)])</f>
        <v>1.3917531969309456</v>
      </c>
      <c r="K399" s="178">
        <f>SUBTOTAL(101,Table10[Number of Total Librarians])</f>
        <v>6.0407124681933846</v>
      </c>
      <c r="L399" s="178">
        <f>SUBTOTAL(101,Table10[Total Hours per Week worked by Total Librarians])</f>
        <v>187.21342710997445</v>
      </c>
      <c r="M399" s="178">
        <f>SUBTOTAL(101,Table10[Total Librarians FTE (40 Hours/wk)])</f>
        <v>4.6803356777493628</v>
      </c>
      <c r="N399" s="178">
        <f>SUBTOTAL(101,Table10[Number of All Other Paid Staff])</f>
        <v>14.565217391304348</v>
      </c>
      <c r="O399" s="178">
        <f>SUBTOTAL(101,Table10[Total Hours per Week worked by All Other Paid Staff])</f>
        <v>310.41406649616368</v>
      </c>
      <c r="P399" s="178">
        <f>SUBTOTAL(101,Table10[All Other Paid Staff FTE (40 Hours/wk)])</f>
        <v>7.7603516624040925</v>
      </c>
      <c r="Q399" s="178">
        <f>SUBTOTAL(101,Table10[Number of Total Paid Employees])</f>
        <v>20.641221374045802</v>
      </c>
      <c r="R399" s="178">
        <f>SUBTOTAL(101,Table10[Total Hours per Week worked by Total Paid Employees])</f>
        <v>497.6274936061381</v>
      </c>
      <c r="S399" s="179">
        <f>SUBTOTAL(101,Table10[Total Paid Employees FTE (40 Hours/wk)])</f>
        <v>12.440687340153453</v>
      </c>
    </row>
  </sheetData>
  <sortState xmlns:xlrd2="http://schemas.microsoft.com/office/spreadsheetml/2017/richdata2" ref="B4:S396">
    <sortCondition ref="C4:C396"/>
    <sortCondition ref="B4:B396"/>
  </sortState>
  <hyperlinks>
    <hyperlink ref="G1" location="'Table of Contents'!A1" display="Return to Table of Contents" xr:uid="{2D713B3F-8EAD-4553-BE75-12CA58ACFC1E}"/>
  </hyperlink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A568D2"/>
  </sheetPr>
  <dimension ref="A1:S424"/>
  <sheetViews>
    <sheetView zoomScaleNormal="100" workbookViewId="0">
      <pane ySplit="3" topLeftCell="A4" activePane="bottomLeft" state="frozen"/>
      <selection activeCell="N42" sqref="N42"/>
      <selection pane="bottomLeft" activeCell="C1" sqref="C1"/>
    </sheetView>
  </sheetViews>
  <sheetFormatPr defaultRowHeight="12.75" x14ac:dyDescent="0.2"/>
  <cols>
    <col min="2" max="2" width="46.5703125" bestFit="1" customWidth="1"/>
    <col min="3" max="3" width="25.5703125" bestFit="1" customWidth="1"/>
    <col min="4" max="4" width="18.7109375" customWidth="1"/>
    <col min="5" max="5" width="13.28515625" customWidth="1"/>
    <col min="6" max="6" width="16.42578125" customWidth="1"/>
    <col min="7" max="7" width="9.5703125" customWidth="1"/>
    <col min="8" max="9" width="10.28515625" customWidth="1"/>
    <col min="10" max="10" width="10.7109375" customWidth="1"/>
    <col min="11" max="11" width="10.28515625" customWidth="1"/>
    <col min="12" max="12" width="9.85546875" customWidth="1"/>
    <col min="13" max="13" width="8.42578125" customWidth="1"/>
    <col min="14" max="14" width="10.140625" customWidth="1"/>
    <col min="15" max="15" width="14.28515625" customWidth="1"/>
    <col min="16" max="16" width="9.42578125" customWidth="1"/>
    <col min="17" max="17" width="14.42578125" customWidth="1"/>
    <col min="18" max="18" width="10.7109375" customWidth="1"/>
    <col min="19" max="19" width="11.42578125" customWidth="1"/>
  </cols>
  <sheetData>
    <row r="1" spans="1:19" ht="18.75" x14ac:dyDescent="0.3">
      <c r="B1" s="312" t="s">
        <v>3576</v>
      </c>
      <c r="D1" s="310" t="s">
        <v>3578</v>
      </c>
      <c r="G1" s="8" t="s">
        <v>1844</v>
      </c>
      <c r="J1" s="311"/>
    </row>
    <row r="3" spans="1:19" s="5" customFormat="1" ht="64.150000000000006" customHeight="1" thickBot="1" x14ac:dyDescent="0.25">
      <c r="A3" s="74" t="s">
        <v>1</v>
      </c>
      <c r="B3" s="74" t="s">
        <v>0</v>
      </c>
      <c r="C3" s="74" t="s">
        <v>4</v>
      </c>
      <c r="D3" s="74" t="s">
        <v>1807</v>
      </c>
      <c r="E3" s="74" t="s">
        <v>1808</v>
      </c>
      <c r="F3" s="74" t="s">
        <v>1809</v>
      </c>
      <c r="G3" s="74" t="s">
        <v>1810</v>
      </c>
      <c r="H3" s="74" t="s">
        <v>1811</v>
      </c>
      <c r="I3" s="74" t="s">
        <v>1812</v>
      </c>
      <c r="J3" s="74" t="s">
        <v>1813</v>
      </c>
      <c r="K3" s="74" t="s">
        <v>1814</v>
      </c>
      <c r="L3" s="74" t="s">
        <v>1815</v>
      </c>
      <c r="M3" s="74" t="s">
        <v>1816</v>
      </c>
      <c r="N3" s="74" t="s">
        <v>1817</v>
      </c>
      <c r="O3" s="74" t="s">
        <v>1818</v>
      </c>
      <c r="P3" s="74" t="s">
        <v>1819</v>
      </c>
      <c r="Q3" s="74" t="s">
        <v>1820</v>
      </c>
      <c r="R3" s="74" t="s">
        <v>1821</v>
      </c>
      <c r="S3" s="74" t="s">
        <v>1822</v>
      </c>
    </row>
    <row r="4" spans="1:19" ht="13.5" thickBot="1" x14ac:dyDescent="0.25">
      <c r="A4" s="2" t="s">
        <v>40</v>
      </c>
      <c r="B4" s="1" t="s">
        <v>39</v>
      </c>
      <c r="C4" s="2" t="s">
        <v>19</v>
      </c>
      <c r="D4" s="78" t="s">
        <v>973</v>
      </c>
      <c r="E4" s="6">
        <v>21800</v>
      </c>
      <c r="F4" s="6">
        <v>44800</v>
      </c>
      <c r="G4" s="77">
        <v>40</v>
      </c>
      <c r="H4" s="172" t="s">
        <v>873</v>
      </c>
      <c r="I4" s="172" t="s">
        <v>873</v>
      </c>
      <c r="J4" s="172" t="s">
        <v>873</v>
      </c>
      <c r="K4" s="172" t="s">
        <v>873</v>
      </c>
      <c r="L4" s="172" t="s">
        <v>872</v>
      </c>
      <c r="M4" s="172" t="s">
        <v>872</v>
      </c>
      <c r="N4" s="172" t="s">
        <v>872</v>
      </c>
      <c r="O4" s="172" t="s">
        <v>872</v>
      </c>
      <c r="P4" s="172" t="s">
        <v>872</v>
      </c>
      <c r="Q4" s="172" t="s">
        <v>873</v>
      </c>
      <c r="R4" s="172" t="s">
        <v>873</v>
      </c>
      <c r="S4" s="172" t="s">
        <v>873</v>
      </c>
    </row>
    <row r="5" spans="1:19" ht="13.5" thickBot="1" x14ac:dyDescent="0.25">
      <c r="A5" s="2" t="s">
        <v>64</v>
      </c>
      <c r="B5" s="1" t="s">
        <v>63</v>
      </c>
      <c r="C5" s="2" t="s">
        <v>19</v>
      </c>
      <c r="D5" s="2" t="s">
        <v>973</v>
      </c>
      <c r="E5" s="6">
        <v>16000</v>
      </c>
      <c r="F5" s="6">
        <v>25000</v>
      </c>
      <c r="G5" s="77">
        <v>25</v>
      </c>
      <c r="H5" s="172" t="s">
        <v>873</v>
      </c>
      <c r="I5" s="172" t="s">
        <v>873</v>
      </c>
      <c r="J5" s="172" t="s">
        <v>873</v>
      </c>
      <c r="K5" s="172" t="s">
        <v>873</v>
      </c>
      <c r="L5" s="172" t="s">
        <v>872</v>
      </c>
      <c r="M5" s="172" t="s">
        <v>872</v>
      </c>
      <c r="N5" s="172" t="s">
        <v>872</v>
      </c>
      <c r="O5" s="172" t="s">
        <v>872</v>
      </c>
      <c r="P5" s="172" t="s">
        <v>872</v>
      </c>
      <c r="Q5" s="172" t="s">
        <v>873</v>
      </c>
      <c r="R5" s="172" t="s">
        <v>873</v>
      </c>
      <c r="S5" s="172" t="s">
        <v>872</v>
      </c>
    </row>
    <row r="6" spans="1:19" ht="13.5" thickBot="1" x14ac:dyDescent="0.25">
      <c r="A6" s="2" t="s">
        <v>88</v>
      </c>
      <c r="B6" s="1" t="s">
        <v>87</v>
      </c>
      <c r="C6" s="2" t="s">
        <v>19</v>
      </c>
      <c r="D6" s="2" t="s">
        <v>973</v>
      </c>
      <c r="E6" s="6">
        <v>42000</v>
      </c>
      <c r="F6" s="6">
        <v>45000</v>
      </c>
      <c r="G6" s="77">
        <v>35</v>
      </c>
      <c r="H6" s="172" t="s">
        <v>872</v>
      </c>
      <c r="I6" s="172" t="s">
        <v>872</v>
      </c>
      <c r="J6" s="172" t="s">
        <v>873</v>
      </c>
      <c r="K6" s="172" t="s">
        <v>873</v>
      </c>
      <c r="L6" s="172" t="s">
        <v>873</v>
      </c>
      <c r="M6" s="172" t="s">
        <v>872</v>
      </c>
      <c r="N6" s="172" t="s">
        <v>872</v>
      </c>
      <c r="O6" s="172" t="s">
        <v>873</v>
      </c>
      <c r="P6" s="172" t="s">
        <v>872</v>
      </c>
      <c r="Q6" s="172" t="s">
        <v>873</v>
      </c>
      <c r="R6" s="172" t="s">
        <v>873</v>
      </c>
      <c r="S6" s="172" t="s">
        <v>873</v>
      </c>
    </row>
    <row r="7" spans="1:19" ht="13.5" thickBot="1" x14ac:dyDescent="0.25">
      <c r="A7" s="2" t="s">
        <v>90</v>
      </c>
      <c r="B7" s="1" t="s">
        <v>89</v>
      </c>
      <c r="C7" s="2" t="s">
        <v>19</v>
      </c>
      <c r="D7" s="2" t="s">
        <v>1825</v>
      </c>
      <c r="E7" s="6">
        <v>25000</v>
      </c>
      <c r="F7" s="6">
        <v>36000</v>
      </c>
      <c r="G7" s="77">
        <v>40</v>
      </c>
      <c r="H7" s="172" t="s">
        <v>873</v>
      </c>
      <c r="I7" s="172" t="s">
        <v>873</v>
      </c>
      <c r="J7" s="172" t="s">
        <v>873</v>
      </c>
      <c r="K7" s="172" t="s">
        <v>873</v>
      </c>
      <c r="L7" s="172" t="s">
        <v>873</v>
      </c>
      <c r="M7" s="172" t="s">
        <v>873</v>
      </c>
      <c r="N7" s="172" t="s">
        <v>872</v>
      </c>
      <c r="O7" s="172" t="s">
        <v>872</v>
      </c>
      <c r="P7" s="172" t="s">
        <v>872</v>
      </c>
      <c r="Q7" s="172" t="s">
        <v>873</v>
      </c>
      <c r="R7" s="172" t="s">
        <v>873</v>
      </c>
      <c r="S7" s="172" t="s">
        <v>873</v>
      </c>
    </row>
    <row r="8" spans="1:19" ht="13.5" thickBot="1" x14ac:dyDescent="0.25">
      <c r="A8" s="2" t="s">
        <v>94</v>
      </c>
      <c r="B8" s="1" t="s">
        <v>93</v>
      </c>
      <c r="C8" s="2" t="s">
        <v>19</v>
      </c>
      <c r="D8" s="2" t="s">
        <v>973</v>
      </c>
      <c r="E8" s="6">
        <v>8400</v>
      </c>
      <c r="F8" s="6">
        <v>17000</v>
      </c>
      <c r="G8" s="77">
        <v>25</v>
      </c>
      <c r="H8" s="172" t="s">
        <v>873</v>
      </c>
      <c r="I8" s="172" t="s">
        <v>873</v>
      </c>
      <c r="J8" s="172" t="s">
        <v>873</v>
      </c>
      <c r="K8" s="172" t="s">
        <v>873</v>
      </c>
      <c r="L8" s="172" t="s">
        <v>873</v>
      </c>
      <c r="M8" s="172" t="s">
        <v>872</v>
      </c>
      <c r="N8" s="172" t="s">
        <v>872</v>
      </c>
      <c r="O8" s="172" t="s">
        <v>872</v>
      </c>
      <c r="P8" s="172" t="s">
        <v>872</v>
      </c>
      <c r="Q8" s="172" t="s">
        <v>873</v>
      </c>
      <c r="R8" s="172" t="s">
        <v>873</v>
      </c>
      <c r="S8" s="172" t="s">
        <v>873</v>
      </c>
    </row>
    <row r="9" spans="1:19" ht="13.5" thickBot="1" x14ac:dyDescent="0.25">
      <c r="A9" s="2" t="s">
        <v>98</v>
      </c>
      <c r="B9" s="1" t="s">
        <v>97</v>
      </c>
      <c r="C9" s="2" t="s">
        <v>19</v>
      </c>
      <c r="D9" s="2" t="s">
        <v>1823</v>
      </c>
      <c r="E9" s="6">
        <v>88026</v>
      </c>
      <c r="F9" s="6">
        <v>88026</v>
      </c>
      <c r="G9" s="4">
        <v>38</v>
      </c>
      <c r="H9" s="172" t="s">
        <v>872</v>
      </c>
      <c r="I9" s="172" t="s">
        <v>873</v>
      </c>
      <c r="J9" s="172" t="s">
        <v>873</v>
      </c>
      <c r="K9" s="172" t="s">
        <v>873</v>
      </c>
      <c r="L9" s="172" t="s">
        <v>872</v>
      </c>
      <c r="M9" s="172" t="s">
        <v>872</v>
      </c>
      <c r="N9" s="172" t="s">
        <v>872</v>
      </c>
      <c r="O9" s="172" t="s">
        <v>873</v>
      </c>
      <c r="P9" s="172" t="s">
        <v>872</v>
      </c>
      <c r="Q9" s="172" t="s">
        <v>873</v>
      </c>
      <c r="R9" s="172" t="s">
        <v>872</v>
      </c>
      <c r="S9" s="172" t="s">
        <v>873</v>
      </c>
    </row>
    <row r="10" spans="1:19" ht="13.5" thickBot="1" x14ac:dyDescent="0.25">
      <c r="A10" s="2" t="s">
        <v>100</v>
      </c>
      <c r="B10" s="1" t="s">
        <v>99</v>
      </c>
      <c r="C10" s="2" t="s">
        <v>19</v>
      </c>
      <c r="D10" s="2" t="s">
        <v>1825</v>
      </c>
      <c r="E10" s="6">
        <v>28288</v>
      </c>
      <c r="F10" s="6">
        <v>28288</v>
      </c>
      <c r="G10" s="4">
        <v>32</v>
      </c>
      <c r="H10" s="172" t="s">
        <v>873</v>
      </c>
      <c r="I10" s="172" t="s">
        <v>873</v>
      </c>
      <c r="J10" s="172" t="s">
        <v>873</v>
      </c>
      <c r="K10" s="172" t="s">
        <v>873</v>
      </c>
      <c r="L10" s="172" t="s">
        <v>873</v>
      </c>
      <c r="M10" s="172" t="s">
        <v>872</v>
      </c>
      <c r="N10" s="172" t="s">
        <v>872</v>
      </c>
      <c r="O10" s="172" t="s">
        <v>873</v>
      </c>
      <c r="P10" s="172" t="s">
        <v>872</v>
      </c>
      <c r="Q10" s="172" t="s">
        <v>873</v>
      </c>
      <c r="R10" s="172" t="s">
        <v>873</v>
      </c>
      <c r="S10" s="172" t="s">
        <v>873</v>
      </c>
    </row>
    <row r="11" spans="1:19" ht="13.5" thickBot="1" x14ac:dyDescent="0.25">
      <c r="A11" s="2" t="s">
        <v>108</v>
      </c>
      <c r="B11" s="1" t="s">
        <v>107</v>
      </c>
      <c r="C11" s="2" t="s">
        <v>19</v>
      </c>
      <c r="D11" s="2" t="s">
        <v>1825</v>
      </c>
      <c r="E11" s="6">
        <v>24842</v>
      </c>
      <c r="F11" s="6">
        <v>24842</v>
      </c>
      <c r="G11" s="4">
        <v>25</v>
      </c>
      <c r="H11" s="172" t="s">
        <v>873</v>
      </c>
      <c r="I11" s="172" t="s">
        <v>873</v>
      </c>
      <c r="J11" s="172" t="s">
        <v>873</v>
      </c>
      <c r="K11" s="172" t="s">
        <v>873</v>
      </c>
      <c r="L11" s="172" t="s">
        <v>873</v>
      </c>
      <c r="M11" s="172" t="s">
        <v>873</v>
      </c>
      <c r="N11" s="172" t="s">
        <v>872</v>
      </c>
      <c r="O11" s="172" t="s">
        <v>872</v>
      </c>
      <c r="P11" s="172" t="s">
        <v>872</v>
      </c>
      <c r="Q11" s="172" t="s">
        <v>873</v>
      </c>
      <c r="R11" s="172" t="s">
        <v>873</v>
      </c>
      <c r="S11" s="172" t="s">
        <v>873</v>
      </c>
    </row>
    <row r="12" spans="1:19" ht="13.5" thickBot="1" x14ac:dyDescent="0.25">
      <c r="A12" s="2" t="s">
        <v>138</v>
      </c>
      <c r="B12" s="1" t="s">
        <v>137</v>
      </c>
      <c r="C12" s="2" t="s">
        <v>19</v>
      </c>
      <c r="D12" s="2" t="s">
        <v>1825</v>
      </c>
      <c r="E12" s="6">
        <v>13952</v>
      </c>
      <c r="F12" s="6">
        <v>17952</v>
      </c>
      <c r="G12" s="4">
        <v>18</v>
      </c>
      <c r="H12" s="172" t="s">
        <v>873</v>
      </c>
      <c r="I12" s="172" t="s">
        <v>873</v>
      </c>
      <c r="J12" s="172" t="s">
        <v>873</v>
      </c>
      <c r="K12" s="172" t="s">
        <v>873</v>
      </c>
      <c r="L12" s="172" t="s">
        <v>873</v>
      </c>
      <c r="M12" s="172" t="s">
        <v>873</v>
      </c>
      <c r="N12" s="172" t="s">
        <v>873</v>
      </c>
      <c r="O12" s="172" t="s">
        <v>873</v>
      </c>
      <c r="P12" s="172" t="s">
        <v>873</v>
      </c>
      <c r="Q12" s="172" t="s">
        <v>873</v>
      </c>
      <c r="R12" s="172" t="s">
        <v>873</v>
      </c>
      <c r="S12" s="172" t="s">
        <v>873</v>
      </c>
    </row>
    <row r="13" spans="1:19" ht="13.5" thickBot="1" x14ac:dyDescent="0.25">
      <c r="A13" s="2" t="s">
        <v>154</v>
      </c>
      <c r="B13" s="1" t="s">
        <v>153</v>
      </c>
      <c r="C13" s="2" t="s">
        <v>19</v>
      </c>
      <c r="D13" s="2" t="s">
        <v>1825</v>
      </c>
      <c r="E13" s="6">
        <v>10140</v>
      </c>
      <c r="F13" s="6">
        <v>14000</v>
      </c>
      <c r="G13" s="4">
        <v>20</v>
      </c>
      <c r="H13" s="172" t="s">
        <v>873</v>
      </c>
      <c r="I13" s="172" t="s">
        <v>873</v>
      </c>
      <c r="J13" s="172" t="s">
        <v>873</v>
      </c>
      <c r="K13" s="172" t="s">
        <v>873</v>
      </c>
      <c r="L13" s="172" t="s">
        <v>873</v>
      </c>
      <c r="M13" s="172" t="s">
        <v>873</v>
      </c>
      <c r="N13" s="172" t="s">
        <v>872</v>
      </c>
      <c r="O13" s="172" t="s">
        <v>873</v>
      </c>
      <c r="P13" s="172" t="s">
        <v>872</v>
      </c>
      <c r="Q13" s="172" t="s">
        <v>873</v>
      </c>
      <c r="R13" s="172" t="s">
        <v>873</v>
      </c>
      <c r="S13" s="172" t="s">
        <v>873</v>
      </c>
    </row>
    <row r="14" spans="1:19" ht="13.5" thickBot="1" x14ac:dyDescent="0.25">
      <c r="A14" s="2" t="s">
        <v>164</v>
      </c>
      <c r="B14" s="1" t="s">
        <v>163</v>
      </c>
      <c r="C14" s="2" t="s">
        <v>19</v>
      </c>
      <c r="D14" s="2" t="s">
        <v>1825</v>
      </c>
      <c r="E14" s="6">
        <v>33998</v>
      </c>
      <c r="F14" s="6">
        <v>38854</v>
      </c>
      <c r="G14" s="4">
        <v>37</v>
      </c>
      <c r="H14" s="172" t="s">
        <v>873</v>
      </c>
      <c r="I14" s="172" t="s">
        <v>873</v>
      </c>
      <c r="J14" s="172" t="s">
        <v>873</v>
      </c>
      <c r="K14" s="172" t="s">
        <v>873</v>
      </c>
      <c r="L14" s="172" t="s">
        <v>873</v>
      </c>
      <c r="M14" s="172" t="s">
        <v>872</v>
      </c>
      <c r="N14" s="172" t="s">
        <v>872</v>
      </c>
      <c r="O14" s="172" t="s">
        <v>873</v>
      </c>
      <c r="P14" s="172" t="s">
        <v>872</v>
      </c>
      <c r="Q14" s="172" t="s">
        <v>873</v>
      </c>
      <c r="R14" s="172" t="s">
        <v>873</v>
      </c>
      <c r="S14" s="172" t="s">
        <v>873</v>
      </c>
    </row>
    <row r="15" spans="1:19" ht="13.5" thickBot="1" x14ac:dyDescent="0.25">
      <c r="A15" s="2" t="s">
        <v>172</v>
      </c>
      <c r="B15" s="1" t="s">
        <v>171</v>
      </c>
      <c r="C15" s="2" t="s">
        <v>19</v>
      </c>
      <c r="D15" s="2" t="s">
        <v>1825</v>
      </c>
      <c r="E15" s="6">
        <v>14082</v>
      </c>
      <c r="F15" s="6">
        <v>19509</v>
      </c>
      <c r="G15" s="4">
        <v>35</v>
      </c>
      <c r="H15" s="172" t="s">
        <v>873</v>
      </c>
      <c r="I15" s="172" t="s">
        <v>873</v>
      </c>
      <c r="J15" s="172" t="s">
        <v>873</v>
      </c>
      <c r="K15" s="172" t="s">
        <v>873</v>
      </c>
      <c r="L15" s="172" t="s">
        <v>873</v>
      </c>
      <c r="M15" s="172" t="s">
        <v>873</v>
      </c>
      <c r="N15" s="172" t="s">
        <v>873</v>
      </c>
      <c r="O15" s="172" t="s">
        <v>873</v>
      </c>
      <c r="P15" s="172" t="s">
        <v>872</v>
      </c>
      <c r="Q15" s="172" t="s">
        <v>873</v>
      </c>
      <c r="R15" s="172" t="s">
        <v>873</v>
      </c>
      <c r="S15" s="172" t="s">
        <v>873</v>
      </c>
    </row>
    <row r="16" spans="1:19" ht="13.5" thickBot="1" x14ac:dyDescent="0.25">
      <c r="A16" s="2" t="s">
        <v>184</v>
      </c>
      <c r="B16" s="1" t="s">
        <v>183</v>
      </c>
      <c r="C16" s="2" t="s">
        <v>19</v>
      </c>
      <c r="D16" s="2" t="s">
        <v>1824</v>
      </c>
      <c r="E16" s="6">
        <v>30000</v>
      </c>
      <c r="F16" s="6">
        <v>60000</v>
      </c>
      <c r="G16" s="4">
        <v>40</v>
      </c>
      <c r="H16" s="172" t="s">
        <v>873</v>
      </c>
      <c r="I16" s="172" t="s">
        <v>873</v>
      </c>
      <c r="J16" s="172" t="s">
        <v>873</v>
      </c>
      <c r="K16" s="172" t="s">
        <v>873</v>
      </c>
      <c r="L16" s="172" t="s">
        <v>873</v>
      </c>
      <c r="M16" s="172" t="s">
        <v>872</v>
      </c>
      <c r="N16" s="172" t="s">
        <v>872</v>
      </c>
      <c r="O16" s="172" t="s">
        <v>872</v>
      </c>
      <c r="P16" s="172" t="s">
        <v>872</v>
      </c>
      <c r="Q16" s="172" t="s">
        <v>873</v>
      </c>
      <c r="R16" s="172" t="s">
        <v>873</v>
      </c>
      <c r="S16" s="172" t="s">
        <v>873</v>
      </c>
    </row>
    <row r="17" spans="1:19" ht="13.5" thickBot="1" x14ac:dyDescent="0.25">
      <c r="A17" s="2" t="s">
        <v>192</v>
      </c>
      <c r="B17" s="1" t="s">
        <v>191</v>
      </c>
      <c r="C17" s="2" t="s">
        <v>19</v>
      </c>
      <c r="D17" s="2" t="s">
        <v>1825</v>
      </c>
      <c r="E17" s="6">
        <v>30000</v>
      </c>
      <c r="F17" s="6">
        <v>30000</v>
      </c>
      <c r="G17" s="4">
        <v>32</v>
      </c>
      <c r="H17" s="172" t="s">
        <v>873</v>
      </c>
      <c r="I17" s="172" t="s">
        <v>873</v>
      </c>
      <c r="J17" s="172" t="s">
        <v>873</v>
      </c>
      <c r="K17" s="172" t="s">
        <v>873</v>
      </c>
      <c r="L17" s="172" t="s">
        <v>873</v>
      </c>
      <c r="M17" s="172" t="s">
        <v>872</v>
      </c>
      <c r="N17" s="172" t="s">
        <v>872</v>
      </c>
      <c r="O17" s="172" t="s">
        <v>872</v>
      </c>
      <c r="P17" s="172" t="s">
        <v>872</v>
      </c>
      <c r="Q17" s="172" t="s">
        <v>873</v>
      </c>
      <c r="R17" s="172" t="s">
        <v>873</v>
      </c>
      <c r="S17" s="172" t="s">
        <v>873</v>
      </c>
    </row>
    <row r="18" spans="1:19" ht="13.5" thickBot="1" x14ac:dyDescent="0.25">
      <c r="A18" s="2" t="s">
        <v>194</v>
      </c>
      <c r="B18" s="1" t="s">
        <v>193</v>
      </c>
      <c r="C18" s="2" t="s">
        <v>19</v>
      </c>
      <c r="D18" s="2" t="s">
        <v>1824</v>
      </c>
      <c r="E18" s="6">
        <v>12000</v>
      </c>
      <c r="F18" s="6">
        <v>22000</v>
      </c>
      <c r="G18" s="4">
        <v>26</v>
      </c>
      <c r="H18" s="172" t="s">
        <v>873</v>
      </c>
      <c r="I18" s="172" t="s">
        <v>873</v>
      </c>
      <c r="J18" s="172" t="s">
        <v>873</v>
      </c>
      <c r="K18" s="172" t="s">
        <v>873</v>
      </c>
      <c r="L18" s="172" t="s">
        <v>873</v>
      </c>
      <c r="M18" s="172" t="s">
        <v>873</v>
      </c>
      <c r="N18" s="172" t="s">
        <v>873</v>
      </c>
      <c r="O18" s="172" t="s">
        <v>873</v>
      </c>
      <c r="P18" s="172" t="s">
        <v>873</v>
      </c>
      <c r="Q18" s="172" t="s">
        <v>873</v>
      </c>
      <c r="R18" s="172" t="s">
        <v>873</v>
      </c>
      <c r="S18" s="172" t="s">
        <v>873</v>
      </c>
    </row>
    <row r="19" spans="1:19" ht="13.5" thickBot="1" x14ac:dyDescent="0.25">
      <c r="A19" s="2" t="s">
        <v>210</v>
      </c>
      <c r="B19" s="1" t="s">
        <v>209</v>
      </c>
      <c r="C19" s="2" t="s">
        <v>19</v>
      </c>
      <c r="D19" s="2" t="s">
        <v>1823</v>
      </c>
      <c r="E19" s="6">
        <v>37000</v>
      </c>
      <c r="F19" s="6">
        <v>38000</v>
      </c>
      <c r="G19" s="4">
        <v>41</v>
      </c>
      <c r="H19" s="172" t="s">
        <v>873</v>
      </c>
      <c r="I19" s="172" t="s">
        <v>873</v>
      </c>
      <c r="J19" s="172" t="s">
        <v>873</v>
      </c>
      <c r="K19" s="172" t="s">
        <v>873</v>
      </c>
      <c r="L19" s="172" t="s">
        <v>873</v>
      </c>
      <c r="M19" s="172" t="s">
        <v>873</v>
      </c>
      <c r="N19" s="172" t="s">
        <v>873</v>
      </c>
      <c r="O19" s="172" t="s">
        <v>872</v>
      </c>
      <c r="P19" s="172" t="s">
        <v>873</v>
      </c>
      <c r="Q19" s="172" t="s">
        <v>873</v>
      </c>
      <c r="R19" s="172" t="s">
        <v>873</v>
      </c>
      <c r="S19" s="172" t="s">
        <v>873</v>
      </c>
    </row>
    <row r="20" spans="1:19" ht="13.5" thickBot="1" x14ac:dyDescent="0.25">
      <c r="A20" s="2" t="s">
        <v>212</v>
      </c>
      <c r="B20" s="1" t="s">
        <v>211</v>
      </c>
      <c r="C20" s="2" t="s">
        <v>19</v>
      </c>
      <c r="D20" s="2" t="s">
        <v>1825</v>
      </c>
      <c r="E20" s="6">
        <v>19500</v>
      </c>
      <c r="F20" s="6">
        <v>23400</v>
      </c>
      <c r="G20" s="4">
        <v>25</v>
      </c>
      <c r="H20" s="172" t="s">
        <v>873</v>
      </c>
      <c r="I20" s="172" t="s">
        <v>873</v>
      </c>
      <c r="J20" s="172" t="s">
        <v>873</v>
      </c>
      <c r="K20" s="172" t="s">
        <v>873</v>
      </c>
      <c r="L20" s="172" t="s">
        <v>873</v>
      </c>
      <c r="M20" s="172" t="s">
        <v>873</v>
      </c>
      <c r="N20" s="172" t="s">
        <v>872</v>
      </c>
      <c r="O20" s="172" t="s">
        <v>873</v>
      </c>
      <c r="P20" s="172" t="s">
        <v>872</v>
      </c>
      <c r="Q20" s="172" t="s">
        <v>873</v>
      </c>
      <c r="R20" s="172" t="s">
        <v>873</v>
      </c>
      <c r="S20" s="172" t="s">
        <v>873</v>
      </c>
    </row>
    <row r="21" spans="1:19" ht="13.5" thickBot="1" x14ac:dyDescent="0.25">
      <c r="A21" s="2" t="s">
        <v>214</v>
      </c>
      <c r="B21" s="1" t="s">
        <v>213</v>
      </c>
      <c r="C21" s="2" t="s">
        <v>19</v>
      </c>
      <c r="D21" s="2" t="s">
        <v>1825</v>
      </c>
      <c r="E21" s="6">
        <v>28860</v>
      </c>
      <c r="F21" s="6">
        <v>33670</v>
      </c>
      <c r="G21" s="4">
        <v>30</v>
      </c>
      <c r="H21" s="172" t="s">
        <v>873</v>
      </c>
      <c r="I21" s="172" t="s">
        <v>873</v>
      </c>
      <c r="J21" s="172" t="s">
        <v>873</v>
      </c>
      <c r="K21" s="172" t="s">
        <v>873</v>
      </c>
      <c r="L21" s="172" t="s">
        <v>873</v>
      </c>
      <c r="M21" s="172" t="s">
        <v>873</v>
      </c>
      <c r="N21" s="172" t="s">
        <v>872</v>
      </c>
      <c r="O21" s="172" t="s">
        <v>873</v>
      </c>
      <c r="P21" s="172" t="s">
        <v>872</v>
      </c>
      <c r="Q21" s="172" t="s">
        <v>873</v>
      </c>
      <c r="R21" s="172" t="s">
        <v>873</v>
      </c>
      <c r="S21" s="172" t="s">
        <v>872</v>
      </c>
    </row>
    <row r="22" spans="1:19" ht="13.5" thickBot="1" x14ac:dyDescent="0.25">
      <c r="A22" s="2" t="s">
        <v>216</v>
      </c>
      <c r="B22" s="1" t="s">
        <v>215</v>
      </c>
      <c r="C22" s="2" t="s">
        <v>19</v>
      </c>
      <c r="D22" s="2" t="s">
        <v>973</v>
      </c>
      <c r="E22" s="6">
        <v>10834</v>
      </c>
      <c r="F22" s="6">
        <v>11084</v>
      </c>
      <c r="G22" s="4">
        <v>23</v>
      </c>
      <c r="H22" s="172" t="s">
        <v>873</v>
      </c>
      <c r="I22" s="172" t="s">
        <v>873</v>
      </c>
      <c r="J22" s="172" t="s">
        <v>873</v>
      </c>
      <c r="K22" s="172" t="s">
        <v>873</v>
      </c>
      <c r="L22" s="172" t="s">
        <v>873</v>
      </c>
      <c r="M22" s="172" t="s">
        <v>873</v>
      </c>
      <c r="N22" s="172" t="s">
        <v>873</v>
      </c>
      <c r="O22" s="172" t="s">
        <v>873</v>
      </c>
      <c r="P22" s="172" t="s">
        <v>873</v>
      </c>
      <c r="Q22" s="172" t="s">
        <v>873</v>
      </c>
      <c r="R22" s="172" t="s">
        <v>873</v>
      </c>
      <c r="S22" s="172" t="s">
        <v>873</v>
      </c>
    </row>
    <row r="23" spans="1:19" ht="13.5" thickBot="1" x14ac:dyDescent="0.25">
      <c r="A23" s="2" t="s">
        <v>219</v>
      </c>
      <c r="B23" s="1" t="s">
        <v>218</v>
      </c>
      <c r="C23" s="2" t="s">
        <v>19</v>
      </c>
      <c r="D23" s="2" t="s">
        <v>973</v>
      </c>
      <c r="E23" s="6">
        <v>30000</v>
      </c>
      <c r="F23" s="6">
        <v>32000</v>
      </c>
      <c r="G23" s="4">
        <v>38</v>
      </c>
      <c r="H23" s="172" t="s">
        <v>873</v>
      </c>
      <c r="I23" s="172" t="s">
        <v>873</v>
      </c>
      <c r="J23" s="172" t="s">
        <v>873</v>
      </c>
      <c r="K23" s="172" t="s">
        <v>873</v>
      </c>
      <c r="L23" s="172" t="s">
        <v>873</v>
      </c>
      <c r="M23" s="172" t="s">
        <v>872</v>
      </c>
      <c r="N23" s="172" t="s">
        <v>872</v>
      </c>
      <c r="O23" s="172" t="s">
        <v>873</v>
      </c>
      <c r="P23" s="172" t="s">
        <v>872</v>
      </c>
      <c r="Q23" s="172" t="s">
        <v>873</v>
      </c>
      <c r="R23" s="172" t="s">
        <v>873</v>
      </c>
      <c r="S23" s="172" t="s">
        <v>873</v>
      </c>
    </row>
    <row r="24" spans="1:19" ht="13.5" thickBot="1" x14ac:dyDescent="0.25">
      <c r="A24" s="2" t="s">
        <v>231</v>
      </c>
      <c r="B24" s="1" t="s">
        <v>230</v>
      </c>
      <c r="C24" s="2" t="s">
        <v>19</v>
      </c>
      <c r="D24" s="169" t="s">
        <v>16</v>
      </c>
      <c r="E24" s="6">
        <v>14000</v>
      </c>
      <c r="F24" s="6">
        <v>20000</v>
      </c>
      <c r="G24" s="4">
        <v>35</v>
      </c>
      <c r="H24" s="172" t="s">
        <v>872</v>
      </c>
      <c r="I24" s="172" t="s">
        <v>872</v>
      </c>
      <c r="J24" s="172" t="s">
        <v>872</v>
      </c>
      <c r="K24" s="172" t="s">
        <v>872</v>
      </c>
      <c r="L24" s="172" t="s">
        <v>872</v>
      </c>
      <c r="M24" s="172" t="s">
        <v>872</v>
      </c>
      <c r="N24" s="172" t="s">
        <v>872</v>
      </c>
      <c r="O24" s="172" t="s">
        <v>872</v>
      </c>
      <c r="P24" s="172" t="s">
        <v>872</v>
      </c>
      <c r="Q24" s="172" t="s">
        <v>873</v>
      </c>
      <c r="R24" s="172" t="s">
        <v>872</v>
      </c>
      <c r="S24" s="172" t="s">
        <v>873</v>
      </c>
    </row>
    <row r="25" spans="1:19" ht="13.5" thickBot="1" x14ac:dyDescent="0.25">
      <c r="A25" s="2" t="s">
        <v>267</v>
      </c>
      <c r="B25" s="1" t="s">
        <v>266</v>
      </c>
      <c r="C25" s="2" t="s">
        <v>19</v>
      </c>
      <c r="D25" s="2" t="s">
        <v>1825</v>
      </c>
      <c r="E25" s="6">
        <v>26318</v>
      </c>
      <c r="F25" s="6">
        <v>26318</v>
      </c>
      <c r="G25" s="4">
        <v>35</v>
      </c>
      <c r="H25" s="172" t="s">
        <v>873</v>
      </c>
      <c r="I25" s="172" t="s">
        <v>873</v>
      </c>
      <c r="J25" s="172" t="s">
        <v>873</v>
      </c>
      <c r="K25" s="172" t="s">
        <v>873</v>
      </c>
      <c r="L25" s="172" t="s">
        <v>873</v>
      </c>
      <c r="M25" s="172" t="s">
        <v>873</v>
      </c>
      <c r="N25" s="172" t="s">
        <v>872</v>
      </c>
      <c r="O25" s="172" t="s">
        <v>873</v>
      </c>
      <c r="P25" s="172" t="s">
        <v>872</v>
      </c>
      <c r="Q25" s="172" t="s">
        <v>873</v>
      </c>
      <c r="R25" s="172" t="s">
        <v>873</v>
      </c>
      <c r="S25" s="172" t="s">
        <v>873</v>
      </c>
    </row>
    <row r="26" spans="1:19" ht="13.5" thickBot="1" x14ac:dyDescent="0.25">
      <c r="A26" s="2" t="s">
        <v>269</v>
      </c>
      <c r="B26" s="1" t="s">
        <v>268</v>
      </c>
      <c r="C26" s="2" t="s">
        <v>19</v>
      </c>
      <c r="D26" s="2" t="s">
        <v>1825</v>
      </c>
      <c r="E26" s="6">
        <v>18000</v>
      </c>
      <c r="F26" s="6">
        <v>25000</v>
      </c>
      <c r="G26" s="4">
        <v>30</v>
      </c>
      <c r="H26" s="172" t="s">
        <v>873</v>
      </c>
      <c r="I26" s="172" t="s">
        <v>873</v>
      </c>
      <c r="J26" s="172" t="s">
        <v>873</v>
      </c>
      <c r="K26" s="172" t="s">
        <v>873</v>
      </c>
      <c r="L26" s="172" t="s">
        <v>873</v>
      </c>
      <c r="M26" s="172" t="s">
        <v>872</v>
      </c>
      <c r="N26" s="172" t="s">
        <v>872</v>
      </c>
      <c r="O26" s="172" t="s">
        <v>872</v>
      </c>
      <c r="P26" s="172" t="s">
        <v>872</v>
      </c>
      <c r="Q26" s="172" t="s">
        <v>873</v>
      </c>
      <c r="R26" s="172" t="s">
        <v>873</v>
      </c>
      <c r="S26" s="172" t="s">
        <v>873</v>
      </c>
    </row>
    <row r="27" spans="1:19" ht="13.5" thickBot="1" x14ac:dyDescent="0.25">
      <c r="A27" s="2" t="s">
        <v>275</v>
      </c>
      <c r="B27" s="1" t="s">
        <v>274</v>
      </c>
      <c r="C27" s="2" t="s">
        <v>19</v>
      </c>
      <c r="D27" s="2" t="s">
        <v>973</v>
      </c>
      <c r="E27" s="6">
        <v>44226</v>
      </c>
      <c r="F27" s="6">
        <v>44226</v>
      </c>
      <c r="G27" s="4">
        <v>30</v>
      </c>
      <c r="H27" s="172" t="s">
        <v>873</v>
      </c>
      <c r="I27" s="172" t="s">
        <v>873</v>
      </c>
      <c r="J27" s="172" t="s">
        <v>873</v>
      </c>
      <c r="K27" s="172" t="s">
        <v>873</v>
      </c>
      <c r="L27" s="172" t="s">
        <v>873</v>
      </c>
      <c r="M27" s="172" t="s">
        <v>872</v>
      </c>
      <c r="N27" s="172" t="s">
        <v>872</v>
      </c>
      <c r="O27" s="172" t="s">
        <v>872</v>
      </c>
      <c r="P27" s="172" t="s">
        <v>872</v>
      </c>
      <c r="Q27" s="172" t="s">
        <v>873</v>
      </c>
      <c r="R27" s="172" t="s">
        <v>873</v>
      </c>
      <c r="S27" s="172" t="s">
        <v>873</v>
      </c>
    </row>
    <row r="28" spans="1:19" ht="13.5" thickBot="1" x14ac:dyDescent="0.25">
      <c r="A28" s="2" t="s">
        <v>283</v>
      </c>
      <c r="B28" s="1" t="s">
        <v>282</v>
      </c>
      <c r="C28" s="2" t="s">
        <v>19</v>
      </c>
      <c r="D28" s="2" t="s">
        <v>1825</v>
      </c>
      <c r="E28" s="6">
        <v>25000</v>
      </c>
      <c r="F28" s="6">
        <v>36743</v>
      </c>
      <c r="G28" s="4">
        <v>35</v>
      </c>
      <c r="H28" s="172" t="s">
        <v>873</v>
      </c>
      <c r="I28" s="172" t="s">
        <v>873</v>
      </c>
      <c r="J28" s="172" t="s">
        <v>873</v>
      </c>
      <c r="K28" s="172" t="s">
        <v>873</v>
      </c>
      <c r="L28" s="172" t="s">
        <v>873</v>
      </c>
      <c r="M28" s="172" t="s">
        <v>873</v>
      </c>
      <c r="N28" s="172" t="s">
        <v>873</v>
      </c>
      <c r="O28" s="172" t="s">
        <v>872</v>
      </c>
      <c r="P28" s="172" t="s">
        <v>872</v>
      </c>
      <c r="Q28" s="172" t="s">
        <v>873</v>
      </c>
      <c r="R28" s="172" t="s">
        <v>873</v>
      </c>
      <c r="S28" s="172" t="s">
        <v>873</v>
      </c>
    </row>
    <row r="29" spans="1:19" ht="13.5" thickBot="1" x14ac:dyDescent="0.25">
      <c r="A29" s="2" t="s">
        <v>299</v>
      </c>
      <c r="B29" s="1" t="s">
        <v>298</v>
      </c>
      <c r="C29" s="2" t="s">
        <v>19</v>
      </c>
      <c r="D29" s="2" t="s">
        <v>1824</v>
      </c>
      <c r="E29" s="6">
        <v>47579</v>
      </c>
      <c r="F29" s="6">
        <v>49794</v>
      </c>
      <c r="G29" s="4">
        <v>29</v>
      </c>
      <c r="H29" s="172" t="s">
        <v>873</v>
      </c>
      <c r="I29" s="172" t="s">
        <v>873</v>
      </c>
      <c r="J29" s="172" t="s">
        <v>873</v>
      </c>
      <c r="K29" s="172" t="s">
        <v>873</v>
      </c>
      <c r="L29" s="172" t="s">
        <v>873</v>
      </c>
      <c r="M29" s="172" t="s">
        <v>873</v>
      </c>
      <c r="N29" s="172" t="s">
        <v>872</v>
      </c>
      <c r="O29" s="172" t="s">
        <v>872</v>
      </c>
      <c r="P29" s="172" t="s">
        <v>873</v>
      </c>
      <c r="Q29" s="172" t="s">
        <v>873</v>
      </c>
      <c r="R29" s="172" t="s">
        <v>873</v>
      </c>
      <c r="S29" s="172" t="s">
        <v>873</v>
      </c>
    </row>
    <row r="30" spans="1:19" ht="13.5" thickBot="1" x14ac:dyDescent="0.25">
      <c r="A30" s="2" t="s">
        <v>311</v>
      </c>
      <c r="B30" s="1" t="s">
        <v>310</v>
      </c>
      <c r="C30" s="2" t="s">
        <v>19</v>
      </c>
      <c r="D30" s="2" t="s">
        <v>1825</v>
      </c>
      <c r="E30" s="6">
        <v>35000</v>
      </c>
      <c r="F30" s="6">
        <v>37000</v>
      </c>
      <c r="G30" s="4">
        <v>40</v>
      </c>
      <c r="H30" s="172" t="s">
        <v>873</v>
      </c>
      <c r="I30" s="172" t="s">
        <v>873</v>
      </c>
      <c r="J30" s="172" t="s">
        <v>873</v>
      </c>
      <c r="K30" s="172" t="s">
        <v>873</v>
      </c>
      <c r="L30" s="172" t="s">
        <v>873</v>
      </c>
      <c r="M30" s="172" t="s">
        <v>872</v>
      </c>
      <c r="N30" s="172" t="s">
        <v>872</v>
      </c>
      <c r="O30" s="172" t="s">
        <v>873</v>
      </c>
      <c r="P30" s="172" t="s">
        <v>872</v>
      </c>
      <c r="Q30" s="172" t="s">
        <v>873</v>
      </c>
      <c r="R30" s="172" t="s">
        <v>873</v>
      </c>
      <c r="S30" s="172" t="s">
        <v>873</v>
      </c>
    </row>
    <row r="31" spans="1:19" ht="13.5" thickBot="1" x14ac:dyDescent="0.25">
      <c r="A31" s="2" t="s">
        <v>319</v>
      </c>
      <c r="B31" s="1" t="s">
        <v>318</v>
      </c>
      <c r="C31" s="2" t="s">
        <v>19</v>
      </c>
      <c r="D31" s="2" t="s">
        <v>1825</v>
      </c>
      <c r="E31" s="6">
        <v>19011</v>
      </c>
      <c r="F31" s="6">
        <v>19011</v>
      </c>
      <c r="G31" s="4">
        <v>22</v>
      </c>
      <c r="H31" s="172" t="s">
        <v>873</v>
      </c>
      <c r="I31" s="172" t="s">
        <v>873</v>
      </c>
      <c r="J31" s="172" t="s">
        <v>873</v>
      </c>
      <c r="K31" s="172" t="s">
        <v>873</v>
      </c>
      <c r="L31" s="172" t="s">
        <v>873</v>
      </c>
      <c r="M31" s="172" t="s">
        <v>873</v>
      </c>
      <c r="N31" s="172" t="s">
        <v>873</v>
      </c>
      <c r="O31" s="172" t="s">
        <v>873</v>
      </c>
      <c r="P31" s="172" t="s">
        <v>873</v>
      </c>
      <c r="Q31" s="172" t="s">
        <v>873</v>
      </c>
      <c r="R31" s="172" t="s">
        <v>873</v>
      </c>
      <c r="S31" s="172" t="s">
        <v>873</v>
      </c>
    </row>
    <row r="32" spans="1:19" ht="13.5" thickBot="1" x14ac:dyDescent="0.25">
      <c r="A32" s="2" t="s">
        <v>327</v>
      </c>
      <c r="B32" s="1" t="s">
        <v>326</v>
      </c>
      <c r="C32" s="2" t="s">
        <v>19</v>
      </c>
      <c r="D32" s="2" t="s">
        <v>1823</v>
      </c>
      <c r="E32" s="6">
        <v>38580</v>
      </c>
      <c r="F32" s="6">
        <v>58000</v>
      </c>
      <c r="G32" s="4">
        <v>40</v>
      </c>
      <c r="H32" s="172" t="s">
        <v>872</v>
      </c>
      <c r="I32" s="172" t="s">
        <v>873</v>
      </c>
      <c r="J32" s="172" t="s">
        <v>873</v>
      </c>
      <c r="K32" s="172" t="s">
        <v>873</v>
      </c>
      <c r="L32" s="172" t="s">
        <v>873</v>
      </c>
      <c r="M32" s="172" t="s">
        <v>872</v>
      </c>
      <c r="N32" s="172" t="s">
        <v>872</v>
      </c>
      <c r="O32" s="172" t="s">
        <v>872</v>
      </c>
      <c r="P32" s="172" t="s">
        <v>872</v>
      </c>
      <c r="Q32" s="172" t="s">
        <v>872</v>
      </c>
      <c r="R32" s="172" t="s">
        <v>873</v>
      </c>
      <c r="S32" s="172" t="s">
        <v>873</v>
      </c>
    </row>
    <row r="33" spans="1:19" ht="13.5" thickBot="1" x14ac:dyDescent="0.25">
      <c r="A33" s="2" t="s">
        <v>329</v>
      </c>
      <c r="B33" s="1" t="s">
        <v>328</v>
      </c>
      <c r="C33" s="2" t="s">
        <v>19</v>
      </c>
      <c r="D33" s="2" t="s">
        <v>1825</v>
      </c>
      <c r="E33" s="6">
        <v>11440</v>
      </c>
      <c r="F33" s="6">
        <v>13728</v>
      </c>
      <c r="G33" s="4">
        <v>20</v>
      </c>
      <c r="H33" s="172" t="s">
        <v>873</v>
      </c>
      <c r="I33" s="172" t="s">
        <v>873</v>
      </c>
      <c r="J33" s="172" t="s">
        <v>873</v>
      </c>
      <c r="K33" s="172" t="s">
        <v>873</v>
      </c>
      <c r="L33" s="172" t="s">
        <v>873</v>
      </c>
      <c r="M33" s="172" t="s">
        <v>873</v>
      </c>
      <c r="N33" s="172" t="s">
        <v>872</v>
      </c>
      <c r="O33" s="172" t="s">
        <v>873</v>
      </c>
      <c r="P33" s="172" t="s">
        <v>872</v>
      </c>
      <c r="Q33" s="172" t="s">
        <v>873</v>
      </c>
      <c r="R33" s="172" t="s">
        <v>873</v>
      </c>
      <c r="S33" s="172" t="s">
        <v>873</v>
      </c>
    </row>
    <row r="34" spans="1:19" ht="13.5" thickBot="1" x14ac:dyDescent="0.25">
      <c r="A34" s="2" t="s">
        <v>379</v>
      </c>
      <c r="B34" s="1" t="s">
        <v>378</v>
      </c>
      <c r="C34" s="2" t="s">
        <v>19</v>
      </c>
      <c r="D34" s="2" t="s">
        <v>1825</v>
      </c>
      <c r="E34" s="6">
        <v>18000</v>
      </c>
      <c r="F34" s="6">
        <v>35000</v>
      </c>
      <c r="G34" s="4">
        <v>45</v>
      </c>
      <c r="H34" s="172" t="s">
        <v>872</v>
      </c>
      <c r="I34" s="172" t="s">
        <v>872</v>
      </c>
      <c r="J34" s="172" t="s">
        <v>872</v>
      </c>
      <c r="K34" s="172" t="s">
        <v>872</v>
      </c>
      <c r="L34" s="172" t="s">
        <v>872</v>
      </c>
      <c r="M34" s="172" t="s">
        <v>872</v>
      </c>
      <c r="N34" s="172" t="s">
        <v>872</v>
      </c>
      <c r="O34" s="172" t="s">
        <v>872</v>
      </c>
      <c r="P34" s="172" t="s">
        <v>872</v>
      </c>
      <c r="Q34" s="172" t="s">
        <v>873</v>
      </c>
      <c r="R34" s="172" t="s">
        <v>872</v>
      </c>
      <c r="S34" s="172" t="s">
        <v>872</v>
      </c>
    </row>
    <row r="35" spans="1:19" ht="13.5" thickBot="1" x14ac:dyDescent="0.25">
      <c r="A35" s="2" t="s">
        <v>395</v>
      </c>
      <c r="B35" s="1" t="s">
        <v>394</v>
      </c>
      <c r="C35" s="2" t="s">
        <v>19</v>
      </c>
      <c r="D35" s="2" t="s">
        <v>973</v>
      </c>
      <c r="E35" s="6">
        <v>30000</v>
      </c>
      <c r="F35" s="6">
        <v>30000</v>
      </c>
      <c r="G35" s="4">
        <v>36</v>
      </c>
      <c r="H35" s="172" t="s">
        <v>873</v>
      </c>
      <c r="I35" s="172" t="s">
        <v>873</v>
      </c>
      <c r="J35" s="172" t="s">
        <v>873</v>
      </c>
      <c r="K35" s="172" t="s">
        <v>873</v>
      </c>
      <c r="L35" s="172" t="s">
        <v>873</v>
      </c>
      <c r="M35" s="172" t="s">
        <v>873</v>
      </c>
      <c r="N35" s="172" t="s">
        <v>872</v>
      </c>
      <c r="O35" s="172" t="s">
        <v>873</v>
      </c>
      <c r="P35" s="172" t="s">
        <v>872</v>
      </c>
      <c r="Q35" s="172" t="s">
        <v>873</v>
      </c>
      <c r="R35" s="172" t="s">
        <v>873</v>
      </c>
      <c r="S35" s="172" t="s">
        <v>873</v>
      </c>
    </row>
    <row r="36" spans="1:19" ht="13.5" thickBot="1" x14ac:dyDescent="0.25">
      <c r="A36" s="2" t="s">
        <v>427</v>
      </c>
      <c r="B36" s="1" t="s">
        <v>426</v>
      </c>
      <c r="C36" s="2" t="s">
        <v>19</v>
      </c>
      <c r="D36" s="2" t="s">
        <v>1825</v>
      </c>
      <c r="E36" s="6">
        <v>10000</v>
      </c>
      <c r="F36" s="6">
        <v>20000</v>
      </c>
      <c r="G36" s="4">
        <v>20</v>
      </c>
      <c r="H36" s="172" t="s">
        <v>873</v>
      </c>
      <c r="I36" s="172" t="s">
        <v>873</v>
      </c>
      <c r="J36" s="172" t="s">
        <v>873</v>
      </c>
      <c r="K36" s="172" t="s">
        <v>873</v>
      </c>
      <c r="L36" s="172" t="s">
        <v>872</v>
      </c>
      <c r="M36" s="172" t="s">
        <v>872</v>
      </c>
      <c r="N36" s="172" t="s">
        <v>873</v>
      </c>
      <c r="O36" s="172" t="s">
        <v>872</v>
      </c>
      <c r="P36" s="172" t="s">
        <v>873</v>
      </c>
      <c r="Q36" s="172" t="s">
        <v>873</v>
      </c>
      <c r="R36" s="172" t="s">
        <v>873</v>
      </c>
      <c r="S36" s="172" t="s">
        <v>873</v>
      </c>
    </row>
    <row r="37" spans="1:19" ht="13.5" thickBot="1" x14ac:dyDescent="0.25">
      <c r="A37" s="2" t="s">
        <v>433</v>
      </c>
      <c r="B37" s="1" t="s">
        <v>432</v>
      </c>
      <c r="C37" s="2" t="s">
        <v>19</v>
      </c>
      <c r="D37" s="2" t="s">
        <v>1825</v>
      </c>
      <c r="E37" s="6">
        <v>100</v>
      </c>
      <c r="F37" s="6">
        <v>100</v>
      </c>
      <c r="G37" s="4">
        <v>40</v>
      </c>
      <c r="H37" s="172" t="s">
        <v>873</v>
      </c>
      <c r="I37" s="172" t="s">
        <v>873</v>
      </c>
      <c r="J37" s="172" t="s">
        <v>873</v>
      </c>
      <c r="K37" s="172" t="s">
        <v>873</v>
      </c>
      <c r="L37" s="172" t="s">
        <v>873</v>
      </c>
      <c r="M37" s="172" t="s">
        <v>873</v>
      </c>
      <c r="N37" s="172" t="s">
        <v>873</v>
      </c>
      <c r="O37" s="172" t="s">
        <v>873</v>
      </c>
      <c r="P37" s="172" t="s">
        <v>873</v>
      </c>
      <c r="Q37" s="172" t="s">
        <v>873</v>
      </c>
      <c r="R37" s="172" t="s">
        <v>873</v>
      </c>
      <c r="S37" s="172" t="s">
        <v>873</v>
      </c>
    </row>
    <row r="38" spans="1:19" ht="13.5" thickBot="1" x14ac:dyDescent="0.25">
      <c r="A38" s="2" t="s">
        <v>435</v>
      </c>
      <c r="B38" s="1" t="s">
        <v>434</v>
      </c>
      <c r="C38" s="2" t="s">
        <v>19</v>
      </c>
      <c r="D38" s="2" t="s">
        <v>1823</v>
      </c>
      <c r="E38" s="6">
        <v>30000</v>
      </c>
      <c r="F38" s="6">
        <v>34000</v>
      </c>
      <c r="G38" s="4">
        <v>40</v>
      </c>
      <c r="H38" s="172" t="s">
        <v>872</v>
      </c>
      <c r="I38" s="172" t="s">
        <v>872</v>
      </c>
      <c r="J38" s="172" t="s">
        <v>872</v>
      </c>
      <c r="K38" s="172" t="s">
        <v>872</v>
      </c>
      <c r="L38" s="172" t="s">
        <v>872</v>
      </c>
      <c r="M38" s="172" t="s">
        <v>872</v>
      </c>
      <c r="N38" s="172" t="s">
        <v>872</v>
      </c>
      <c r="O38" s="172" t="s">
        <v>872</v>
      </c>
      <c r="P38" s="172" t="s">
        <v>872</v>
      </c>
      <c r="Q38" s="172" t="s">
        <v>872</v>
      </c>
      <c r="R38" s="172" t="s">
        <v>872</v>
      </c>
      <c r="S38" s="172" t="s">
        <v>873</v>
      </c>
    </row>
    <row r="39" spans="1:19" ht="13.5" thickBot="1" x14ac:dyDescent="0.25">
      <c r="A39" s="2" t="s">
        <v>439</v>
      </c>
      <c r="B39" s="1" t="s">
        <v>438</v>
      </c>
      <c r="C39" s="2" t="s">
        <v>19</v>
      </c>
      <c r="D39" s="2" t="s">
        <v>1824</v>
      </c>
      <c r="E39" s="6">
        <v>40125</v>
      </c>
      <c r="F39" s="6">
        <v>40125</v>
      </c>
      <c r="G39" s="4">
        <v>35</v>
      </c>
      <c r="H39" s="172" t="s">
        <v>872</v>
      </c>
      <c r="I39" s="172" t="s">
        <v>872</v>
      </c>
      <c r="J39" s="172" t="s">
        <v>872</v>
      </c>
      <c r="K39" s="172" t="s">
        <v>873</v>
      </c>
      <c r="L39" s="172" t="s">
        <v>872</v>
      </c>
      <c r="M39" s="172" t="s">
        <v>872</v>
      </c>
      <c r="N39" s="172" t="s">
        <v>872</v>
      </c>
      <c r="O39" s="172" t="s">
        <v>872</v>
      </c>
      <c r="P39" s="172" t="s">
        <v>872</v>
      </c>
      <c r="Q39" s="172" t="s">
        <v>872</v>
      </c>
      <c r="R39" s="172" t="s">
        <v>873</v>
      </c>
      <c r="S39" s="172" t="s">
        <v>873</v>
      </c>
    </row>
    <row r="40" spans="1:19" ht="13.5" thickBot="1" x14ac:dyDescent="0.25">
      <c r="A40" s="2" t="s">
        <v>449</v>
      </c>
      <c r="B40" s="1" t="s">
        <v>448</v>
      </c>
      <c r="C40" s="2" t="s">
        <v>19</v>
      </c>
      <c r="D40" s="2" t="s">
        <v>973</v>
      </c>
      <c r="E40" s="6">
        <v>12220</v>
      </c>
      <c r="F40" s="6">
        <v>20800</v>
      </c>
      <c r="G40" s="4">
        <v>18</v>
      </c>
      <c r="H40" s="172" t="s">
        <v>873</v>
      </c>
      <c r="I40" s="172" t="s">
        <v>873</v>
      </c>
      <c r="J40" s="172" t="s">
        <v>873</v>
      </c>
      <c r="K40" s="172" t="s">
        <v>873</v>
      </c>
      <c r="L40" s="172" t="s">
        <v>873</v>
      </c>
      <c r="M40" s="172" t="s">
        <v>873</v>
      </c>
      <c r="N40" s="172" t="s">
        <v>873</v>
      </c>
      <c r="O40" s="172" t="s">
        <v>873</v>
      </c>
      <c r="P40" s="172" t="s">
        <v>873</v>
      </c>
      <c r="Q40" s="172" t="s">
        <v>873</v>
      </c>
      <c r="R40" s="172" t="s">
        <v>873</v>
      </c>
      <c r="S40" s="172" t="s">
        <v>873</v>
      </c>
    </row>
    <row r="41" spans="1:19" ht="13.5" thickBot="1" x14ac:dyDescent="0.25">
      <c r="A41" s="2" t="s">
        <v>455</v>
      </c>
      <c r="B41" s="1" t="s">
        <v>454</v>
      </c>
      <c r="C41" s="2" t="s">
        <v>19</v>
      </c>
      <c r="D41" s="2" t="s">
        <v>1825</v>
      </c>
      <c r="E41" s="6">
        <v>12718</v>
      </c>
      <c r="F41" s="6">
        <v>12718</v>
      </c>
      <c r="G41" s="4">
        <v>31</v>
      </c>
      <c r="H41" s="172" t="s">
        <v>873</v>
      </c>
      <c r="I41" s="172" t="s">
        <v>873</v>
      </c>
      <c r="J41" s="172" t="s">
        <v>873</v>
      </c>
      <c r="K41" s="172" t="s">
        <v>873</v>
      </c>
      <c r="L41" s="172" t="s">
        <v>873</v>
      </c>
      <c r="M41" s="172" t="s">
        <v>873</v>
      </c>
      <c r="N41" s="172" t="s">
        <v>872</v>
      </c>
      <c r="O41" s="172" t="s">
        <v>873</v>
      </c>
      <c r="P41" s="172" t="s">
        <v>873</v>
      </c>
      <c r="Q41" s="172" t="s">
        <v>873</v>
      </c>
      <c r="R41" s="172" t="s">
        <v>873</v>
      </c>
      <c r="S41" s="172" t="s">
        <v>873</v>
      </c>
    </row>
    <row r="42" spans="1:19" ht="13.5" thickBot="1" x14ac:dyDescent="0.25">
      <c r="A42" s="2" t="s">
        <v>469</v>
      </c>
      <c r="B42" s="1" t="s">
        <v>468</v>
      </c>
      <c r="C42" s="2" t="s">
        <v>19</v>
      </c>
      <c r="D42" s="2" t="s">
        <v>1823</v>
      </c>
      <c r="E42" s="6">
        <v>38038</v>
      </c>
      <c r="F42" s="6">
        <v>38038</v>
      </c>
      <c r="G42" s="4">
        <v>38</v>
      </c>
      <c r="H42" s="172" t="s">
        <v>873</v>
      </c>
      <c r="I42" s="172" t="s">
        <v>873</v>
      </c>
      <c r="J42" s="172" t="s">
        <v>873</v>
      </c>
      <c r="K42" s="172" t="s">
        <v>873</v>
      </c>
      <c r="L42" s="172" t="s">
        <v>873</v>
      </c>
      <c r="M42" s="172" t="s">
        <v>873</v>
      </c>
      <c r="N42" s="172" t="s">
        <v>873</v>
      </c>
      <c r="O42" s="172" t="s">
        <v>872</v>
      </c>
      <c r="P42" s="172" t="s">
        <v>872</v>
      </c>
      <c r="Q42" s="172" t="s">
        <v>873</v>
      </c>
      <c r="R42" s="172" t="s">
        <v>873</v>
      </c>
      <c r="S42" s="172" t="s">
        <v>873</v>
      </c>
    </row>
    <row r="43" spans="1:19" ht="13.5" thickBot="1" x14ac:dyDescent="0.25">
      <c r="A43" s="2" t="s">
        <v>476</v>
      </c>
      <c r="B43" s="1" t="s">
        <v>475</v>
      </c>
      <c r="C43" s="2" t="s">
        <v>19</v>
      </c>
      <c r="D43" s="2" t="s">
        <v>1825</v>
      </c>
      <c r="E43" s="6">
        <v>33000</v>
      </c>
      <c r="F43" s="6">
        <v>36200</v>
      </c>
      <c r="G43" s="4">
        <v>38</v>
      </c>
      <c r="H43" s="172" t="s">
        <v>872</v>
      </c>
      <c r="I43" s="172" t="s">
        <v>872</v>
      </c>
      <c r="J43" s="172" t="s">
        <v>873</v>
      </c>
      <c r="K43" s="172" t="s">
        <v>872</v>
      </c>
      <c r="L43" s="172" t="s">
        <v>872</v>
      </c>
      <c r="M43" s="172" t="s">
        <v>872</v>
      </c>
      <c r="N43" s="172" t="s">
        <v>872</v>
      </c>
      <c r="O43" s="172" t="s">
        <v>873</v>
      </c>
      <c r="P43" s="172" t="s">
        <v>872</v>
      </c>
      <c r="Q43" s="172" t="s">
        <v>873</v>
      </c>
      <c r="R43" s="172" t="s">
        <v>873</v>
      </c>
      <c r="S43" s="172" t="s">
        <v>873</v>
      </c>
    </row>
    <row r="44" spans="1:19" ht="13.5" thickBot="1" x14ac:dyDescent="0.25">
      <c r="A44" s="2" t="s">
        <v>492</v>
      </c>
      <c r="B44" s="1" t="s">
        <v>491</v>
      </c>
      <c r="C44" s="2" t="s">
        <v>19</v>
      </c>
      <c r="D44" s="2" t="s">
        <v>1825</v>
      </c>
      <c r="E44" s="6">
        <v>10161</v>
      </c>
      <c r="F44" s="6">
        <v>10161</v>
      </c>
      <c r="G44" s="4">
        <v>20</v>
      </c>
      <c r="H44" s="172" t="s">
        <v>873</v>
      </c>
      <c r="I44" s="172" t="s">
        <v>873</v>
      </c>
      <c r="J44" s="172" t="s">
        <v>873</v>
      </c>
      <c r="K44" s="172" t="s">
        <v>873</v>
      </c>
      <c r="L44" s="172" t="s">
        <v>873</v>
      </c>
      <c r="M44" s="172" t="s">
        <v>873</v>
      </c>
      <c r="N44" s="172" t="s">
        <v>873</v>
      </c>
      <c r="O44" s="172" t="s">
        <v>873</v>
      </c>
      <c r="P44" s="172" t="s">
        <v>873</v>
      </c>
      <c r="Q44" s="172" t="s">
        <v>873</v>
      </c>
      <c r="R44" s="172" t="s">
        <v>873</v>
      </c>
      <c r="S44" s="172" t="s">
        <v>873</v>
      </c>
    </row>
    <row r="45" spans="1:19" ht="13.5" thickBot="1" x14ac:dyDescent="0.25">
      <c r="A45" s="2" t="s">
        <v>508</v>
      </c>
      <c r="B45" s="1" t="s">
        <v>507</v>
      </c>
      <c r="C45" s="2" t="s">
        <v>19</v>
      </c>
      <c r="D45" s="2" t="s">
        <v>1825</v>
      </c>
      <c r="E45" s="6">
        <v>11960</v>
      </c>
      <c r="F45" s="6">
        <v>12000</v>
      </c>
      <c r="G45" s="4">
        <v>23</v>
      </c>
      <c r="H45" s="172" t="s">
        <v>873</v>
      </c>
      <c r="I45" s="172" t="s">
        <v>873</v>
      </c>
      <c r="J45" s="172" t="s">
        <v>873</v>
      </c>
      <c r="K45" s="172" t="s">
        <v>873</v>
      </c>
      <c r="L45" s="172" t="s">
        <v>873</v>
      </c>
      <c r="M45" s="172" t="s">
        <v>873</v>
      </c>
      <c r="N45" s="172" t="s">
        <v>872</v>
      </c>
      <c r="O45" s="172" t="s">
        <v>873</v>
      </c>
      <c r="P45" s="172" t="s">
        <v>873</v>
      </c>
      <c r="Q45" s="172" t="s">
        <v>873</v>
      </c>
      <c r="R45" s="172" t="s">
        <v>873</v>
      </c>
      <c r="S45" s="172" t="s">
        <v>873</v>
      </c>
    </row>
    <row r="46" spans="1:19" ht="13.5" thickBot="1" x14ac:dyDescent="0.25">
      <c r="A46" s="2" t="s">
        <v>516</v>
      </c>
      <c r="B46" s="1" t="s">
        <v>515</v>
      </c>
      <c r="C46" s="2" t="s">
        <v>19</v>
      </c>
      <c r="D46" s="2" t="s">
        <v>1825</v>
      </c>
      <c r="E46" s="6">
        <v>15000</v>
      </c>
      <c r="F46" s="6">
        <v>18920</v>
      </c>
      <c r="G46" s="4">
        <v>30</v>
      </c>
      <c r="H46" s="172" t="s">
        <v>873</v>
      </c>
      <c r="I46" s="172" t="s">
        <v>873</v>
      </c>
      <c r="J46" s="172" t="s">
        <v>873</v>
      </c>
      <c r="K46" s="172" t="s">
        <v>873</v>
      </c>
      <c r="L46" s="172" t="s">
        <v>873</v>
      </c>
      <c r="M46" s="172" t="s">
        <v>872</v>
      </c>
      <c r="N46" s="172" t="s">
        <v>872</v>
      </c>
      <c r="O46" s="172" t="s">
        <v>872</v>
      </c>
      <c r="P46" s="172" t="s">
        <v>872</v>
      </c>
      <c r="Q46" s="172" t="s">
        <v>873</v>
      </c>
      <c r="R46" s="172" t="s">
        <v>873</v>
      </c>
      <c r="S46" s="172" t="s">
        <v>873</v>
      </c>
    </row>
    <row r="47" spans="1:19" ht="13.5" thickBot="1" x14ac:dyDescent="0.25">
      <c r="A47" s="2" t="s">
        <v>536</v>
      </c>
      <c r="B47" s="1" t="s">
        <v>535</v>
      </c>
      <c r="C47" s="2" t="s">
        <v>19</v>
      </c>
      <c r="D47" s="2" t="s">
        <v>1825</v>
      </c>
      <c r="E47" s="6">
        <v>15120</v>
      </c>
      <c r="F47" s="6">
        <v>17056</v>
      </c>
      <c r="G47" s="4">
        <v>20</v>
      </c>
      <c r="H47" s="172" t="s">
        <v>873</v>
      </c>
      <c r="I47" s="172" t="s">
        <v>873</v>
      </c>
      <c r="J47" s="172" t="s">
        <v>873</v>
      </c>
      <c r="K47" s="172" t="s">
        <v>873</v>
      </c>
      <c r="L47" s="172" t="s">
        <v>873</v>
      </c>
      <c r="M47" s="172" t="s">
        <v>873</v>
      </c>
      <c r="N47" s="172" t="s">
        <v>872</v>
      </c>
      <c r="O47" s="172" t="s">
        <v>872</v>
      </c>
      <c r="P47" s="172" t="s">
        <v>872</v>
      </c>
      <c r="Q47" s="172" t="s">
        <v>873</v>
      </c>
      <c r="R47" s="172" t="s">
        <v>873</v>
      </c>
      <c r="S47" s="172" t="s">
        <v>873</v>
      </c>
    </row>
    <row r="48" spans="1:19" ht="13.5" thickBot="1" x14ac:dyDescent="0.25">
      <c r="A48" s="2" t="s">
        <v>552</v>
      </c>
      <c r="B48" s="1" t="s">
        <v>551</v>
      </c>
      <c r="C48" s="2" t="s">
        <v>19</v>
      </c>
      <c r="D48" s="2" t="s">
        <v>1825</v>
      </c>
      <c r="E48" s="6">
        <v>37000</v>
      </c>
      <c r="F48" s="6">
        <v>37000</v>
      </c>
      <c r="G48" s="4">
        <v>40</v>
      </c>
      <c r="H48" s="172" t="s">
        <v>873</v>
      </c>
      <c r="I48" s="172" t="s">
        <v>873</v>
      </c>
      <c r="J48" s="172" t="s">
        <v>873</v>
      </c>
      <c r="K48" s="172" t="s">
        <v>873</v>
      </c>
      <c r="L48" s="172" t="s">
        <v>873</v>
      </c>
      <c r="M48" s="172" t="s">
        <v>872</v>
      </c>
      <c r="N48" s="172" t="s">
        <v>872</v>
      </c>
      <c r="O48" s="172" t="s">
        <v>872</v>
      </c>
      <c r="P48" s="172" t="s">
        <v>872</v>
      </c>
      <c r="Q48" s="172" t="s">
        <v>873</v>
      </c>
      <c r="R48" s="172" t="s">
        <v>873</v>
      </c>
      <c r="S48" s="172" t="s">
        <v>872</v>
      </c>
    </row>
    <row r="49" spans="1:19" ht="13.5" thickBot="1" x14ac:dyDescent="0.25">
      <c r="A49" s="2" t="s">
        <v>566</v>
      </c>
      <c r="B49" s="1" t="s">
        <v>565</v>
      </c>
      <c r="C49" s="2" t="s">
        <v>19</v>
      </c>
      <c r="D49" s="2" t="s">
        <v>973</v>
      </c>
      <c r="E49" s="6">
        <v>15000</v>
      </c>
      <c r="F49" s="6">
        <v>30000</v>
      </c>
      <c r="G49" s="4">
        <v>40</v>
      </c>
      <c r="H49" s="172" t="s">
        <v>873</v>
      </c>
      <c r="I49" s="172" t="s">
        <v>873</v>
      </c>
      <c r="J49" s="172" t="s">
        <v>873</v>
      </c>
      <c r="K49" s="172" t="s">
        <v>873</v>
      </c>
      <c r="L49" s="172" t="s">
        <v>873</v>
      </c>
      <c r="M49" s="172" t="s">
        <v>872</v>
      </c>
      <c r="N49" s="172" t="s">
        <v>872</v>
      </c>
      <c r="O49" s="172" t="s">
        <v>872</v>
      </c>
      <c r="P49" s="172" t="s">
        <v>872</v>
      </c>
      <c r="Q49" s="172" t="s">
        <v>873</v>
      </c>
      <c r="R49" s="172" t="s">
        <v>873</v>
      </c>
      <c r="S49" s="172" t="s">
        <v>873</v>
      </c>
    </row>
    <row r="50" spans="1:19" ht="13.5" thickBot="1" x14ac:dyDescent="0.25">
      <c r="A50" s="2" t="s">
        <v>570</v>
      </c>
      <c r="B50" s="1" t="s">
        <v>569</v>
      </c>
      <c r="C50" s="2" t="s">
        <v>19</v>
      </c>
      <c r="D50" s="2" t="s">
        <v>1825</v>
      </c>
      <c r="E50" s="6">
        <v>26000</v>
      </c>
      <c r="F50" s="6">
        <v>28000</v>
      </c>
      <c r="G50" s="4">
        <v>40</v>
      </c>
      <c r="H50" s="172" t="s">
        <v>872</v>
      </c>
      <c r="I50" s="172" t="s">
        <v>872</v>
      </c>
      <c r="J50" s="172" t="s">
        <v>872</v>
      </c>
      <c r="K50" s="172" t="s">
        <v>872</v>
      </c>
      <c r="L50" s="172" t="s">
        <v>872</v>
      </c>
      <c r="M50" s="172" t="s">
        <v>872</v>
      </c>
      <c r="N50" s="172" t="s">
        <v>873</v>
      </c>
      <c r="O50" s="172" t="s">
        <v>872</v>
      </c>
      <c r="P50" s="172" t="s">
        <v>872</v>
      </c>
      <c r="Q50" s="172" t="s">
        <v>873</v>
      </c>
      <c r="R50" s="172" t="s">
        <v>873</v>
      </c>
      <c r="S50" s="172" t="s">
        <v>872</v>
      </c>
    </row>
    <row r="51" spans="1:19" ht="13.5" thickBot="1" x14ac:dyDescent="0.25">
      <c r="A51" s="2" t="s">
        <v>592</v>
      </c>
      <c r="B51" s="1" t="s">
        <v>591</v>
      </c>
      <c r="C51" s="2" t="s">
        <v>19</v>
      </c>
      <c r="D51" s="2" t="s">
        <v>973</v>
      </c>
      <c r="E51" s="6">
        <v>34500</v>
      </c>
      <c r="F51" s="6">
        <v>36600</v>
      </c>
      <c r="G51" s="4">
        <v>40</v>
      </c>
      <c r="H51" s="172" t="s">
        <v>873</v>
      </c>
      <c r="I51" s="172" t="s">
        <v>873</v>
      </c>
      <c r="J51" s="172" t="s">
        <v>873</v>
      </c>
      <c r="K51" s="172" t="s">
        <v>873</v>
      </c>
      <c r="L51" s="172" t="s">
        <v>873</v>
      </c>
      <c r="M51" s="172" t="s">
        <v>872</v>
      </c>
      <c r="N51" s="172" t="s">
        <v>872</v>
      </c>
      <c r="O51" s="172" t="s">
        <v>872</v>
      </c>
      <c r="P51" s="172" t="s">
        <v>872</v>
      </c>
      <c r="Q51" s="172" t="s">
        <v>873</v>
      </c>
      <c r="R51" s="172" t="s">
        <v>873</v>
      </c>
      <c r="S51" s="172" t="s">
        <v>872</v>
      </c>
    </row>
    <row r="52" spans="1:19" ht="13.5" thickBot="1" x14ac:dyDescent="0.25">
      <c r="A52" s="2" t="s">
        <v>612</v>
      </c>
      <c r="B52" s="1" t="s">
        <v>611</v>
      </c>
      <c r="C52" s="2" t="s">
        <v>19</v>
      </c>
      <c r="D52" s="2" t="s">
        <v>1825</v>
      </c>
      <c r="E52" s="6">
        <v>15000</v>
      </c>
      <c r="F52" s="6">
        <v>32000</v>
      </c>
      <c r="G52" s="4">
        <v>30</v>
      </c>
      <c r="H52" s="172" t="s">
        <v>873</v>
      </c>
      <c r="I52" s="172" t="s">
        <v>873</v>
      </c>
      <c r="J52" s="172" t="s">
        <v>873</v>
      </c>
      <c r="K52" s="172" t="s">
        <v>873</v>
      </c>
      <c r="L52" s="172" t="s">
        <v>873</v>
      </c>
      <c r="M52" s="172" t="s">
        <v>873</v>
      </c>
      <c r="N52" s="172" t="s">
        <v>872</v>
      </c>
      <c r="O52" s="172" t="s">
        <v>872</v>
      </c>
      <c r="P52" s="172" t="s">
        <v>872</v>
      </c>
      <c r="Q52" s="172" t="s">
        <v>873</v>
      </c>
      <c r="R52" s="172" t="s">
        <v>873</v>
      </c>
      <c r="S52" s="172" t="s">
        <v>873</v>
      </c>
    </row>
    <row r="53" spans="1:19" ht="13.5" thickBot="1" x14ac:dyDescent="0.25">
      <c r="A53" s="2" t="s">
        <v>632</v>
      </c>
      <c r="B53" s="1" t="s">
        <v>631</v>
      </c>
      <c r="C53" s="2" t="s">
        <v>19</v>
      </c>
      <c r="D53" s="2" t="s">
        <v>1823</v>
      </c>
      <c r="E53" s="6">
        <v>12511</v>
      </c>
      <c r="F53" s="6">
        <v>25804</v>
      </c>
      <c r="G53" s="4">
        <v>16</v>
      </c>
      <c r="H53" s="172" t="s">
        <v>873</v>
      </c>
      <c r="I53" s="172" t="s">
        <v>873</v>
      </c>
      <c r="J53" s="172" t="s">
        <v>873</v>
      </c>
      <c r="K53" s="172" t="s">
        <v>873</v>
      </c>
      <c r="L53" s="172" t="s">
        <v>873</v>
      </c>
      <c r="M53" s="172" t="s">
        <v>873</v>
      </c>
      <c r="N53" s="172" t="s">
        <v>873</v>
      </c>
      <c r="O53" s="172" t="s">
        <v>873</v>
      </c>
      <c r="P53" s="172" t="s">
        <v>873</v>
      </c>
      <c r="Q53" s="172" t="s">
        <v>873</v>
      </c>
      <c r="R53" s="172" t="s">
        <v>873</v>
      </c>
      <c r="S53" s="172" t="s">
        <v>873</v>
      </c>
    </row>
    <row r="54" spans="1:19" ht="13.5" thickBot="1" x14ac:dyDescent="0.25">
      <c r="A54" s="2" t="s">
        <v>642</v>
      </c>
      <c r="B54" s="1" t="s">
        <v>641</v>
      </c>
      <c r="C54" s="2" t="s">
        <v>19</v>
      </c>
      <c r="D54" s="2" t="s">
        <v>973</v>
      </c>
      <c r="E54" s="6">
        <v>12883</v>
      </c>
      <c r="F54" s="6">
        <v>13139</v>
      </c>
      <c r="G54" s="4">
        <v>16</v>
      </c>
      <c r="H54" s="172" t="s">
        <v>873</v>
      </c>
      <c r="I54" s="172" t="s">
        <v>873</v>
      </c>
      <c r="J54" s="172" t="s">
        <v>873</v>
      </c>
      <c r="K54" s="172" t="s">
        <v>873</v>
      </c>
      <c r="L54" s="172" t="s">
        <v>872</v>
      </c>
      <c r="M54" s="172" t="s">
        <v>872</v>
      </c>
      <c r="N54" s="172" t="s">
        <v>872</v>
      </c>
      <c r="O54" s="172" t="s">
        <v>872</v>
      </c>
      <c r="P54" s="172" t="s">
        <v>872</v>
      </c>
      <c r="Q54" s="172" t="s">
        <v>873</v>
      </c>
      <c r="R54" s="172" t="s">
        <v>873</v>
      </c>
      <c r="S54" s="172" t="s">
        <v>873</v>
      </c>
    </row>
    <row r="55" spans="1:19" ht="13.5" thickBot="1" x14ac:dyDescent="0.25">
      <c r="A55" s="2" t="s">
        <v>644</v>
      </c>
      <c r="B55" s="1" t="s">
        <v>643</v>
      </c>
      <c r="C55" s="2" t="s">
        <v>19</v>
      </c>
      <c r="D55" s="2" t="s">
        <v>1825</v>
      </c>
      <c r="E55" s="6">
        <v>23296</v>
      </c>
      <c r="F55" s="6">
        <v>30000</v>
      </c>
      <c r="G55" s="4">
        <v>28</v>
      </c>
      <c r="H55" s="172" t="s">
        <v>873</v>
      </c>
      <c r="I55" s="172" t="s">
        <v>873</v>
      </c>
      <c r="J55" s="172" t="s">
        <v>873</v>
      </c>
      <c r="K55" s="172" t="s">
        <v>873</v>
      </c>
      <c r="L55" s="172" t="s">
        <v>873</v>
      </c>
      <c r="M55" s="172" t="s">
        <v>873</v>
      </c>
      <c r="N55" s="172" t="s">
        <v>872</v>
      </c>
      <c r="O55" s="172" t="s">
        <v>873</v>
      </c>
      <c r="P55" s="172" t="s">
        <v>873</v>
      </c>
      <c r="Q55" s="172" t="s">
        <v>873</v>
      </c>
      <c r="R55" s="172" t="s">
        <v>873</v>
      </c>
      <c r="S55" s="172" t="s">
        <v>873</v>
      </c>
    </row>
    <row r="56" spans="1:19" ht="13.5" thickBot="1" x14ac:dyDescent="0.25">
      <c r="A56" s="2" t="s">
        <v>650</v>
      </c>
      <c r="B56" s="1" t="s">
        <v>649</v>
      </c>
      <c r="C56" s="2" t="s">
        <v>19</v>
      </c>
      <c r="D56" s="2" t="s">
        <v>1825</v>
      </c>
      <c r="E56" s="6">
        <v>20962</v>
      </c>
      <c r="F56" s="6">
        <v>21850</v>
      </c>
      <c r="G56" s="4">
        <v>32</v>
      </c>
      <c r="H56" s="172" t="s">
        <v>873</v>
      </c>
      <c r="I56" s="172" t="s">
        <v>873</v>
      </c>
      <c r="J56" s="172" t="s">
        <v>873</v>
      </c>
      <c r="K56" s="172" t="s">
        <v>873</v>
      </c>
      <c r="L56" s="172" t="s">
        <v>873</v>
      </c>
      <c r="M56" s="172" t="s">
        <v>873</v>
      </c>
      <c r="N56" s="172" t="s">
        <v>872</v>
      </c>
      <c r="O56" s="172" t="s">
        <v>873</v>
      </c>
      <c r="P56" s="172" t="s">
        <v>873</v>
      </c>
      <c r="Q56" s="172" t="s">
        <v>873</v>
      </c>
      <c r="R56" s="172" t="s">
        <v>873</v>
      </c>
      <c r="S56" s="172" t="s">
        <v>873</v>
      </c>
    </row>
    <row r="57" spans="1:19" ht="13.5" thickBot="1" x14ac:dyDescent="0.25">
      <c r="A57" s="2" t="s">
        <v>652</v>
      </c>
      <c r="B57" s="1" t="s">
        <v>651</v>
      </c>
      <c r="C57" s="2" t="s">
        <v>19</v>
      </c>
      <c r="D57" s="2" t="s">
        <v>1825</v>
      </c>
      <c r="E57" s="6">
        <v>8400</v>
      </c>
      <c r="F57" s="6">
        <v>17100</v>
      </c>
      <c r="G57" s="4">
        <v>26</v>
      </c>
      <c r="H57" s="172" t="s">
        <v>873</v>
      </c>
      <c r="I57" s="172" t="s">
        <v>873</v>
      </c>
      <c r="J57" s="172" t="s">
        <v>873</v>
      </c>
      <c r="K57" s="172" t="s">
        <v>873</v>
      </c>
      <c r="L57" s="172" t="s">
        <v>872</v>
      </c>
      <c r="M57" s="172" t="s">
        <v>872</v>
      </c>
      <c r="N57" s="172" t="s">
        <v>872</v>
      </c>
      <c r="O57" s="172" t="s">
        <v>873</v>
      </c>
      <c r="P57" s="172" t="s">
        <v>872</v>
      </c>
      <c r="Q57" s="172" t="s">
        <v>873</v>
      </c>
      <c r="R57" s="172" t="s">
        <v>873</v>
      </c>
      <c r="S57" s="172" t="s">
        <v>873</v>
      </c>
    </row>
    <row r="58" spans="1:19" ht="13.5" thickBot="1" x14ac:dyDescent="0.25">
      <c r="A58" s="2" t="s">
        <v>672</v>
      </c>
      <c r="B58" s="1" t="s">
        <v>671</v>
      </c>
      <c r="C58" s="2" t="s">
        <v>19</v>
      </c>
      <c r="D58" s="2" t="s">
        <v>1825</v>
      </c>
      <c r="E58" s="6">
        <v>15500</v>
      </c>
      <c r="F58" s="6">
        <v>15500</v>
      </c>
      <c r="G58" s="4">
        <v>21</v>
      </c>
      <c r="H58" s="172" t="s">
        <v>873</v>
      </c>
      <c r="I58" s="172" t="s">
        <v>873</v>
      </c>
      <c r="J58" s="172" t="s">
        <v>873</v>
      </c>
      <c r="K58" s="172" t="s">
        <v>873</v>
      </c>
      <c r="L58" s="172" t="s">
        <v>873</v>
      </c>
      <c r="M58" s="172" t="s">
        <v>873</v>
      </c>
      <c r="N58" s="172" t="s">
        <v>873</v>
      </c>
      <c r="O58" s="172" t="s">
        <v>872</v>
      </c>
      <c r="P58" s="172" t="s">
        <v>873</v>
      </c>
      <c r="Q58" s="172" t="s">
        <v>873</v>
      </c>
      <c r="R58" s="172" t="s">
        <v>873</v>
      </c>
      <c r="S58" s="172" t="s">
        <v>873</v>
      </c>
    </row>
    <row r="59" spans="1:19" ht="13.5" thickBot="1" x14ac:dyDescent="0.25">
      <c r="A59" s="2" t="s">
        <v>698</v>
      </c>
      <c r="B59" s="1" t="s">
        <v>697</v>
      </c>
      <c r="C59" s="2" t="s">
        <v>19</v>
      </c>
      <c r="D59" s="2" t="s">
        <v>1823</v>
      </c>
      <c r="E59" s="6">
        <v>31200</v>
      </c>
      <c r="F59" s="6">
        <v>39766</v>
      </c>
      <c r="G59" s="4">
        <v>40</v>
      </c>
      <c r="H59" s="172" t="s">
        <v>873</v>
      </c>
      <c r="I59" s="172" t="s">
        <v>873</v>
      </c>
      <c r="J59" s="172" t="s">
        <v>873</v>
      </c>
      <c r="K59" s="172" t="s">
        <v>873</v>
      </c>
      <c r="L59" s="172" t="s">
        <v>873</v>
      </c>
      <c r="M59" s="172" t="s">
        <v>873</v>
      </c>
      <c r="N59" s="172" t="s">
        <v>873</v>
      </c>
      <c r="O59" s="172" t="s">
        <v>872</v>
      </c>
      <c r="P59" s="172" t="s">
        <v>873</v>
      </c>
      <c r="Q59" s="172" t="s">
        <v>872</v>
      </c>
      <c r="R59" s="172" t="s">
        <v>873</v>
      </c>
      <c r="S59" s="172" t="s">
        <v>873</v>
      </c>
    </row>
    <row r="60" spans="1:19" ht="13.5" thickBot="1" x14ac:dyDescent="0.25">
      <c r="A60" s="2" t="s">
        <v>704</v>
      </c>
      <c r="B60" s="1" t="s">
        <v>703</v>
      </c>
      <c r="C60" s="2" t="s">
        <v>19</v>
      </c>
      <c r="D60" s="2" t="s">
        <v>1825</v>
      </c>
      <c r="E60" s="6">
        <v>12000</v>
      </c>
      <c r="F60" s="6">
        <v>19500</v>
      </c>
      <c r="G60" s="4">
        <v>25</v>
      </c>
      <c r="H60" s="172" t="s">
        <v>873</v>
      </c>
      <c r="I60" s="172" t="s">
        <v>873</v>
      </c>
      <c r="J60" s="172" t="s">
        <v>873</v>
      </c>
      <c r="K60" s="172" t="s">
        <v>873</v>
      </c>
      <c r="L60" s="172" t="s">
        <v>873</v>
      </c>
      <c r="M60" s="172" t="s">
        <v>873</v>
      </c>
      <c r="N60" s="172" t="s">
        <v>873</v>
      </c>
      <c r="O60" s="172" t="s">
        <v>873</v>
      </c>
      <c r="P60" s="172" t="s">
        <v>872</v>
      </c>
      <c r="Q60" s="172" t="s">
        <v>873</v>
      </c>
      <c r="R60" s="172" t="s">
        <v>873</v>
      </c>
      <c r="S60" s="172" t="s">
        <v>873</v>
      </c>
    </row>
    <row r="61" spans="1:19" ht="13.5" thickBot="1" x14ac:dyDescent="0.25">
      <c r="A61" s="2" t="s">
        <v>714</v>
      </c>
      <c r="B61" s="1" t="s">
        <v>713</v>
      </c>
      <c r="C61" s="2" t="s">
        <v>19</v>
      </c>
      <c r="D61" s="2" t="s">
        <v>1825</v>
      </c>
      <c r="E61" s="6">
        <v>27000</v>
      </c>
      <c r="F61" s="6">
        <v>29000</v>
      </c>
      <c r="G61" s="4">
        <v>37</v>
      </c>
      <c r="H61" s="172" t="s">
        <v>873</v>
      </c>
      <c r="I61" s="172" t="s">
        <v>873</v>
      </c>
      <c r="J61" s="172" t="s">
        <v>873</v>
      </c>
      <c r="K61" s="172" t="s">
        <v>873</v>
      </c>
      <c r="L61" s="172" t="s">
        <v>873</v>
      </c>
      <c r="M61" s="172" t="s">
        <v>873</v>
      </c>
      <c r="N61" s="172" t="s">
        <v>872</v>
      </c>
      <c r="O61" s="172" t="s">
        <v>873</v>
      </c>
      <c r="P61" s="172" t="s">
        <v>873</v>
      </c>
      <c r="Q61" s="172" t="s">
        <v>873</v>
      </c>
      <c r="R61" s="172" t="s">
        <v>873</v>
      </c>
      <c r="S61" s="172" t="s">
        <v>873</v>
      </c>
    </row>
    <row r="62" spans="1:19" ht="13.5" thickBot="1" x14ac:dyDescent="0.25">
      <c r="A62" s="2" t="s">
        <v>716</v>
      </c>
      <c r="B62" s="1" t="s">
        <v>715</v>
      </c>
      <c r="C62" s="2" t="s">
        <v>19</v>
      </c>
      <c r="D62" s="169" t="s">
        <v>16</v>
      </c>
      <c r="E62" s="6">
        <v>18000</v>
      </c>
      <c r="F62" s="6">
        <v>22000</v>
      </c>
      <c r="G62" s="169" t="s">
        <v>16</v>
      </c>
      <c r="H62" s="172" t="s">
        <v>873</v>
      </c>
      <c r="I62" s="172" t="s">
        <v>873</v>
      </c>
      <c r="J62" s="172" t="s">
        <v>873</v>
      </c>
      <c r="K62" s="172" t="s">
        <v>873</v>
      </c>
      <c r="L62" s="172" t="s">
        <v>873</v>
      </c>
      <c r="M62" s="172" t="s">
        <v>873</v>
      </c>
      <c r="N62" s="172" t="s">
        <v>873</v>
      </c>
      <c r="O62" s="172" t="s">
        <v>873</v>
      </c>
      <c r="P62" s="172" t="s">
        <v>873</v>
      </c>
      <c r="Q62" s="172" t="s">
        <v>873</v>
      </c>
      <c r="R62" s="172" t="s">
        <v>873</v>
      </c>
      <c r="S62" s="172" t="s">
        <v>873</v>
      </c>
    </row>
    <row r="63" spans="1:19" ht="13.5" thickBot="1" x14ac:dyDescent="0.25">
      <c r="A63" s="2" t="s">
        <v>738</v>
      </c>
      <c r="B63" s="1" t="s">
        <v>737</v>
      </c>
      <c r="C63" s="2" t="s">
        <v>19</v>
      </c>
      <c r="D63" s="2" t="s">
        <v>973</v>
      </c>
      <c r="E63" s="6">
        <v>18152</v>
      </c>
      <c r="F63" s="6">
        <v>20000</v>
      </c>
      <c r="G63" s="4">
        <v>36</v>
      </c>
      <c r="H63" s="172" t="s">
        <v>873</v>
      </c>
      <c r="I63" s="172" t="s">
        <v>873</v>
      </c>
      <c r="J63" s="172" t="s">
        <v>873</v>
      </c>
      <c r="K63" s="172" t="s">
        <v>873</v>
      </c>
      <c r="L63" s="172" t="s">
        <v>873</v>
      </c>
      <c r="M63" s="172" t="s">
        <v>873</v>
      </c>
      <c r="N63" s="172" t="s">
        <v>872</v>
      </c>
      <c r="O63" s="172" t="s">
        <v>873</v>
      </c>
      <c r="P63" s="172" t="s">
        <v>872</v>
      </c>
      <c r="Q63" s="172" t="s">
        <v>873</v>
      </c>
      <c r="R63" s="172" t="s">
        <v>873</v>
      </c>
      <c r="S63" s="172" t="s">
        <v>873</v>
      </c>
    </row>
    <row r="64" spans="1:19" ht="13.5" thickBot="1" x14ac:dyDescent="0.25">
      <c r="A64" s="2" t="s">
        <v>757</v>
      </c>
      <c r="B64" s="1" t="s">
        <v>756</v>
      </c>
      <c r="C64" s="2" t="s">
        <v>19</v>
      </c>
      <c r="D64" s="2" t="s">
        <v>1825</v>
      </c>
      <c r="E64" s="6">
        <v>15000</v>
      </c>
      <c r="F64" s="6">
        <v>19000</v>
      </c>
      <c r="G64" s="4">
        <v>24</v>
      </c>
      <c r="H64" s="172" t="s">
        <v>873</v>
      </c>
      <c r="I64" s="172" t="s">
        <v>873</v>
      </c>
      <c r="J64" s="172" t="s">
        <v>873</v>
      </c>
      <c r="K64" s="172" t="s">
        <v>873</v>
      </c>
      <c r="L64" s="172" t="s">
        <v>873</v>
      </c>
      <c r="M64" s="172" t="s">
        <v>873</v>
      </c>
      <c r="N64" s="172" t="s">
        <v>873</v>
      </c>
      <c r="O64" s="172" t="s">
        <v>873</v>
      </c>
      <c r="P64" s="172" t="s">
        <v>872</v>
      </c>
      <c r="Q64" s="172" t="s">
        <v>873</v>
      </c>
      <c r="R64" s="172" t="s">
        <v>873</v>
      </c>
      <c r="S64" s="172" t="s">
        <v>873</v>
      </c>
    </row>
    <row r="65" spans="1:19" ht="13.5" thickBot="1" x14ac:dyDescent="0.25">
      <c r="A65" s="2" t="s">
        <v>775</v>
      </c>
      <c r="B65" s="1" t="s">
        <v>774</v>
      </c>
      <c r="C65" s="2" t="s">
        <v>19</v>
      </c>
      <c r="D65" s="2" t="s">
        <v>1825</v>
      </c>
      <c r="E65" s="6">
        <v>17075</v>
      </c>
      <c r="F65" s="6">
        <v>18050</v>
      </c>
      <c r="G65" s="4">
        <v>25</v>
      </c>
      <c r="H65" s="172" t="s">
        <v>873</v>
      </c>
      <c r="I65" s="172" t="s">
        <v>873</v>
      </c>
      <c r="J65" s="172" t="s">
        <v>873</v>
      </c>
      <c r="K65" s="172" t="s">
        <v>873</v>
      </c>
      <c r="L65" s="172" t="s">
        <v>873</v>
      </c>
      <c r="M65" s="172" t="s">
        <v>873</v>
      </c>
      <c r="N65" s="172" t="s">
        <v>873</v>
      </c>
      <c r="O65" s="172" t="s">
        <v>873</v>
      </c>
      <c r="P65" s="172" t="s">
        <v>872</v>
      </c>
      <c r="Q65" s="172" t="s">
        <v>873</v>
      </c>
      <c r="R65" s="172" t="s">
        <v>873</v>
      </c>
      <c r="S65" s="172" t="s">
        <v>873</v>
      </c>
    </row>
    <row r="66" spans="1:19" ht="13.5" thickBot="1" x14ac:dyDescent="0.25">
      <c r="A66" s="2" t="s">
        <v>787</v>
      </c>
      <c r="B66" s="1" t="s">
        <v>786</v>
      </c>
      <c r="C66" s="2" t="s">
        <v>19</v>
      </c>
      <c r="D66" s="2" t="s">
        <v>1825</v>
      </c>
      <c r="E66" s="6">
        <v>24200</v>
      </c>
      <c r="F66" s="6">
        <v>25500</v>
      </c>
      <c r="G66" s="4">
        <v>32</v>
      </c>
      <c r="H66" s="172" t="s">
        <v>873</v>
      </c>
      <c r="I66" s="172" t="s">
        <v>873</v>
      </c>
      <c r="J66" s="172" t="s">
        <v>873</v>
      </c>
      <c r="K66" s="172" t="s">
        <v>873</v>
      </c>
      <c r="L66" s="172" t="s">
        <v>873</v>
      </c>
      <c r="M66" s="172" t="s">
        <v>872</v>
      </c>
      <c r="N66" s="172" t="s">
        <v>872</v>
      </c>
      <c r="O66" s="172" t="s">
        <v>873</v>
      </c>
      <c r="P66" s="172" t="s">
        <v>872</v>
      </c>
      <c r="Q66" s="172" t="s">
        <v>873</v>
      </c>
      <c r="R66" s="172" t="s">
        <v>873</v>
      </c>
      <c r="S66" s="172" t="s">
        <v>873</v>
      </c>
    </row>
    <row r="67" spans="1:19" ht="13.5" thickBot="1" x14ac:dyDescent="0.25">
      <c r="A67" s="2" t="s">
        <v>793</v>
      </c>
      <c r="B67" s="1" t="s">
        <v>792</v>
      </c>
      <c r="C67" s="2" t="s">
        <v>19</v>
      </c>
      <c r="D67" s="2" t="s">
        <v>973</v>
      </c>
      <c r="E67" s="6">
        <v>31768</v>
      </c>
      <c r="F67" s="6">
        <v>31768</v>
      </c>
      <c r="G67" s="4">
        <v>36</v>
      </c>
      <c r="H67" s="172" t="s">
        <v>872</v>
      </c>
      <c r="I67" s="172" t="s">
        <v>872</v>
      </c>
      <c r="J67" s="172" t="s">
        <v>872</v>
      </c>
      <c r="K67" s="172" t="s">
        <v>872</v>
      </c>
      <c r="L67" s="172" t="s">
        <v>872</v>
      </c>
      <c r="M67" s="172" t="s">
        <v>872</v>
      </c>
      <c r="N67" s="172" t="s">
        <v>872</v>
      </c>
      <c r="O67" s="172" t="s">
        <v>872</v>
      </c>
      <c r="P67" s="172" t="s">
        <v>872</v>
      </c>
      <c r="Q67" s="172" t="s">
        <v>872</v>
      </c>
      <c r="R67" s="172" t="s">
        <v>873</v>
      </c>
      <c r="S67" s="172" t="s">
        <v>873</v>
      </c>
    </row>
    <row r="68" spans="1:19" ht="13.5" thickBot="1" x14ac:dyDescent="0.25">
      <c r="A68" s="2" t="s">
        <v>795</v>
      </c>
      <c r="B68" s="1" t="s">
        <v>794</v>
      </c>
      <c r="C68" s="2" t="s">
        <v>19</v>
      </c>
      <c r="D68" s="2" t="s">
        <v>973</v>
      </c>
      <c r="E68" s="6">
        <v>24752</v>
      </c>
      <c r="F68" s="6">
        <v>25002</v>
      </c>
      <c r="G68" s="4">
        <v>35</v>
      </c>
      <c r="H68" s="172" t="s">
        <v>873</v>
      </c>
      <c r="I68" s="172" t="s">
        <v>873</v>
      </c>
      <c r="J68" s="172" t="s">
        <v>873</v>
      </c>
      <c r="K68" s="172" t="s">
        <v>873</v>
      </c>
      <c r="L68" s="172" t="s">
        <v>873</v>
      </c>
      <c r="M68" s="172" t="s">
        <v>872</v>
      </c>
      <c r="N68" s="172" t="s">
        <v>872</v>
      </c>
      <c r="O68" s="172" t="s">
        <v>873</v>
      </c>
      <c r="P68" s="172" t="s">
        <v>872</v>
      </c>
      <c r="Q68" s="172" t="s">
        <v>873</v>
      </c>
      <c r="R68" s="172" t="s">
        <v>873</v>
      </c>
      <c r="S68" s="172" t="s">
        <v>873</v>
      </c>
    </row>
    <row r="69" spans="1:19" ht="13.5" thickBot="1" x14ac:dyDescent="0.25">
      <c r="A69" s="2" t="s">
        <v>799</v>
      </c>
      <c r="B69" s="1" t="s">
        <v>798</v>
      </c>
      <c r="C69" s="2" t="s">
        <v>19</v>
      </c>
      <c r="D69" s="2" t="s">
        <v>1825</v>
      </c>
      <c r="E69" s="6">
        <v>10000</v>
      </c>
      <c r="F69" s="6">
        <v>15000</v>
      </c>
      <c r="G69" s="4">
        <v>16</v>
      </c>
      <c r="H69" s="172" t="s">
        <v>872</v>
      </c>
      <c r="I69" s="172" t="s">
        <v>872</v>
      </c>
      <c r="J69" s="172" t="s">
        <v>872</v>
      </c>
      <c r="K69" s="172" t="s">
        <v>872</v>
      </c>
      <c r="L69" s="172" t="s">
        <v>872</v>
      </c>
      <c r="M69" s="172" t="s">
        <v>872</v>
      </c>
      <c r="N69" s="172" t="s">
        <v>872</v>
      </c>
      <c r="O69" s="172" t="s">
        <v>872</v>
      </c>
      <c r="P69" s="172" t="s">
        <v>872</v>
      </c>
      <c r="Q69" s="172" t="s">
        <v>872</v>
      </c>
      <c r="R69" s="172" t="s">
        <v>873</v>
      </c>
      <c r="S69" s="172" t="s">
        <v>873</v>
      </c>
    </row>
    <row r="70" spans="1:19" ht="13.5" thickBot="1" x14ac:dyDescent="0.25">
      <c r="A70" s="2" t="s">
        <v>809</v>
      </c>
      <c r="B70" s="1" t="s">
        <v>808</v>
      </c>
      <c r="C70" s="2" t="s">
        <v>19</v>
      </c>
      <c r="D70" s="2" t="s">
        <v>1825</v>
      </c>
      <c r="E70" s="6">
        <v>1000</v>
      </c>
      <c r="F70" s="6">
        <v>15000</v>
      </c>
      <c r="G70" s="4">
        <v>28</v>
      </c>
      <c r="H70" s="172" t="s">
        <v>873</v>
      </c>
      <c r="I70" s="172" t="s">
        <v>873</v>
      </c>
      <c r="J70" s="172" t="s">
        <v>873</v>
      </c>
      <c r="K70" s="172" t="s">
        <v>873</v>
      </c>
      <c r="L70" s="172" t="s">
        <v>873</v>
      </c>
      <c r="M70" s="172" t="s">
        <v>873</v>
      </c>
      <c r="N70" s="172" t="s">
        <v>873</v>
      </c>
      <c r="O70" s="172" t="s">
        <v>873</v>
      </c>
      <c r="P70" s="172" t="s">
        <v>873</v>
      </c>
      <c r="Q70" s="172" t="s">
        <v>873</v>
      </c>
      <c r="R70" s="172" t="s">
        <v>873</v>
      </c>
      <c r="S70" s="172" t="s">
        <v>873</v>
      </c>
    </row>
    <row r="71" spans="1:19" ht="13.5" thickBot="1" x14ac:dyDescent="0.25">
      <c r="A71" s="2" t="s">
        <v>821</v>
      </c>
      <c r="B71" s="1" t="s">
        <v>820</v>
      </c>
      <c r="C71" s="2" t="s">
        <v>19</v>
      </c>
      <c r="D71" s="2" t="s">
        <v>1825</v>
      </c>
      <c r="E71" s="6">
        <v>22971</v>
      </c>
      <c r="F71" s="6">
        <v>25792</v>
      </c>
      <c r="G71" s="4">
        <v>31</v>
      </c>
      <c r="H71" s="172" t="s">
        <v>873</v>
      </c>
      <c r="I71" s="172" t="s">
        <v>873</v>
      </c>
      <c r="J71" s="172" t="s">
        <v>873</v>
      </c>
      <c r="K71" s="172" t="s">
        <v>873</v>
      </c>
      <c r="L71" s="172" t="s">
        <v>872</v>
      </c>
      <c r="M71" s="172" t="s">
        <v>873</v>
      </c>
      <c r="N71" s="172" t="s">
        <v>872</v>
      </c>
      <c r="O71" s="172" t="s">
        <v>872</v>
      </c>
      <c r="P71" s="172" t="s">
        <v>872</v>
      </c>
      <c r="Q71" s="172" t="s">
        <v>873</v>
      </c>
      <c r="R71" s="172" t="s">
        <v>873</v>
      </c>
      <c r="S71" s="172" t="s">
        <v>873</v>
      </c>
    </row>
    <row r="72" spans="1:19" ht="13.5" thickBot="1" x14ac:dyDescent="0.25">
      <c r="A72" s="2" t="s">
        <v>833</v>
      </c>
      <c r="B72" s="1" t="s">
        <v>832</v>
      </c>
      <c r="C72" s="2" t="s">
        <v>19</v>
      </c>
      <c r="D72" s="2" t="s">
        <v>1825</v>
      </c>
      <c r="E72" s="6">
        <v>17160</v>
      </c>
      <c r="F72" s="6">
        <v>22000</v>
      </c>
      <c r="G72" s="4">
        <v>22</v>
      </c>
      <c r="H72" s="172" t="s">
        <v>873</v>
      </c>
      <c r="I72" s="172" t="s">
        <v>873</v>
      </c>
      <c r="J72" s="172" t="s">
        <v>873</v>
      </c>
      <c r="K72" s="172" t="s">
        <v>873</v>
      </c>
      <c r="L72" s="172" t="s">
        <v>873</v>
      </c>
      <c r="M72" s="172" t="s">
        <v>873</v>
      </c>
      <c r="N72" s="172" t="s">
        <v>873</v>
      </c>
      <c r="O72" s="172" t="s">
        <v>873</v>
      </c>
      <c r="P72" s="172" t="s">
        <v>873</v>
      </c>
      <c r="Q72" s="172" t="s">
        <v>873</v>
      </c>
      <c r="R72" s="172" t="s">
        <v>873</v>
      </c>
      <c r="S72" s="172" t="s">
        <v>873</v>
      </c>
    </row>
    <row r="73" spans="1:19" ht="13.5" thickBot="1" x14ac:dyDescent="0.25">
      <c r="A73" s="2" t="s">
        <v>841</v>
      </c>
      <c r="B73" s="1" t="s">
        <v>840</v>
      </c>
      <c r="C73" s="2" t="s">
        <v>19</v>
      </c>
      <c r="D73" s="2" t="s">
        <v>1825</v>
      </c>
      <c r="E73" s="6">
        <v>21840</v>
      </c>
      <c r="F73" s="6">
        <v>26208</v>
      </c>
      <c r="G73" s="4">
        <v>35</v>
      </c>
      <c r="H73" s="172" t="s">
        <v>873</v>
      </c>
      <c r="I73" s="172" t="s">
        <v>873</v>
      </c>
      <c r="J73" s="172" t="s">
        <v>873</v>
      </c>
      <c r="K73" s="172" t="s">
        <v>873</v>
      </c>
      <c r="L73" s="172" t="s">
        <v>873</v>
      </c>
      <c r="M73" s="172" t="s">
        <v>873</v>
      </c>
      <c r="N73" s="172" t="s">
        <v>872</v>
      </c>
      <c r="O73" s="172" t="s">
        <v>872</v>
      </c>
      <c r="P73" s="172" t="s">
        <v>872</v>
      </c>
      <c r="Q73" s="172" t="s">
        <v>873</v>
      </c>
      <c r="R73" s="172" t="s">
        <v>873</v>
      </c>
      <c r="S73" s="172" t="s">
        <v>873</v>
      </c>
    </row>
    <row r="74" spans="1:19" ht="13.5" thickBot="1" x14ac:dyDescent="0.25">
      <c r="A74" s="2" t="s">
        <v>21</v>
      </c>
      <c r="B74" s="1" t="s">
        <v>20</v>
      </c>
      <c r="C74" s="2" t="s">
        <v>24</v>
      </c>
      <c r="D74" s="2" t="s">
        <v>1823</v>
      </c>
      <c r="E74" s="6">
        <v>33000</v>
      </c>
      <c r="F74" s="6">
        <v>45150</v>
      </c>
      <c r="G74" s="4">
        <v>40</v>
      </c>
      <c r="H74" s="172" t="s">
        <v>873</v>
      </c>
      <c r="I74" s="172" t="s">
        <v>873</v>
      </c>
      <c r="J74" s="172" t="s">
        <v>873</v>
      </c>
      <c r="K74" s="172" t="s">
        <v>873</v>
      </c>
      <c r="L74" s="172" t="s">
        <v>873</v>
      </c>
      <c r="M74" s="172" t="s">
        <v>872</v>
      </c>
      <c r="N74" s="172" t="s">
        <v>872</v>
      </c>
      <c r="O74" s="172" t="s">
        <v>872</v>
      </c>
      <c r="P74" s="172" t="s">
        <v>872</v>
      </c>
      <c r="Q74" s="172" t="s">
        <v>873</v>
      </c>
      <c r="R74" s="172" t="s">
        <v>873</v>
      </c>
      <c r="S74" s="172" t="s">
        <v>873</v>
      </c>
    </row>
    <row r="75" spans="1:19" ht="13.5" thickBot="1" x14ac:dyDescent="0.25">
      <c r="A75" s="2" t="s">
        <v>51</v>
      </c>
      <c r="B75" s="1" t="s">
        <v>50</v>
      </c>
      <c r="C75" s="2" t="s">
        <v>24</v>
      </c>
      <c r="D75" s="2" t="s">
        <v>1825</v>
      </c>
      <c r="E75" s="6">
        <v>40000</v>
      </c>
      <c r="F75" s="6">
        <v>50000</v>
      </c>
      <c r="G75" s="4">
        <v>40</v>
      </c>
      <c r="H75" s="172" t="s">
        <v>872</v>
      </c>
      <c r="I75" s="172" t="s">
        <v>873</v>
      </c>
      <c r="J75" s="172" t="s">
        <v>873</v>
      </c>
      <c r="K75" s="172" t="s">
        <v>873</v>
      </c>
      <c r="L75" s="172" t="s">
        <v>873</v>
      </c>
      <c r="M75" s="172" t="s">
        <v>872</v>
      </c>
      <c r="N75" s="172" t="s">
        <v>872</v>
      </c>
      <c r="O75" s="172" t="s">
        <v>872</v>
      </c>
      <c r="P75" s="172" t="s">
        <v>872</v>
      </c>
      <c r="Q75" s="172" t="s">
        <v>873</v>
      </c>
      <c r="R75" s="172" t="s">
        <v>873</v>
      </c>
      <c r="S75" s="172" t="s">
        <v>873</v>
      </c>
    </row>
    <row r="76" spans="1:19" ht="13.5" thickBot="1" x14ac:dyDescent="0.25">
      <c r="A76" s="2" t="s">
        <v>62</v>
      </c>
      <c r="B76" s="1" t="s">
        <v>61</v>
      </c>
      <c r="C76" s="2" t="s">
        <v>24</v>
      </c>
      <c r="D76" s="2" t="s">
        <v>1823</v>
      </c>
      <c r="E76" s="6">
        <v>45000</v>
      </c>
      <c r="F76" s="6">
        <v>65000</v>
      </c>
      <c r="G76" s="4">
        <v>40</v>
      </c>
      <c r="H76" s="172" t="s">
        <v>872</v>
      </c>
      <c r="I76" s="172" t="s">
        <v>873</v>
      </c>
      <c r="J76" s="172" t="s">
        <v>873</v>
      </c>
      <c r="K76" s="172" t="s">
        <v>873</v>
      </c>
      <c r="L76" s="172" t="s">
        <v>873</v>
      </c>
      <c r="M76" s="172" t="s">
        <v>872</v>
      </c>
      <c r="N76" s="172" t="s">
        <v>872</v>
      </c>
      <c r="O76" s="172" t="s">
        <v>872</v>
      </c>
      <c r="P76" s="172" t="s">
        <v>872</v>
      </c>
      <c r="Q76" s="172" t="s">
        <v>872</v>
      </c>
      <c r="R76" s="172" t="s">
        <v>873</v>
      </c>
      <c r="S76" s="172" t="s">
        <v>873</v>
      </c>
    </row>
    <row r="77" spans="1:19" ht="13.5" thickBot="1" x14ac:dyDescent="0.25">
      <c r="A77" s="2" t="s">
        <v>66</v>
      </c>
      <c r="B77" s="1" t="s">
        <v>65</v>
      </c>
      <c r="C77" s="2" t="s">
        <v>24</v>
      </c>
      <c r="D77" s="2" t="s">
        <v>973</v>
      </c>
      <c r="E77" s="6">
        <v>11166</v>
      </c>
      <c r="F77" s="6">
        <v>11442</v>
      </c>
      <c r="G77" s="4">
        <v>20</v>
      </c>
      <c r="H77" s="172" t="s">
        <v>873</v>
      </c>
      <c r="I77" s="172" t="s">
        <v>873</v>
      </c>
      <c r="J77" s="172" t="s">
        <v>873</v>
      </c>
      <c r="K77" s="172" t="s">
        <v>873</v>
      </c>
      <c r="L77" s="172" t="s">
        <v>873</v>
      </c>
      <c r="M77" s="172" t="s">
        <v>873</v>
      </c>
      <c r="N77" s="172" t="s">
        <v>873</v>
      </c>
      <c r="O77" s="172" t="s">
        <v>872</v>
      </c>
      <c r="P77" s="172" t="s">
        <v>873</v>
      </c>
      <c r="Q77" s="172" t="s">
        <v>873</v>
      </c>
      <c r="R77" s="172" t="s">
        <v>873</v>
      </c>
      <c r="S77" s="172" t="s">
        <v>873</v>
      </c>
    </row>
    <row r="78" spans="1:19" ht="13.5" thickBot="1" x14ac:dyDescent="0.25">
      <c r="A78" s="2" t="s">
        <v>78</v>
      </c>
      <c r="B78" s="1" t="s">
        <v>77</v>
      </c>
      <c r="C78" s="2" t="s">
        <v>24</v>
      </c>
      <c r="D78" s="2" t="s">
        <v>973</v>
      </c>
      <c r="E78" s="6">
        <v>32000</v>
      </c>
      <c r="F78" s="6">
        <v>50000</v>
      </c>
      <c r="G78" s="4">
        <v>40</v>
      </c>
      <c r="H78" s="172" t="s">
        <v>872</v>
      </c>
      <c r="I78" s="172" t="s">
        <v>872</v>
      </c>
      <c r="J78" s="172" t="s">
        <v>872</v>
      </c>
      <c r="K78" s="172" t="s">
        <v>873</v>
      </c>
      <c r="L78" s="172" t="s">
        <v>872</v>
      </c>
      <c r="M78" s="172" t="s">
        <v>872</v>
      </c>
      <c r="N78" s="172" t="s">
        <v>872</v>
      </c>
      <c r="O78" s="172" t="s">
        <v>872</v>
      </c>
      <c r="P78" s="172" t="s">
        <v>872</v>
      </c>
      <c r="Q78" s="172" t="s">
        <v>873</v>
      </c>
      <c r="R78" s="172" t="s">
        <v>873</v>
      </c>
      <c r="S78" s="172" t="s">
        <v>873</v>
      </c>
    </row>
    <row r="79" spans="1:19" ht="13.5" thickBot="1" x14ac:dyDescent="0.25">
      <c r="A79" s="2" t="s">
        <v>82</v>
      </c>
      <c r="B79" s="1" t="s">
        <v>81</v>
      </c>
      <c r="C79" s="2" t="s">
        <v>24</v>
      </c>
      <c r="D79" s="2" t="s">
        <v>1825</v>
      </c>
      <c r="E79" s="6">
        <v>43500</v>
      </c>
      <c r="F79" s="6">
        <v>43500</v>
      </c>
      <c r="G79" s="4">
        <v>40</v>
      </c>
      <c r="H79" s="172" t="s">
        <v>873</v>
      </c>
      <c r="I79" s="172" t="s">
        <v>873</v>
      </c>
      <c r="J79" s="172" t="s">
        <v>873</v>
      </c>
      <c r="K79" s="172" t="s">
        <v>873</v>
      </c>
      <c r="L79" s="172" t="s">
        <v>873</v>
      </c>
      <c r="M79" s="172" t="s">
        <v>872</v>
      </c>
      <c r="N79" s="172" t="s">
        <v>872</v>
      </c>
      <c r="O79" s="172" t="s">
        <v>872</v>
      </c>
      <c r="P79" s="172" t="s">
        <v>872</v>
      </c>
      <c r="Q79" s="172" t="s">
        <v>873</v>
      </c>
      <c r="R79" s="172" t="s">
        <v>873</v>
      </c>
      <c r="S79" s="172" t="s">
        <v>873</v>
      </c>
    </row>
    <row r="80" spans="1:19" ht="13.5" thickBot="1" x14ac:dyDescent="0.25">
      <c r="A80" s="2" t="s">
        <v>106</v>
      </c>
      <c r="B80" s="1" t="s">
        <v>105</v>
      </c>
      <c r="C80" s="2" t="s">
        <v>24</v>
      </c>
      <c r="D80" s="2" t="s">
        <v>1823</v>
      </c>
      <c r="E80" s="6">
        <v>45739</v>
      </c>
      <c r="F80" s="6">
        <v>45739</v>
      </c>
      <c r="G80" s="4">
        <v>40</v>
      </c>
      <c r="H80" s="172" t="s">
        <v>872</v>
      </c>
      <c r="I80" s="172" t="s">
        <v>872</v>
      </c>
      <c r="J80" s="172" t="s">
        <v>872</v>
      </c>
      <c r="K80" s="172" t="s">
        <v>872</v>
      </c>
      <c r="L80" s="172" t="s">
        <v>872</v>
      </c>
      <c r="M80" s="172" t="s">
        <v>872</v>
      </c>
      <c r="N80" s="172" t="s">
        <v>872</v>
      </c>
      <c r="O80" s="172" t="s">
        <v>872</v>
      </c>
      <c r="P80" s="172" t="s">
        <v>872</v>
      </c>
      <c r="Q80" s="172" t="s">
        <v>873</v>
      </c>
      <c r="R80" s="172" t="s">
        <v>872</v>
      </c>
      <c r="S80" s="172" t="s">
        <v>872</v>
      </c>
    </row>
    <row r="81" spans="1:19" ht="13.5" thickBot="1" x14ac:dyDescent="0.25">
      <c r="A81" s="2" t="s">
        <v>126</v>
      </c>
      <c r="B81" s="1" t="s">
        <v>125</v>
      </c>
      <c r="C81" s="2" t="s">
        <v>24</v>
      </c>
      <c r="D81" s="2" t="s">
        <v>1823</v>
      </c>
      <c r="E81" s="6">
        <v>48000</v>
      </c>
      <c r="F81" s="6">
        <v>52000</v>
      </c>
      <c r="G81" s="4">
        <v>40</v>
      </c>
      <c r="H81" s="172" t="s">
        <v>873</v>
      </c>
      <c r="I81" s="172" t="s">
        <v>873</v>
      </c>
      <c r="J81" s="172" t="s">
        <v>873</v>
      </c>
      <c r="K81" s="172" t="s">
        <v>872</v>
      </c>
      <c r="L81" s="172" t="s">
        <v>873</v>
      </c>
      <c r="M81" s="172" t="s">
        <v>873</v>
      </c>
      <c r="N81" s="172" t="s">
        <v>872</v>
      </c>
      <c r="O81" s="172" t="s">
        <v>872</v>
      </c>
      <c r="P81" s="172" t="s">
        <v>872</v>
      </c>
      <c r="Q81" s="172" t="s">
        <v>873</v>
      </c>
      <c r="R81" s="172" t="s">
        <v>873</v>
      </c>
      <c r="S81" s="172" t="s">
        <v>873</v>
      </c>
    </row>
    <row r="82" spans="1:19" ht="13.5" thickBot="1" x14ac:dyDescent="0.25">
      <c r="A82" s="2" t="s">
        <v>132</v>
      </c>
      <c r="B82" s="1" t="s">
        <v>131</v>
      </c>
      <c r="C82" s="2" t="s">
        <v>24</v>
      </c>
      <c r="D82" s="2" t="s">
        <v>1825</v>
      </c>
      <c r="E82" s="6">
        <v>24000</v>
      </c>
      <c r="F82" s="6">
        <v>24000</v>
      </c>
      <c r="G82" s="4">
        <v>32</v>
      </c>
      <c r="H82" s="172" t="s">
        <v>873</v>
      </c>
      <c r="I82" s="172" t="s">
        <v>873</v>
      </c>
      <c r="J82" s="172" t="s">
        <v>873</v>
      </c>
      <c r="K82" s="172" t="s">
        <v>873</v>
      </c>
      <c r="L82" s="172" t="s">
        <v>872</v>
      </c>
      <c r="M82" s="172" t="s">
        <v>873</v>
      </c>
      <c r="N82" s="172" t="s">
        <v>872</v>
      </c>
      <c r="O82" s="172" t="s">
        <v>873</v>
      </c>
      <c r="P82" s="172" t="s">
        <v>872</v>
      </c>
      <c r="Q82" s="172" t="s">
        <v>873</v>
      </c>
      <c r="R82" s="172" t="s">
        <v>873</v>
      </c>
      <c r="S82" s="172" t="s">
        <v>873</v>
      </c>
    </row>
    <row r="83" spans="1:19" ht="13.5" thickBot="1" x14ac:dyDescent="0.25">
      <c r="A83" s="2" t="s">
        <v>146</v>
      </c>
      <c r="B83" s="1" t="s">
        <v>145</v>
      </c>
      <c r="C83" s="2" t="s">
        <v>24</v>
      </c>
      <c r="D83" s="169" t="s">
        <v>16</v>
      </c>
      <c r="E83" s="6">
        <v>20384</v>
      </c>
      <c r="F83" s="6">
        <v>21840</v>
      </c>
      <c r="G83" s="4">
        <v>28</v>
      </c>
      <c r="H83" s="172" t="s">
        <v>873</v>
      </c>
      <c r="I83" s="172" t="s">
        <v>873</v>
      </c>
      <c r="J83" s="172" t="s">
        <v>873</v>
      </c>
      <c r="K83" s="172" t="s">
        <v>873</v>
      </c>
      <c r="L83" s="172" t="s">
        <v>873</v>
      </c>
      <c r="M83" s="172" t="s">
        <v>873</v>
      </c>
      <c r="N83" s="172" t="s">
        <v>872</v>
      </c>
      <c r="O83" s="172" t="s">
        <v>873</v>
      </c>
      <c r="P83" s="172" t="s">
        <v>872</v>
      </c>
      <c r="Q83" s="172" t="s">
        <v>873</v>
      </c>
      <c r="R83" s="172" t="s">
        <v>873</v>
      </c>
      <c r="S83" s="172" t="s">
        <v>873</v>
      </c>
    </row>
    <row r="84" spans="1:19" ht="13.5" thickBot="1" x14ac:dyDescent="0.25">
      <c r="A84" s="2" t="s">
        <v>188</v>
      </c>
      <c r="B84" s="1" t="s">
        <v>187</v>
      </c>
      <c r="C84" s="2" t="s">
        <v>24</v>
      </c>
      <c r="D84" s="2" t="s">
        <v>973</v>
      </c>
      <c r="E84" s="6">
        <v>31820</v>
      </c>
      <c r="F84" s="6">
        <v>31820</v>
      </c>
      <c r="G84" s="4">
        <v>33</v>
      </c>
      <c r="H84" s="172" t="s">
        <v>873</v>
      </c>
      <c r="I84" s="172" t="s">
        <v>873</v>
      </c>
      <c r="J84" s="172" t="s">
        <v>872</v>
      </c>
      <c r="K84" s="172" t="s">
        <v>873</v>
      </c>
      <c r="L84" s="172" t="s">
        <v>872</v>
      </c>
      <c r="M84" s="172" t="s">
        <v>872</v>
      </c>
      <c r="N84" s="172" t="s">
        <v>872</v>
      </c>
      <c r="O84" s="172" t="s">
        <v>872</v>
      </c>
      <c r="P84" s="172" t="s">
        <v>872</v>
      </c>
      <c r="Q84" s="172" t="s">
        <v>873</v>
      </c>
      <c r="R84" s="172" t="s">
        <v>873</v>
      </c>
      <c r="S84" s="172" t="s">
        <v>873</v>
      </c>
    </row>
    <row r="85" spans="1:19" ht="13.5" thickBot="1" x14ac:dyDescent="0.25">
      <c r="A85" s="2" t="s">
        <v>202</v>
      </c>
      <c r="B85" s="1" t="s">
        <v>201</v>
      </c>
      <c r="C85" s="2" t="s">
        <v>24</v>
      </c>
      <c r="D85" s="2" t="s">
        <v>1825</v>
      </c>
      <c r="E85" s="6">
        <v>33030</v>
      </c>
      <c r="F85" s="6">
        <v>41280</v>
      </c>
      <c r="G85" s="4">
        <v>32</v>
      </c>
      <c r="H85" s="172" t="s">
        <v>873</v>
      </c>
      <c r="I85" s="172" t="s">
        <v>873</v>
      </c>
      <c r="J85" s="172" t="s">
        <v>873</v>
      </c>
      <c r="K85" s="172" t="s">
        <v>873</v>
      </c>
      <c r="L85" s="172" t="s">
        <v>873</v>
      </c>
      <c r="M85" s="172" t="s">
        <v>873</v>
      </c>
      <c r="N85" s="172" t="s">
        <v>872</v>
      </c>
      <c r="O85" s="172" t="s">
        <v>873</v>
      </c>
      <c r="P85" s="172" t="s">
        <v>873</v>
      </c>
      <c r="Q85" s="172" t="s">
        <v>873</v>
      </c>
      <c r="R85" s="172" t="s">
        <v>873</v>
      </c>
      <c r="S85" s="172" t="s">
        <v>873</v>
      </c>
    </row>
    <row r="86" spans="1:19" ht="13.5" thickBot="1" x14ac:dyDescent="0.25">
      <c r="A86" s="2" t="s">
        <v>225</v>
      </c>
      <c r="B86" s="1" t="s">
        <v>224</v>
      </c>
      <c r="C86" s="2" t="s">
        <v>24</v>
      </c>
      <c r="D86" s="2" t="s">
        <v>1824</v>
      </c>
      <c r="E86" s="6">
        <v>15834</v>
      </c>
      <c r="F86" s="6">
        <v>17342</v>
      </c>
      <c r="G86" s="4">
        <v>29</v>
      </c>
      <c r="H86" s="172" t="s">
        <v>873</v>
      </c>
      <c r="I86" s="172" t="s">
        <v>873</v>
      </c>
      <c r="J86" s="172" t="s">
        <v>873</v>
      </c>
      <c r="K86" s="172" t="s">
        <v>873</v>
      </c>
      <c r="L86" s="172" t="s">
        <v>873</v>
      </c>
      <c r="M86" s="172" t="s">
        <v>873</v>
      </c>
      <c r="N86" s="172" t="s">
        <v>872</v>
      </c>
      <c r="O86" s="172" t="s">
        <v>872</v>
      </c>
      <c r="P86" s="172" t="s">
        <v>872</v>
      </c>
      <c r="Q86" s="172" t="s">
        <v>873</v>
      </c>
      <c r="R86" s="172" t="s">
        <v>873</v>
      </c>
      <c r="S86" s="172" t="s">
        <v>873</v>
      </c>
    </row>
    <row r="87" spans="1:19" ht="13.5" thickBot="1" x14ac:dyDescent="0.25">
      <c r="A87" s="2" t="s">
        <v>241</v>
      </c>
      <c r="B87" s="1" t="s">
        <v>240</v>
      </c>
      <c r="C87" s="2" t="s">
        <v>24</v>
      </c>
      <c r="D87" s="2" t="s">
        <v>1823</v>
      </c>
      <c r="E87" s="6">
        <v>38160</v>
      </c>
      <c r="F87" s="6">
        <v>38160</v>
      </c>
      <c r="G87" s="4">
        <v>37</v>
      </c>
      <c r="H87" s="172" t="s">
        <v>873</v>
      </c>
      <c r="I87" s="172" t="s">
        <v>873</v>
      </c>
      <c r="J87" s="172" t="s">
        <v>873</v>
      </c>
      <c r="K87" s="172" t="s">
        <v>873</v>
      </c>
      <c r="L87" s="172" t="s">
        <v>872</v>
      </c>
      <c r="M87" s="172" t="s">
        <v>872</v>
      </c>
      <c r="N87" s="172" t="s">
        <v>872</v>
      </c>
      <c r="O87" s="172" t="s">
        <v>873</v>
      </c>
      <c r="P87" s="172" t="s">
        <v>872</v>
      </c>
      <c r="Q87" s="172" t="s">
        <v>873</v>
      </c>
      <c r="R87" s="172" t="s">
        <v>873</v>
      </c>
      <c r="S87" s="172" t="s">
        <v>873</v>
      </c>
    </row>
    <row r="88" spans="1:19" ht="13.5" thickBot="1" x14ac:dyDescent="0.25">
      <c r="A88" s="2" t="s">
        <v>247</v>
      </c>
      <c r="B88" s="1" t="s">
        <v>246</v>
      </c>
      <c r="C88" s="2" t="s">
        <v>24</v>
      </c>
      <c r="D88" s="2" t="s">
        <v>1825</v>
      </c>
      <c r="E88" s="6">
        <v>21963</v>
      </c>
      <c r="F88" s="6">
        <v>21963</v>
      </c>
      <c r="G88" s="4">
        <v>29</v>
      </c>
      <c r="H88" s="172" t="s">
        <v>873</v>
      </c>
      <c r="I88" s="172" t="s">
        <v>873</v>
      </c>
      <c r="J88" s="172" t="s">
        <v>873</v>
      </c>
      <c r="K88" s="172" t="s">
        <v>873</v>
      </c>
      <c r="L88" s="172" t="s">
        <v>873</v>
      </c>
      <c r="M88" s="172" t="s">
        <v>873</v>
      </c>
      <c r="N88" s="172" t="s">
        <v>873</v>
      </c>
      <c r="O88" s="172" t="s">
        <v>872</v>
      </c>
      <c r="P88" s="172" t="s">
        <v>873</v>
      </c>
      <c r="Q88" s="172" t="s">
        <v>873</v>
      </c>
      <c r="R88" s="172" t="s">
        <v>873</v>
      </c>
      <c r="S88" s="172" t="s">
        <v>873</v>
      </c>
    </row>
    <row r="89" spans="1:19" ht="13.5" thickBot="1" x14ac:dyDescent="0.25">
      <c r="A89" s="2" t="s">
        <v>249</v>
      </c>
      <c r="B89" s="1" t="s">
        <v>248</v>
      </c>
      <c r="C89" s="2" t="s">
        <v>24</v>
      </c>
      <c r="D89" s="2" t="s">
        <v>1825</v>
      </c>
      <c r="E89" s="6">
        <v>25000</v>
      </c>
      <c r="F89" s="6">
        <v>30000</v>
      </c>
      <c r="G89" s="4">
        <v>32</v>
      </c>
      <c r="H89" s="172" t="s">
        <v>873</v>
      </c>
      <c r="I89" s="172" t="s">
        <v>873</v>
      </c>
      <c r="J89" s="172" t="s">
        <v>873</v>
      </c>
      <c r="K89" s="172" t="s">
        <v>873</v>
      </c>
      <c r="L89" s="172" t="s">
        <v>873</v>
      </c>
      <c r="M89" s="172" t="s">
        <v>872</v>
      </c>
      <c r="N89" s="172" t="s">
        <v>872</v>
      </c>
      <c r="O89" s="172" t="s">
        <v>872</v>
      </c>
      <c r="P89" s="172" t="s">
        <v>872</v>
      </c>
      <c r="Q89" s="172" t="s">
        <v>872</v>
      </c>
      <c r="R89" s="172" t="s">
        <v>873</v>
      </c>
      <c r="S89" s="172" t="s">
        <v>873</v>
      </c>
    </row>
    <row r="90" spans="1:19" ht="13.5" thickBot="1" x14ac:dyDescent="0.25">
      <c r="A90" s="2" t="s">
        <v>263</v>
      </c>
      <c r="B90" s="1" t="s">
        <v>262</v>
      </c>
      <c r="C90" s="2" t="s">
        <v>24</v>
      </c>
      <c r="D90" s="2" t="s">
        <v>973</v>
      </c>
      <c r="E90" s="6">
        <v>52000</v>
      </c>
      <c r="F90" s="6">
        <v>55200</v>
      </c>
      <c r="G90" s="4">
        <v>40</v>
      </c>
      <c r="H90" s="172" t="s">
        <v>872</v>
      </c>
      <c r="I90" s="172" t="s">
        <v>872</v>
      </c>
      <c r="J90" s="172" t="s">
        <v>872</v>
      </c>
      <c r="K90" s="172" t="s">
        <v>873</v>
      </c>
      <c r="L90" s="172" t="s">
        <v>872</v>
      </c>
      <c r="M90" s="172" t="s">
        <v>872</v>
      </c>
      <c r="N90" s="172" t="s">
        <v>872</v>
      </c>
      <c r="O90" s="172" t="s">
        <v>872</v>
      </c>
      <c r="P90" s="172" t="s">
        <v>872</v>
      </c>
      <c r="Q90" s="172" t="s">
        <v>873</v>
      </c>
      <c r="R90" s="172" t="s">
        <v>873</v>
      </c>
      <c r="S90" s="172" t="s">
        <v>873</v>
      </c>
    </row>
    <row r="91" spans="1:19" ht="13.5" thickBot="1" x14ac:dyDescent="0.25">
      <c r="A91" s="2" t="s">
        <v>293</v>
      </c>
      <c r="B91" s="1" t="s">
        <v>292</v>
      </c>
      <c r="C91" s="2" t="s">
        <v>24</v>
      </c>
      <c r="D91" s="2" t="s">
        <v>1825</v>
      </c>
      <c r="E91" s="6">
        <v>16000</v>
      </c>
      <c r="F91" s="6">
        <v>36000</v>
      </c>
      <c r="G91" s="4">
        <v>40</v>
      </c>
      <c r="H91" s="172" t="s">
        <v>873</v>
      </c>
      <c r="I91" s="172" t="s">
        <v>873</v>
      </c>
      <c r="J91" s="172" t="s">
        <v>873</v>
      </c>
      <c r="K91" s="172" t="s">
        <v>873</v>
      </c>
      <c r="L91" s="172" t="s">
        <v>873</v>
      </c>
      <c r="M91" s="172" t="s">
        <v>872</v>
      </c>
      <c r="N91" s="172" t="s">
        <v>872</v>
      </c>
      <c r="O91" s="172" t="s">
        <v>873</v>
      </c>
      <c r="P91" s="172" t="s">
        <v>872</v>
      </c>
      <c r="Q91" s="172" t="s">
        <v>873</v>
      </c>
      <c r="R91" s="172" t="s">
        <v>873</v>
      </c>
      <c r="S91" s="172" t="s">
        <v>872</v>
      </c>
    </row>
    <row r="92" spans="1:19" ht="13.5" thickBot="1" x14ac:dyDescent="0.25">
      <c r="A92" s="2" t="s">
        <v>303</v>
      </c>
      <c r="B92" s="1" t="s">
        <v>302</v>
      </c>
      <c r="C92" s="2" t="s">
        <v>24</v>
      </c>
      <c r="D92" s="2" t="s">
        <v>973</v>
      </c>
      <c r="E92" s="6">
        <v>20400</v>
      </c>
      <c r="F92" s="6">
        <v>25200</v>
      </c>
      <c r="G92" s="4">
        <v>23</v>
      </c>
      <c r="H92" s="172" t="s">
        <v>873</v>
      </c>
      <c r="I92" s="172" t="s">
        <v>873</v>
      </c>
      <c r="J92" s="172" t="s">
        <v>873</v>
      </c>
      <c r="K92" s="172" t="s">
        <v>873</v>
      </c>
      <c r="L92" s="172" t="s">
        <v>873</v>
      </c>
      <c r="M92" s="172" t="s">
        <v>873</v>
      </c>
      <c r="N92" s="172" t="s">
        <v>872</v>
      </c>
      <c r="O92" s="172" t="s">
        <v>873</v>
      </c>
      <c r="P92" s="172" t="s">
        <v>872</v>
      </c>
      <c r="Q92" s="172" t="s">
        <v>873</v>
      </c>
      <c r="R92" s="172" t="s">
        <v>873</v>
      </c>
      <c r="S92" s="172" t="s">
        <v>873</v>
      </c>
    </row>
    <row r="93" spans="1:19" ht="13.5" thickBot="1" x14ac:dyDescent="0.25">
      <c r="A93" s="2" t="s">
        <v>347</v>
      </c>
      <c r="B93" s="1" t="s">
        <v>346</v>
      </c>
      <c r="C93" s="2" t="s">
        <v>24</v>
      </c>
      <c r="D93" s="2" t="s">
        <v>973</v>
      </c>
      <c r="E93" s="6">
        <v>20000</v>
      </c>
      <c r="F93" s="6">
        <v>59000</v>
      </c>
      <c r="G93" s="4">
        <v>10</v>
      </c>
      <c r="H93" s="172" t="s">
        <v>872</v>
      </c>
      <c r="I93" s="172" t="s">
        <v>872</v>
      </c>
      <c r="J93" s="172" t="s">
        <v>872</v>
      </c>
      <c r="K93" s="172" t="s">
        <v>872</v>
      </c>
      <c r="L93" s="172" t="s">
        <v>872</v>
      </c>
      <c r="M93" s="172" t="s">
        <v>872</v>
      </c>
      <c r="N93" s="172" t="s">
        <v>872</v>
      </c>
      <c r="O93" s="172" t="s">
        <v>872</v>
      </c>
      <c r="P93" s="172" t="s">
        <v>872</v>
      </c>
      <c r="Q93" s="172" t="s">
        <v>872</v>
      </c>
      <c r="R93" s="172" t="s">
        <v>872</v>
      </c>
      <c r="S93" s="172" t="s">
        <v>873</v>
      </c>
    </row>
    <row r="94" spans="1:19" ht="13.5" thickBot="1" x14ac:dyDescent="0.25">
      <c r="A94" s="2" t="s">
        <v>349</v>
      </c>
      <c r="B94" s="1" t="s">
        <v>348</v>
      </c>
      <c r="C94" s="2" t="s">
        <v>24</v>
      </c>
      <c r="D94" s="2" t="s">
        <v>1825</v>
      </c>
      <c r="E94" s="6">
        <v>30000</v>
      </c>
      <c r="F94" s="6">
        <v>60000</v>
      </c>
      <c r="G94" s="4">
        <v>40</v>
      </c>
      <c r="H94" s="172" t="s">
        <v>872</v>
      </c>
      <c r="I94" s="172" t="s">
        <v>872</v>
      </c>
      <c r="J94" s="172" t="s">
        <v>872</v>
      </c>
      <c r="K94" s="172" t="s">
        <v>872</v>
      </c>
      <c r="L94" s="172" t="s">
        <v>872</v>
      </c>
      <c r="M94" s="172" t="s">
        <v>872</v>
      </c>
      <c r="N94" s="172" t="s">
        <v>872</v>
      </c>
      <c r="O94" s="172" t="s">
        <v>872</v>
      </c>
      <c r="P94" s="172" t="s">
        <v>872</v>
      </c>
      <c r="Q94" s="172" t="s">
        <v>873</v>
      </c>
      <c r="R94" s="172" t="s">
        <v>872</v>
      </c>
      <c r="S94" s="172" t="s">
        <v>873</v>
      </c>
    </row>
    <row r="95" spans="1:19" ht="13.5" thickBot="1" x14ac:dyDescent="0.25">
      <c r="A95" s="2" t="s">
        <v>359</v>
      </c>
      <c r="B95" s="1" t="s">
        <v>358</v>
      </c>
      <c r="C95" s="2" t="s">
        <v>24</v>
      </c>
      <c r="D95" s="2" t="s">
        <v>1825</v>
      </c>
      <c r="E95" s="6">
        <v>29000</v>
      </c>
      <c r="F95" s="6">
        <v>43000</v>
      </c>
      <c r="G95" s="4">
        <v>40</v>
      </c>
      <c r="H95" s="172" t="s">
        <v>872</v>
      </c>
      <c r="I95" s="172" t="s">
        <v>873</v>
      </c>
      <c r="J95" s="172" t="s">
        <v>873</v>
      </c>
      <c r="K95" s="172" t="s">
        <v>873</v>
      </c>
      <c r="L95" s="172" t="s">
        <v>873</v>
      </c>
      <c r="M95" s="172" t="s">
        <v>872</v>
      </c>
      <c r="N95" s="172" t="s">
        <v>872</v>
      </c>
      <c r="O95" s="172" t="s">
        <v>872</v>
      </c>
      <c r="P95" s="172" t="s">
        <v>872</v>
      </c>
      <c r="Q95" s="172" t="s">
        <v>873</v>
      </c>
      <c r="R95" s="172" t="s">
        <v>873</v>
      </c>
      <c r="S95" s="172" t="s">
        <v>873</v>
      </c>
    </row>
    <row r="96" spans="1:19" ht="13.5" thickBot="1" x14ac:dyDescent="0.25">
      <c r="A96" s="2" t="s">
        <v>369</v>
      </c>
      <c r="B96" s="1" t="s">
        <v>368</v>
      </c>
      <c r="C96" s="2" t="s">
        <v>24</v>
      </c>
      <c r="D96" s="2" t="s">
        <v>973</v>
      </c>
      <c r="E96" s="6">
        <v>30000</v>
      </c>
      <c r="F96" s="6">
        <v>36000</v>
      </c>
      <c r="G96" s="4">
        <v>30</v>
      </c>
      <c r="H96" s="172" t="s">
        <v>873</v>
      </c>
      <c r="I96" s="172" t="s">
        <v>873</v>
      </c>
      <c r="J96" s="172" t="s">
        <v>873</v>
      </c>
      <c r="K96" s="172" t="s">
        <v>873</v>
      </c>
      <c r="L96" s="172" t="s">
        <v>873</v>
      </c>
      <c r="M96" s="172" t="s">
        <v>872</v>
      </c>
      <c r="N96" s="172" t="s">
        <v>872</v>
      </c>
      <c r="O96" s="172" t="s">
        <v>873</v>
      </c>
      <c r="P96" s="172" t="s">
        <v>872</v>
      </c>
      <c r="Q96" s="172" t="s">
        <v>873</v>
      </c>
      <c r="R96" s="172" t="s">
        <v>873</v>
      </c>
      <c r="S96" s="172" t="s">
        <v>873</v>
      </c>
    </row>
    <row r="97" spans="1:19" ht="13.5" thickBot="1" x14ac:dyDescent="0.25">
      <c r="A97" s="2" t="s">
        <v>377</v>
      </c>
      <c r="B97" s="1" t="s">
        <v>376</v>
      </c>
      <c r="C97" s="2" t="s">
        <v>24</v>
      </c>
      <c r="D97" s="2" t="s">
        <v>1825</v>
      </c>
      <c r="E97" s="6">
        <v>20000</v>
      </c>
      <c r="F97" s="6">
        <v>30000</v>
      </c>
      <c r="G97" s="4">
        <v>32</v>
      </c>
      <c r="H97" s="172" t="s">
        <v>873</v>
      </c>
      <c r="I97" s="172" t="s">
        <v>873</v>
      </c>
      <c r="J97" s="172" t="s">
        <v>873</v>
      </c>
      <c r="K97" s="172" t="s">
        <v>873</v>
      </c>
      <c r="L97" s="172" t="s">
        <v>873</v>
      </c>
      <c r="M97" s="172" t="s">
        <v>872</v>
      </c>
      <c r="N97" s="172" t="s">
        <v>872</v>
      </c>
      <c r="O97" s="172" t="s">
        <v>873</v>
      </c>
      <c r="P97" s="172" t="s">
        <v>872</v>
      </c>
      <c r="Q97" s="172" t="s">
        <v>873</v>
      </c>
      <c r="R97" s="172" t="s">
        <v>873</v>
      </c>
      <c r="S97" s="172" t="s">
        <v>873</v>
      </c>
    </row>
    <row r="98" spans="1:19" ht="13.5" thickBot="1" x14ac:dyDescent="0.25">
      <c r="A98" s="2" t="s">
        <v>381</v>
      </c>
      <c r="B98" s="1" t="s">
        <v>380</v>
      </c>
      <c r="C98" s="2" t="s">
        <v>24</v>
      </c>
      <c r="D98" s="2" t="s">
        <v>1824</v>
      </c>
      <c r="E98" s="6">
        <v>15000</v>
      </c>
      <c r="F98" s="6">
        <v>25000</v>
      </c>
      <c r="G98" s="4">
        <v>25</v>
      </c>
      <c r="H98" s="172" t="s">
        <v>873</v>
      </c>
      <c r="I98" s="172" t="s">
        <v>873</v>
      </c>
      <c r="J98" s="172" t="s">
        <v>873</v>
      </c>
      <c r="K98" s="172" t="s">
        <v>873</v>
      </c>
      <c r="L98" s="172" t="s">
        <v>873</v>
      </c>
      <c r="M98" s="172" t="s">
        <v>872</v>
      </c>
      <c r="N98" s="172" t="s">
        <v>872</v>
      </c>
      <c r="O98" s="172" t="s">
        <v>873</v>
      </c>
      <c r="P98" s="172" t="s">
        <v>872</v>
      </c>
      <c r="Q98" s="172" t="s">
        <v>873</v>
      </c>
      <c r="R98" s="172" t="s">
        <v>873</v>
      </c>
      <c r="S98" s="172" t="s">
        <v>873</v>
      </c>
    </row>
    <row r="99" spans="1:19" ht="13.5" thickBot="1" x14ac:dyDescent="0.25">
      <c r="A99" s="2" t="s">
        <v>387</v>
      </c>
      <c r="B99" s="1" t="s">
        <v>386</v>
      </c>
      <c r="C99" s="2" t="s">
        <v>24</v>
      </c>
      <c r="D99" s="2" t="s">
        <v>1825</v>
      </c>
      <c r="E99" s="6">
        <v>25740</v>
      </c>
      <c r="F99" s="6">
        <v>27456</v>
      </c>
      <c r="G99" s="4">
        <v>33</v>
      </c>
      <c r="H99" s="172" t="s">
        <v>873</v>
      </c>
      <c r="I99" s="172" t="s">
        <v>873</v>
      </c>
      <c r="J99" s="172" t="s">
        <v>873</v>
      </c>
      <c r="K99" s="172" t="s">
        <v>873</v>
      </c>
      <c r="L99" s="172" t="s">
        <v>873</v>
      </c>
      <c r="M99" s="172" t="s">
        <v>873</v>
      </c>
      <c r="N99" s="172" t="s">
        <v>872</v>
      </c>
      <c r="O99" s="172" t="s">
        <v>872</v>
      </c>
      <c r="P99" s="172" t="s">
        <v>872</v>
      </c>
      <c r="Q99" s="172" t="s">
        <v>873</v>
      </c>
      <c r="R99" s="172" t="s">
        <v>873</v>
      </c>
      <c r="S99" s="172" t="s">
        <v>873</v>
      </c>
    </row>
    <row r="100" spans="1:19" ht="13.5" thickBot="1" x14ac:dyDescent="0.25">
      <c r="A100" s="2" t="s">
        <v>391</v>
      </c>
      <c r="B100" s="1" t="s">
        <v>390</v>
      </c>
      <c r="C100" s="2" t="s">
        <v>24</v>
      </c>
      <c r="D100" s="2" t="s">
        <v>1825</v>
      </c>
      <c r="E100" s="6">
        <v>31200</v>
      </c>
      <c r="F100" s="6">
        <v>36000</v>
      </c>
      <c r="G100" s="4">
        <v>40</v>
      </c>
      <c r="H100" s="172" t="s">
        <v>873</v>
      </c>
      <c r="I100" s="172" t="s">
        <v>873</v>
      </c>
      <c r="J100" s="172" t="s">
        <v>873</v>
      </c>
      <c r="K100" s="172" t="s">
        <v>873</v>
      </c>
      <c r="L100" s="172" t="s">
        <v>873</v>
      </c>
      <c r="M100" s="172" t="s">
        <v>872</v>
      </c>
      <c r="N100" s="172" t="s">
        <v>872</v>
      </c>
      <c r="O100" s="172" t="s">
        <v>872</v>
      </c>
      <c r="P100" s="172" t="s">
        <v>872</v>
      </c>
      <c r="Q100" s="172" t="s">
        <v>873</v>
      </c>
      <c r="R100" s="172" t="s">
        <v>873</v>
      </c>
      <c r="S100" s="172" t="s">
        <v>873</v>
      </c>
    </row>
    <row r="101" spans="1:19" ht="13.5" thickBot="1" x14ac:dyDescent="0.25">
      <c r="A101" s="2" t="s">
        <v>397</v>
      </c>
      <c r="B101" s="1" t="s">
        <v>396</v>
      </c>
      <c r="C101" s="2" t="s">
        <v>24</v>
      </c>
      <c r="D101" s="2" t="s">
        <v>1825</v>
      </c>
      <c r="E101" s="6">
        <v>45000</v>
      </c>
      <c r="F101" s="6">
        <v>45000</v>
      </c>
      <c r="G101" s="4">
        <v>40</v>
      </c>
      <c r="H101" s="172" t="s">
        <v>873</v>
      </c>
      <c r="I101" s="172" t="s">
        <v>873</v>
      </c>
      <c r="J101" s="172" t="s">
        <v>873</v>
      </c>
      <c r="K101" s="172" t="s">
        <v>873</v>
      </c>
      <c r="L101" s="172" t="s">
        <v>873</v>
      </c>
      <c r="M101" s="172" t="s">
        <v>872</v>
      </c>
      <c r="N101" s="172" t="s">
        <v>872</v>
      </c>
      <c r="O101" s="172" t="s">
        <v>872</v>
      </c>
      <c r="P101" s="172" t="s">
        <v>872</v>
      </c>
      <c r="Q101" s="172" t="s">
        <v>873</v>
      </c>
      <c r="R101" s="172" t="s">
        <v>873</v>
      </c>
      <c r="S101" s="172" t="s">
        <v>873</v>
      </c>
    </row>
    <row r="102" spans="1:19" ht="13.5" thickBot="1" x14ac:dyDescent="0.25">
      <c r="A102" s="2" t="s">
        <v>403</v>
      </c>
      <c r="B102" s="1" t="s">
        <v>402</v>
      </c>
      <c r="C102" s="2" t="s">
        <v>24</v>
      </c>
      <c r="D102" s="2" t="s">
        <v>1825</v>
      </c>
      <c r="E102" s="6">
        <v>23000</v>
      </c>
      <c r="F102" s="6">
        <v>32000</v>
      </c>
      <c r="G102" s="4">
        <v>40</v>
      </c>
      <c r="H102" s="172" t="s">
        <v>872</v>
      </c>
      <c r="I102" s="172" t="s">
        <v>872</v>
      </c>
      <c r="J102" s="172" t="s">
        <v>872</v>
      </c>
      <c r="K102" s="172" t="s">
        <v>872</v>
      </c>
      <c r="L102" s="172" t="s">
        <v>872</v>
      </c>
      <c r="M102" s="172" t="s">
        <v>872</v>
      </c>
      <c r="N102" s="172" t="s">
        <v>872</v>
      </c>
      <c r="O102" s="172" t="s">
        <v>872</v>
      </c>
      <c r="P102" s="172" t="s">
        <v>872</v>
      </c>
      <c r="Q102" s="172" t="s">
        <v>873</v>
      </c>
      <c r="R102" s="172" t="s">
        <v>873</v>
      </c>
      <c r="S102" s="172" t="s">
        <v>873</v>
      </c>
    </row>
    <row r="103" spans="1:19" ht="13.5" thickBot="1" x14ac:dyDescent="0.25">
      <c r="A103" s="2" t="s">
        <v>407</v>
      </c>
      <c r="B103" s="1" t="s">
        <v>406</v>
      </c>
      <c r="C103" s="2" t="s">
        <v>24</v>
      </c>
      <c r="D103" s="2" t="s">
        <v>1825</v>
      </c>
      <c r="E103" s="6">
        <v>23465</v>
      </c>
      <c r="F103" s="6">
        <v>23465</v>
      </c>
      <c r="G103" s="4">
        <v>32</v>
      </c>
      <c r="H103" s="172" t="s">
        <v>873</v>
      </c>
      <c r="I103" s="172" t="s">
        <v>873</v>
      </c>
      <c r="J103" s="172" t="s">
        <v>873</v>
      </c>
      <c r="K103" s="172" t="s">
        <v>872</v>
      </c>
      <c r="L103" s="172" t="s">
        <v>872</v>
      </c>
      <c r="M103" s="172" t="s">
        <v>872</v>
      </c>
      <c r="N103" s="172" t="s">
        <v>872</v>
      </c>
      <c r="O103" s="172" t="s">
        <v>873</v>
      </c>
      <c r="P103" s="172" t="s">
        <v>872</v>
      </c>
      <c r="Q103" s="172" t="s">
        <v>873</v>
      </c>
      <c r="R103" s="172" t="s">
        <v>873</v>
      </c>
      <c r="S103" s="172" t="s">
        <v>873</v>
      </c>
    </row>
    <row r="104" spans="1:19" ht="13.5" thickBot="1" x14ac:dyDescent="0.25">
      <c r="A104" s="2" t="s">
        <v>411</v>
      </c>
      <c r="B104" s="1" t="s">
        <v>410</v>
      </c>
      <c r="C104" s="2" t="s">
        <v>24</v>
      </c>
      <c r="D104" s="2" t="s">
        <v>1825</v>
      </c>
      <c r="E104" s="6">
        <v>15000</v>
      </c>
      <c r="F104" s="6">
        <v>26000</v>
      </c>
      <c r="G104" s="4">
        <v>35</v>
      </c>
      <c r="H104" s="172" t="s">
        <v>873</v>
      </c>
      <c r="I104" s="172" t="s">
        <v>873</v>
      </c>
      <c r="J104" s="172" t="s">
        <v>873</v>
      </c>
      <c r="K104" s="172" t="s">
        <v>873</v>
      </c>
      <c r="L104" s="172" t="s">
        <v>872</v>
      </c>
      <c r="M104" s="172" t="s">
        <v>872</v>
      </c>
      <c r="N104" s="172" t="s">
        <v>873</v>
      </c>
      <c r="O104" s="172" t="s">
        <v>872</v>
      </c>
      <c r="P104" s="172" t="s">
        <v>873</v>
      </c>
      <c r="Q104" s="172" t="s">
        <v>872</v>
      </c>
      <c r="R104" s="172" t="s">
        <v>873</v>
      </c>
      <c r="S104" s="172" t="s">
        <v>873</v>
      </c>
    </row>
    <row r="105" spans="1:19" ht="13.5" thickBot="1" x14ac:dyDescent="0.25">
      <c r="A105" s="2" t="s">
        <v>413</v>
      </c>
      <c r="B105" s="1" t="s">
        <v>412</v>
      </c>
      <c r="C105" s="2" t="s">
        <v>24</v>
      </c>
      <c r="D105" s="2" t="s">
        <v>1825</v>
      </c>
      <c r="E105" s="6">
        <v>30160</v>
      </c>
      <c r="F105" s="6">
        <v>31200</v>
      </c>
      <c r="G105" s="4">
        <v>40</v>
      </c>
      <c r="H105" s="172" t="s">
        <v>873</v>
      </c>
      <c r="I105" s="172" t="s">
        <v>873</v>
      </c>
      <c r="J105" s="172" t="s">
        <v>873</v>
      </c>
      <c r="K105" s="172" t="s">
        <v>873</v>
      </c>
      <c r="L105" s="172" t="s">
        <v>873</v>
      </c>
      <c r="M105" s="172" t="s">
        <v>872</v>
      </c>
      <c r="N105" s="172" t="s">
        <v>872</v>
      </c>
      <c r="O105" s="172" t="s">
        <v>873</v>
      </c>
      <c r="P105" s="172" t="s">
        <v>872</v>
      </c>
      <c r="Q105" s="172" t="s">
        <v>873</v>
      </c>
      <c r="R105" s="172" t="s">
        <v>873</v>
      </c>
      <c r="S105" s="172" t="s">
        <v>873</v>
      </c>
    </row>
    <row r="106" spans="1:19" ht="13.5" thickBot="1" x14ac:dyDescent="0.25">
      <c r="A106" s="2" t="s">
        <v>415</v>
      </c>
      <c r="B106" s="1" t="s">
        <v>414</v>
      </c>
      <c r="C106" s="2" t="s">
        <v>24</v>
      </c>
      <c r="D106" s="2" t="s">
        <v>1823</v>
      </c>
      <c r="E106" s="6">
        <v>21000</v>
      </c>
      <c r="F106" s="6">
        <v>68000</v>
      </c>
      <c r="G106" s="4">
        <v>40</v>
      </c>
      <c r="H106" s="172" t="s">
        <v>872</v>
      </c>
      <c r="I106" s="172" t="s">
        <v>872</v>
      </c>
      <c r="J106" s="172" t="s">
        <v>873</v>
      </c>
      <c r="K106" s="172" t="s">
        <v>872</v>
      </c>
      <c r="L106" s="172" t="s">
        <v>872</v>
      </c>
      <c r="M106" s="172" t="s">
        <v>872</v>
      </c>
      <c r="N106" s="172" t="s">
        <v>872</v>
      </c>
      <c r="O106" s="172" t="s">
        <v>872</v>
      </c>
      <c r="P106" s="172" t="s">
        <v>872</v>
      </c>
      <c r="Q106" s="172" t="s">
        <v>873</v>
      </c>
      <c r="R106" s="172" t="s">
        <v>873</v>
      </c>
      <c r="S106" s="172" t="s">
        <v>873</v>
      </c>
    </row>
    <row r="107" spans="1:19" ht="13.5" thickBot="1" x14ac:dyDescent="0.25">
      <c r="A107" s="2" t="s">
        <v>429</v>
      </c>
      <c r="B107" s="1" t="s">
        <v>428</v>
      </c>
      <c r="C107" s="2" t="s">
        <v>24</v>
      </c>
      <c r="D107" s="2" t="s">
        <v>1825</v>
      </c>
      <c r="E107" s="6">
        <v>28000</v>
      </c>
      <c r="F107" s="6">
        <v>45000</v>
      </c>
      <c r="G107" s="4">
        <v>36</v>
      </c>
      <c r="H107" s="172" t="s">
        <v>873</v>
      </c>
      <c r="I107" s="172" t="s">
        <v>873</v>
      </c>
      <c r="J107" s="172" t="s">
        <v>873</v>
      </c>
      <c r="K107" s="172" t="s">
        <v>873</v>
      </c>
      <c r="L107" s="172" t="s">
        <v>873</v>
      </c>
      <c r="M107" s="172" t="s">
        <v>872</v>
      </c>
      <c r="N107" s="172" t="s">
        <v>872</v>
      </c>
      <c r="O107" s="172" t="s">
        <v>872</v>
      </c>
      <c r="P107" s="172" t="s">
        <v>872</v>
      </c>
      <c r="Q107" s="172" t="s">
        <v>872</v>
      </c>
      <c r="R107" s="172" t="s">
        <v>873</v>
      </c>
      <c r="S107" s="172" t="s">
        <v>873</v>
      </c>
    </row>
    <row r="108" spans="1:19" ht="13.5" thickBot="1" x14ac:dyDescent="0.25">
      <c r="A108" s="2" t="s">
        <v>441</v>
      </c>
      <c r="B108" s="1" t="s">
        <v>440</v>
      </c>
      <c r="C108" s="2" t="s">
        <v>24</v>
      </c>
      <c r="D108" s="2" t="s">
        <v>973</v>
      </c>
      <c r="E108" s="6">
        <v>29975</v>
      </c>
      <c r="F108" s="6">
        <v>30700</v>
      </c>
      <c r="G108" s="4">
        <v>30</v>
      </c>
      <c r="H108" s="172" t="s">
        <v>873</v>
      </c>
      <c r="I108" s="172" t="s">
        <v>873</v>
      </c>
      <c r="J108" s="172" t="s">
        <v>873</v>
      </c>
      <c r="K108" s="172" t="s">
        <v>873</v>
      </c>
      <c r="L108" s="172" t="s">
        <v>873</v>
      </c>
      <c r="M108" s="172" t="s">
        <v>873</v>
      </c>
      <c r="N108" s="172" t="s">
        <v>872</v>
      </c>
      <c r="O108" s="172" t="s">
        <v>873</v>
      </c>
      <c r="P108" s="172" t="s">
        <v>872</v>
      </c>
      <c r="Q108" s="172" t="s">
        <v>873</v>
      </c>
      <c r="R108" s="172" t="s">
        <v>873</v>
      </c>
      <c r="S108" s="172" t="s">
        <v>873</v>
      </c>
    </row>
    <row r="109" spans="1:19" ht="13.5" thickBot="1" x14ac:dyDescent="0.25">
      <c r="A109" s="2" t="s">
        <v>443</v>
      </c>
      <c r="B109" s="1" t="s">
        <v>442</v>
      </c>
      <c r="C109" s="2" t="s">
        <v>24</v>
      </c>
      <c r="D109" s="2" t="s">
        <v>1825</v>
      </c>
      <c r="E109" s="6">
        <v>41500</v>
      </c>
      <c r="F109" s="6">
        <v>47500</v>
      </c>
      <c r="G109" s="4">
        <v>40</v>
      </c>
      <c r="H109" s="172" t="s">
        <v>873</v>
      </c>
      <c r="I109" s="172" t="s">
        <v>873</v>
      </c>
      <c r="J109" s="172" t="s">
        <v>873</v>
      </c>
      <c r="K109" s="172" t="s">
        <v>873</v>
      </c>
      <c r="L109" s="172" t="s">
        <v>873</v>
      </c>
      <c r="M109" s="172" t="s">
        <v>872</v>
      </c>
      <c r="N109" s="172" t="s">
        <v>872</v>
      </c>
      <c r="O109" s="172" t="s">
        <v>873</v>
      </c>
      <c r="P109" s="172" t="s">
        <v>872</v>
      </c>
      <c r="Q109" s="172" t="s">
        <v>873</v>
      </c>
      <c r="R109" s="172" t="s">
        <v>873</v>
      </c>
      <c r="S109" s="172" t="s">
        <v>873</v>
      </c>
    </row>
    <row r="110" spans="1:19" ht="13.5" thickBot="1" x14ac:dyDescent="0.25">
      <c r="A110" s="2" t="s">
        <v>465</v>
      </c>
      <c r="B110" s="1" t="s">
        <v>464</v>
      </c>
      <c r="C110" s="2" t="s">
        <v>24</v>
      </c>
      <c r="D110" s="169" t="s">
        <v>16</v>
      </c>
      <c r="E110" s="6">
        <v>14300</v>
      </c>
      <c r="F110" s="6">
        <v>14300</v>
      </c>
      <c r="G110" s="4">
        <v>25</v>
      </c>
      <c r="H110" s="172" t="s">
        <v>873</v>
      </c>
      <c r="I110" s="172" t="s">
        <v>873</v>
      </c>
      <c r="J110" s="172" t="s">
        <v>873</v>
      </c>
      <c r="K110" s="172" t="s">
        <v>873</v>
      </c>
      <c r="L110" s="172" t="s">
        <v>873</v>
      </c>
      <c r="M110" s="172" t="s">
        <v>872</v>
      </c>
      <c r="N110" s="172" t="s">
        <v>872</v>
      </c>
      <c r="O110" s="172" t="s">
        <v>873</v>
      </c>
      <c r="P110" s="172" t="s">
        <v>872</v>
      </c>
      <c r="Q110" s="172" t="s">
        <v>873</v>
      </c>
      <c r="R110" s="172" t="s">
        <v>873</v>
      </c>
      <c r="S110" s="172" t="s">
        <v>873</v>
      </c>
    </row>
    <row r="111" spans="1:19" ht="13.5" thickBot="1" x14ac:dyDescent="0.25">
      <c r="A111" s="2" t="s">
        <v>472</v>
      </c>
      <c r="B111" s="1" t="s">
        <v>471</v>
      </c>
      <c r="C111" s="2" t="s">
        <v>24</v>
      </c>
      <c r="D111" s="2" t="s">
        <v>1825</v>
      </c>
      <c r="E111" s="6">
        <v>26426</v>
      </c>
      <c r="F111" s="6">
        <v>26426</v>
      </c>
      <c r="G111" s="4">
        <v>33</v>
      </c>
      <c r="H111" s="172" t="s">
        <v>873</v>
      </c>
      <c r="I111" s="172" t="s">
        <v>873</v>
      </c>
      <c r="J111" s="172" t="s">
        <v>873</v>
      </c>
      <c r="K111" s="172" t="s">
        <v>872</v>
      </c>
      <c r="L111" s="172" t="s">
        <v>872</v>
      </c>
      <c r="M111" s="172" t="s">
        <v>872</v>
      </c>
      <c r="N111" s="172" t="s">
        <v>872</v>
      </c>
      <c r="O111" s="172" t="s">
        <v>872</v>
      </c>
      <c r="P111" s="172" t="s">
        <v>872</v>
      </c>
      <c r="Q111" s="172" t="s">
        <v>873</v>
      </c>
      <c r="R111" s="172" t="s">
        <v>873</v>
      </c>
      <c r="S111" s="172" t="s">
        <v>873</v>
      </c>
    </row>
    <row r="112" spans="1:19" ht="13.5" thickBot="1" x14ac:dyDescent="0.25">
      <c r="A112" s="2" t="s">
        <v>478</v>
      </c>
      <c r="B112" s="1" t="s">
        <v>477</v>
      </c>
      <c r="C112" s="2" t="s">
        <v>24</v>
      </c>
      <c r="D112" s="2" t="s">
        <v>1825</v>
      </c>
      <c r="E112" s="6">
        <v>25000</v>
      </c>
      <c r="F112" s="6">
        <v>38584</v>
      </c>
      <c r="G112" s="4">
        <v>40</v>
      </c>
      <c r="H112" s="172" t="s">
        <v>872</v>
      </c>
      <c r="I112" s="172" t="s">
        <v>872</v>
      </c>
      <c r="J112" s="172" t="s">
        <v>872</v>
      </c>
      <c r="K112" s="172" t="s">
        <v>873</v>
      </c>
      <c r="L112" s="172" t="s">
        <v>873</v>
      </c>
      <c r="M112" s="172" t="s">
        <v>872</v>
      </c>
      <c r="N112" s="172" t="s">
        <v>872</v>
      </c>
      <c r="O112" s="172" t="s">
        <v>873</v>
      </c>
      <c r="P112" s="172" t="s">
        <v>872</v>
      </c>
      <c r="Q112" s="172" t="s">
        <v>873</v>
      </c>
      <c r="R112" s="172" t="s">
        <v>873</v>
      </c>
      <c r="S112" s="172" t="s">
        <v>873</v>
      </c>
    </row>
    <row r="113" spans="1:19" ht="13.5" thickBot="1" x14ac:dyDescent="0.25">
      <c r="A113" s="2" t="s">
        <v>482</v>
      </c>
      <c r="B113" s="1" t="s">
        <v>481</v>
      </c>
      <c r="C113" s="2" t="s">
        <v>24</v>
      </c>
      <c r="D113" s="2" t="s">
        <v>1825</v>
      </c>
      <c r="E113" s="6">
        <v>20950</v>
      </c>
      <c r="F113" s="6">
        <v>23660</v>
      </c>
      <c r="G113" s="4">
        <v>35</v>
      </c>
      <c r="H113" s="172" t="s">
        <v>873</v>
      </c>
      <c r="I113" s="172" t="s">
        <v>873</v>
      </c>
      <c r="J113" s="172" t="s">
        <v>873</v>
      </c>
      <c r="K113" s="172" t="s">
        <v>873</v>
      </c>
      <c r="L113" s="172" t="s">
        <v>873</v>
      </c>
      <c r="M113" s="172" t="s">
        <v>873</v>
      </c>
      <c r="N113" s="172" t="s">
        <v>873</v>
      </c>
      <c r="O113" s="172" t="s">
        <v>873</v>
      </c>
      <c r="P113" s="172" t="s">
        <v>873</v>
      </c>
      <c r="Q113" s="172" t="s">
        <v>873</v>
      </c>
      <c r="R113" s="172" t="s">
        <v>873</v>
      </c>
      <c r="S113" s="172" t="s">
        <v>873</v>
      </c>
    </row>
    <row r="114" spans="1:19" ht="13.5" thickBot="1" x14ac:dyDescent="0.25">
      <c r="A114" s="2" t="s">
        <v>494</v>
      </c>
      <c r="B114" s="1" t="s">
        <v>493</v>
      </c>
      <c r="C114" s="2" t="s">
        <v>24</v>
      </c>
      <c r="D114" s="2" t="s">
        <v>1823</v>
      </c>
      <c r="E114" s="6">
        <v>43000</v>
      </c>
      <c r="F114" s="6">
        <v>43000</v>
      </c>
      <c r="G114" s="4">
        <v>38</v>
      </c>
      <c r="H114" s="172" t="s">
        <v>872</v>
      </c>
      <c r="I114" s="172" t="s">
        <v>873</v>
      </c>
      <c r="J114" s="172" t="s">
        <v>873</v>
      </c>
      <c r="K114" s="172" t="s">
        <v>873</v>
      </c>
      <c r="L114" s="172" t="s">
        <v>873</v>
      </c>
      <c r="M114" s="172" t="s">
        <v>872</v>
      </c>
      <c r="N114" s="172" t="s">
        <v>872</v>
      </c>
      <c r="O114" s="172" t="s">
        <v>872</v>
      </c>
      <c r="P114" s="172" t="s">
        <v>872</v>
      </c>
      <c r="Q114" s="172" t="s">
        <v>873</v>
      </c>
      <c r="R114" s="172" t="s">
        <v>873</v>
      </c>
      <c r="S114" s="172" t="s">
        <v>873</v>
      </c>
    </row>
    <row r="115" spans="1:19" ht="13.5" thickBot="1" x14ac:dyDescent="0.25">
      <c r="A115" s="2" t="s">
        <v>496</v>
      </c>
      <c r="B115" s="1" t="s">
        <v>495</v>
      </c>
      <c r="C115" s="2" t="s">
        <v>24</v>
      </c>
      <c r="D115" s="2" t="s">
        <v>1825</v>
      </c>
      <c r="E115" s="6">
        <v>22900</v>
      </c>
      <c r="F115" s="6">
        <v>30000</v>
      </c>
      <c r="G115" s="4">
        <v>32</v>
      </c>
      <c r="H115" s="172" t="s">
        <v>873</v>
      </c>
      <c r="I115" s="172" t="s">
        <v>873</v>
      </c>
      <c r="J115" s="172" t="s">
        <v>873</v>
      </c>
      <c r="K115" s="172" t="s">
        <v>873</v>
      </c>
      <c r="L115" s="172" t="s">
        <v>873</v>
      </c>
      <c r="M115" s="172" t="s">
        <v>873</v>
      </c>
      <c r="N115" s="172" t="s">
        <v>872</v>
      </c>
      <c r="O115" s="172" t="s">
        <v>873</v>
      </c>
      <c r="P115" s="172" t="s">
        <v>872</v>
      </c>
      <c r="Q115" s="172" t="s">
        <v>873</v>
      </c>
      <c r="R115" s="172" t="s">
        <v>873</v>
      </c>
      <c r="S115" s="172" t="s">
        <v>873</v>
      </c>
    </row>
    <row r="116" spans="1:19" ht="13.5" thickBot="1" x14ac:dyDescent="0.25">
      <c r="A116" s="2" t="s">
        <v>504</v>
      </c>
      <c r="B116" s="1" t="s">
        <v>503</v>
      </c>
      <c r="C116" s="2" t="s">
        <v>24</v>
      </c>
      <c r="D116" s="2" t="s">
        <v>973</v>
      </c>
      <c r="E116" s="6">
        <v>37436</v>
      </c>
      <c r="F116" s="6">
        <v>37436</v>
      </c>
      <c r="G116" s="4">
        <v>40</v>
      </c>
      <c r="H116" s="172" t="s">
        <v>873</v>
      </c>
      <c r="I116" s="172" t="s">
        <v>873</v>
      </c>
      <c r="J116" s="172" t="s">
        <v>873</v>
      </c>
      <c r="K116" s="172" t="s">
        <v>873</v>
      </c>
      <c r="L116" s="172" t="s">
        <v>873</v>
      </c>
      <c r="M116" s="172" t="s">
        <v>873</v>
      </c>
      <c r="N116" s="172" t="s">
        <v>872</v>
      </c>
      <c r="O116" s="172" t="s">
        <v>872</v>
      </c>
      <c r="P116" s="172" t="s">
        <v>872</v>
      </c>
      <c r="Q116" s="172" t="s">
        <v>873</v>
      </c>
      <c r="R116" s="172" t="s">
        <v>873</v>
      </c>
      <c r="S116" s="172" t="s">
        <v>873</v>
      </c>
    </row>
    <row r="117" spans="1:19" ht="13.5" thickBot="1" x14ac:dyDescent="0.25">
      <c r="A117" s="2" t="s">
        <v>506</v>
      </c>
      <c r="B117" s="1" t="s">
        <v>505</v>
      </c>
      <c r="C117" s="2" t="s">
        <v>24</v>
      </c>
      <c r="D117" s="2" t="s">
        <v>1825</v>
      </c>
      <c r="E117" s="6">
        <v>31610</v>
      </c>
      <c r="F117" s="6">
        <v>31610</v>
      </c>
      <c r="G117" s="4">
        <v>38</v>
      </c>
      <c r="H117" s="172" t="s">
        <v>873</v>
      </c>
      <c r="I117" s="172" t="s">
        <v>872</v>
      </c>
      <c r="J117" s="172" t="s">
        <v>872</v>
      </c>
      <c r="K117" s="172" t="s">
        <v>872</v>
      </c>
      <c r="L117" s="172" t="s">
        <v>872</v>
      </c>
      <c r="M117" s="172" t="s">
        <v>872</v>
      </c>
      <c r="N117" s="172" t="s">
        <v>873</v>
      </c>
      <c r="O117" s="172" t="s">
        <v>872</v>
      </c>
      <c r="P117" s="172" t="s">
        <v>872</v>
      </c>
      <c r="Q117" s="172" t="s">
        <v>873</v>
      </c>
      <c r="R117" s="172" t="s">
        <v>872</v>
      </c>
      <c r="S117" s="172" t="s">
        <v>872</v>
      </c>
    </row>
    <row r="118" spans="1:19" ht="13.5" thickBot="1" x14ac:dyDescent="0.25">
      <c r="A118" s="2" t="s">
        <v>512</v>
      </c>
      <c r="B118" s="1" t="s">
        <v>511</v>
      </c>
      <c r="C118" s="2" t="s">
        <v>24</v>
      </c>
      <c r="D118" s="2" t="s">
        <v>1825</v>
      </c>
      <c r="E118" s="6">
        <v>19050</v>
      </c>
      <c r="F118" s="6">
        <v>31459</v>
      </c>
      <c r="G118" s="4">
        <v>32</v>
      </c>
      <c r="H118" s="172" t="s">
        <v>873</v>
      </c>
      <c r="I118" s="172" t="s">
        <v>873</v>
      </c>
      <c r="J118" s="172" t="s">
        <v>873</v>
      </c>
      <c r="K118" s="172" t="s">
        <v>873</v>
      </c>
      <c r="L118" s="172" t="s">
        <v>873</v>
      </c>
      <c r="M118" s="172" t="s">
        <v>872</v>
      </c>
      <c r="N118" s="172" t="s">
        <v>872</v>
      </c>
      <c r="O118" s="172" t="s">
        <v>872</v>
      </c>
      <c r="P118" s="172" t="s">
        <v>872</v>
      </c>
      <c r="Q118" s="172" t="s">
        <v>873</v>
      </c>
      <c r="R118" s="172" t="s">
        <v>873</v>
      </c>
      <c r="S118" s="172" t="s">
        <v>873</v>
      </c>
    </row>
    <row r="119" spans="1:19" ht="13.5" thickBot="1" x14ac:dyDescent="0.25">
      <c r="A119" s="2" t="s">
        <v>530</v>
      </c>
      <c r="B119" s="1" t="s">
        <v>529</v>
      </c>
      <c r="C119" s="2" t="s">
        <v>24</v>
      </c>
      <c r="D119" s="2" t="s">
        <v>973</v>
      </c>
      <c r="E119" s="6">
        <v>35174</v>
      </c>
      <c r="F119" s="6">
        <v>35174</v>
      </c>
      <c r="G119" s="4">
        <v>40</v>
      </c>
      <c r="H119" s="172" t="s">
        <v>872</v>
      </c>
      <c r="I119" s="172" t="s">
        <v>872</v>
      </c>
      <c r="J119" s="172" t="s">
        <v>873</v>
      </c>
      <c r="K119" s="172" t="s">
        <v>873</v>
      </c>
      <c r="L119" s="172" t="s">
        <v>873</v>
      </c>
      <c r="M119" s="172" t="s">
        <v>872</v>
      </c>
      <c r="N119" s="172" t="s">
        <v>872</v>
      </c>
      <c r="O119" s="172" t="s">
        <v>872</v>
      </c>
      <c r="P119" s="172" t="s">
        <v>872</v>
      </c>
      <c r="Q119" s="172" t="s">
        <v>873</v>
      </c>
      <c r="R119" s="172" t="s">
        <v>873</v>
      </c>
      <c r="S119" s="172" t="s">
        <v>872</v>
      </c>
    </row>
    <row r="120" spans="1:19" ht="13.5" thickBot="1" x14ac:dyDescent="0.25">
      <c r="A120" s="2" t="s">
        <v>532</v>
      </c>
      <c r="B120" s="1" t="s">
        <v>531</v>
      </c>
      <c r="C120" s="2" t="s">
        <v>24</v>
      </c>
      <c r="D120" s="2" t="s">
        <v>1825</v>
      </c>
      <c r="E120" s="6">
        <v>35000</v>
      </c>
      <c r="F120" s="6">
        <v>42000</v>
      </c>
      <c r="G120" s="4">
        <v>45</v>
      </c>
      <c r="H120" s="172" t="s">
        <v>872</v>
      </c>
      <c r="I120" s="172" t="s">
        <v>872</v>
      </c>
      <c r="J120" s="172" t="s">
        <v>872</v>
      </c>
      <c r="K120" s="172" t="s">
        <v>873</v>
      </c>
      <c r="L120" s="172" t="s">
        <v>873</v>
      </c>
      <c r="M120" s="172" t="s">
        <v>872</v>
      </c>
      <c r="N120" s="172" t="s">
        <v>872</v>
      </c>
      <c r="O120" s="172" t="s">
        <v>872</v>
      </c>
      <c r="P120" s="172" t="s">
        <v>872</v>
      </c>
      <c r="Q120" s="172" t="s">
        <v>872</v>
      </c>
      <c r="R120" s="172" t="s">
        <v>873</v>
      </c>
      <c r="S120" s="172" t="s">
        <v>873</v>
      </c>
    </row>
    <row r="121" spans="1:19" ht="13.5" thickBot="1" x14ac:dyDescent="0.25">
      <c r="A121" s="2" t="s">
        <v>544</v>
      </c>
      <c r="B121" s="1" t="s">
        <v>543</v>
      </c>
      <c r="C121" s="2" t="s">
        <v>24</v>
      </c>
      <c r="D121" s="2" t="s">
        <v>1825</v>
      </c>
      <c r="E121" s="6">
        <v>42400</v>
      </c>
      <c r="F121" s="6">
        <v>66500</v>
      </c>
      <c r="G121" s="4">
        <v>40</v>
      </c>
      <c r="H121" s="172" t="s">
        <v>872</v>
      </c>
      <c r="I121" s="172" t="s">
        <v>872</v>
      </c>
      <c r="J121" s="172" t="s">
        <v>873</v>
      </c>
      <c r="K121" s="172" t="s">
        <v>873</v>
      </c>
      <c r="L121" s="172" t="s">
        <v>873</v>
      </c>
      <c r="M121" s="172" t="s">
        <v>872</v>
      </c>
      <c r="N121" s="172" t="s">
        <v>872</v>
      </c>
      <c r="O121" s="172" t="s">
        <v>872</v>
      </c>
      <c r="P121" s="172" t="s">
        <v>872</v>
      </c>
      <c r="Q121" s="172" t="s">
        <v>873</v>
      </c>
      <c r="R121" s="172" t="s">
        <v>873</v>
      </c>
      <c r="S121" s="172" t="s">
        <v>873</v>
      </c>
    </row>
    <row r="122" spans="1:19" ht="13.5" thickBot="1" x14ac:dyDescent="0.25">
      <c r="A122" s="2" t="s">
        <v>546</v>
      </c>
      <c r="B122" s="1" t="s">
        <v>545</v>
      </c>
      <c r="C122" s="2" t="s">
        <v>24</v>
      </c>
      <c r="D122" s="2" t="s">
        <v>973</v>
      </c>
      <c r="E122" s="6">
        <v>36400</v>
      </c>
      <c r="F122" s="6">
        <v>40000</v>
      </c>
      <c r="G122" s="4">
        <v>37</v>
      </c>
      <c r="H122" s="172" t="s">
        <v>873</v>
      </c>
      <c r="I122" s="172" t="s">
        <v>873</v>
      </c>
      <c r="J122" s="172" t="s">
        <v>873</v>
      </c>
      <c r="K122" s="172" t="s">
        <v>873</v>
      </c>
      <c r="L122" s="172" t="s">
        <v>873</v>
      </c>
      <c r="M122" s="172" t="s">
        <v>872</v>
      </c>
      <c r="N122" s="172" t="s">
        <v>872</v>
      </c>
      <c r="O122" s="172" t="s">
        <v>872</v>
      </c>
      <c r="P122" s="172" t="s">
        <v>872</v>
      </c>
      <c r="Q122" s="172" t="s">
        <v>873</v>
      </c>
      <c r="R122" s="172" t="s">
        <v>873</v>
      </c>
      <c r="S122" s="172" t="s">
        <v>873</v>
      </c>
    </row>
    <row r="123" spans="1:19" ht="13.5" thickBot="1" x14ac:dyDescent="0.25">
      <c r="A123" s="2" t="s">
        <v>550</v>
      </c>
      <c r="B123" s="1" t="s">
        <v>549</v>
      </c>
      <c r="C123" s="2" t="s">
        <v>24</v>
      </c>
      <c r="D123" s="2" t="s">
        <v>973</v>
      </c>
      <c r="E123" s="6">
        <v>16900</v>
      </c>
      <c r="F123" s="6">
        <v>16900</v>
      </c>
      <c r="G123" s="4">
        <v>30</v>
      </c>
      <c r="H123" s="172" t="s">
        <v>873</v>
      </c>
      <c r="I123" s="172" t="s">
        <v>873</v>
      </c>
      <c r="J123" s="172" t="s">
        <v>873</v>
      </c>
      <c r="K123" s="172" t="s">
        <v>873</v>
      </c>
      <c r="L123" s="172" t="s">
        <v>873</v>
      </c>
      <c r="M123" s="172" t="s">
        <v>872</v>
      </c>
      <c r="N123" s="172" t="s">
        <v>872</v>
      </c>
      <c r="O123" s="172" t="s">
        <v>873</v>
      </c>
      <c r="P123" s="172" t="s">
        <v>872</v>
      </c>
      <c r="Q123" s="172" t="s">
        <v>873</v>
      </c>
      <c r="R123" s="172" t="s">
        <v>873</v>
      </c>
      <c r="S123" s="172" t="s">
        <v>873</v>
      </c>
    </row>
    <row r="124" spans="1:19" ht="13.5" thickBot="1" x14ac:dyDescent="0.25">
      <c r="A124" s="2" t="s">
        <v>558</v>
      </c>
      <c r="B124" s="1" t="s">
        <v>557</v>
      </c>
      <c r="C124" s="2" t="s">
        <v>24</v>
      </c>
      <c r="D124" s="2" t="s">
        <v>973</v>
      </c>
      <c r="E124" s="6">
        <v>29500</v>
      </c>
      <c r="F124" s="6">
        <v>38000</v>
      </c>
      <c r="G124" s="4">
        <v>24</v>
      </c>
      <c r="H124" s="172" t="s">
        <v>873</v>
      </c>
      <c r="I124" s="172" t="s">
        <v>873</v>
      </c>
      <c r="J124" s="172" t="s">
        <v>873</v>
      </c>
      <c r="K124" s="172" t="s">
        <v>873</v>
      </c>
      <c r="L124" s="172" t="s">
        <v>873</v>
      </c>
      <c r="M124" s="172" t="s">
        <v>872</v>
      </c>
      <c r="N124" s="172" t="s">
        <v>872</v>
      </c>
      <c r="O124" s="172" t="s">
        <v>873</v>
      </c>
      <c r="P124" s="172" t="s">
        <v>872</v>
      </c>
      <c r="Q124" s="172" t="s">
        <v>873</v>
      </c>
      <c r="R124" s="172" t="s">
        <v>873</v>
      </c>
      <c r="S124" s="172" t="s">
        <v>873</v>
      </c>
    </row>
    <row r="125" spans="1:19" ht="13.5" thickBot="1" x14ac:dyDescent="0.25">
      <c r="A125" s="2" t="s">
        <v>578</v>
      </c>
      <c r="B125" s="1" t="s">
        <v>577</v>
      </c>
      <c r="C125" s="2" t="s">
        <v>24</v>
      </c>
      <c r="D125" s="2" t="s">
        <v>973</v>
      </c>
      <c r="E125" s="6">
        <v>30420</v>
      </c>
      <c r="F125" s="6">
        <v>30420</v>
      </c>
      <c r="G125" s="4">
        <v>30</v>
      </c>
      <c r="H125" s="172" t="s">
        <v>873</v>
      </c>
      <c r="I125" s="172" t="s">
        <v>873</v>
      </c>
      <c r="J125" s="172" t="s">
        <v>873</v>
      </c>
      <c r="K125" s="172" t="s">
        <v>873</v>
      </c>
      <c r="L125" s="172" t="s">
        <v>873</v>
      </c>
      <c r="M125" s="172" t="s">
        <v>872</v>
      </c>
      <c r="N125" s="172" t="s">
        <v>872</v>
      </c>
      <c r="O125" s="172" t="s">
        <v>873</v>
      </c>
      <c r="P125" s="172" t="s">
        <v>873</v>
      </c>
      <c r="Q125" s="172" t="s">
        <v>873</v>
      </c>
      <c r="R125" s="172" t="s">
        <v>873</v>
      </c>
      <c r="S125" s="172" t="s">
        <v>873</v>
      </c>
    </row>
    <row r="126" spans="1:19" ht="13.5" thickBot="1" x14ac:dyDescent="0.25">
      <c r="A126" s="2" t="s">
        <v>584</v>
      </c>
      <c r="B126" s="1" t="s">
        <v>583</v>
      </c>
      <c r="C126" s="2" t="s">
        <v>24</v>
      </c>
      <c r="D126" s="2" t="s">
        <v>1825</v>
      </c>
      <c r="E126" s="6">
        <v>24500</v>
      </c>
      <c r="F126" s="6">
        <v>30000</v>
      </c>
      <c r="G126" s="169" t="s">
        <v>16</v>
      </c>
      <c r="H126" s="172" t="s">
        <v>873</v>
      </c>
      <c r="I126" s="172" t="s">
        <v>873</v>
      </c>
      <c r="J126" s="172" t="s">
        <v>873</v>
      </c>
      <c r="K126" s="172" t="s">
        <v>873</v>
      </c>
      <c r="L126" s="172" t="s">
        <v>872</v>
      </c>
      <c r="M126" s="172" t="s">
        <v>872</v>
      </c>
      <c r="N126" s="172" t="s">
        <v>872</v>
      </c>
      <c r="O126" s="172" t="s">
        <v>873</v>
      </c>
      <c r="P126" s="172" t="s">
        <v>872</v>
      </c>
      <c r="Q126" s="172" t="s">
        <v>873</v>
      </c>
      <c r="R126" s="172" t="s">
        <v>873</v>
      </c>
      <c r="S126" s="172" t="s">
        <v>873</v>
      </c>
    </row>
    <row r="127" spans="1:19" ht="13.5" thickBot="1" x14ac:dyDescent="0.25">
      <c r="A127" s="2" t="s">
        <v>590</v>
      </c>
      <c r="B127" s="1" t="s">
        <v>589</v>
      </c>
      <c r="C127" s="2" t="s">
        <v>24</v>
      </c>
      <c r="D127" s="2" t="s">
        <v>973</v>
      </c>
      <c r="E127" s="6">
        <v>56317</v>
      </c>
      <c r="F127" s="6">
        <v>56317</v>
      </c>
      <c r="G127" s="4">
        <v>40</v>
      </c>
      <c r="H127" s="172" t="s">
        <v>872</v>
      </c>
      <c r="I127" s="172" t="s">
        <v>873</v>
      </c>
      <c r="J127" s="172" t="s">
        <v>873</v>
      </c>
      <c r="K127" s="172" t="s">
        <v>872</v>
      </c>
      <c r="L127" s="172" t="s">
        <v>872</v>
      </c>
      <c r="M127" s="172" t="s">
        <v>872</v>
      </c>
      <c r="N127" s="172" t="s">
        <v>872</v>
      </c>
      <c r="O127" s="172" t="s">
        <v>872</v>
      </c>
      <c r="P127" s="172" t="s">
        <v>872</v>
      </c>
      <c r="Q127" s="172" t="s">
        <v>872</v>
      </c>
      <c r="R127" s="172" t="s">
        <v>873</v>
      </c>
      <c r="S127" s="172" t="s">
        <v>873</v>
      </c>
    </row>
    <row r="128" spans="1:19" ht="13.5" thickBot="1" x14ac:dyDescent="0.25">
      <c r="A128" s="2" t="s">
        <v>602</v>
      </c>
      <c r="B128" s="1" t="s">
        <v>601</v>
      </c>
      <c r="C128" s="2" t="s">
        <v>24</v>
      </c>
      <c r="D128" s="2" t="s">
        <v>973</v>
      </c>
      <c r="E128" s="6">
        <v>35000</v>
      </c>
      <c r="F128" s="6">
        <v>45000</v>
      </c>
      <c r="G128" s="4">
        <v>40</v>
      </c>
      <c r="H128" s="172" t="s">
        <v>872</v>
      </c>
      <c r="I128" s="172" t="s">
        <v>873</v>
      </c>
      <c r="J128" s="172" t="s">
        <v>873</v>
      </c>
      <c r="K128" s="172" t="s">
        <v>873</v>
      </c>
      <c r="L128" s="172" t="s">
        <v>873</v>
      </c>
      <c r="M128" s="172" t="s">
        <v>872</v>
      </c>
      <c r="N128" s="172" t="s">
        <v>872</v>
      </c>
      <c r="O128" s="172" t="s">
        <v>873</v>
      </c>
      <c r="P128" s="172" t="s">
        <v>872</v>
      </c>
      <c r="Q128" s="172" t="s">
        <v>873</v>
      </c>
      <c r="R128" s="172" t="s">
        <v>873</v>
      </c>
      <c r="S128" s="172" t="s">
        <v>873</v>
      </c>
    </row>
    <row r="129" spans="1:19" ht="13.5" thickBot="1" x14ac:dyDescent="0.25">
      <c r="A129" s="2" t="s">
        <v>606</v>
      </c>
      <c r="B129" s="1" t="s">
        <v>605</v>
      </c>
      <c r="C129" s="2" t="s">
        <v>24</v>
      </c>
      <c r="D129" s="2" t="s">
        <v>1825</v>
      </c>
      <c r="E129" s="6">
        <v>25000</v>
      </c>
      <c r="F129" s="6">
        <v>35000</v>
      </c>
      <c r="G129" s="4">
        <v>28</v>
      </c>
      <c r="H129" s="172" t="s">
        <v>873</v>
      </c>
      <c r="I129" s="172" t="s">
        <v>873</v>
      </c>
      <c r="J129" s="172" t="s">
        <v>873</v>
      </c>
      <c r="K129" s="172" t="s">
        <v>873</v>
      </c>
      <c r="L129" s="172" t="s">
        <v>873</v>
      </c>
      <c r="M129" s="172" t="s">
        <v>872</v>
      </c>
      <c r="N129" s="172" t="s">
        <v>872</v>
      </c>
      <c r="O129" s="172" t="s">
        <v>872</v>
      </c>
      <c r="P129" s="172" t="s">
        <v>872</v>
      </c>
      <c r="Q129" s="172" t="s">
        <v>873</v>
      </c>
      <c r="R129" s="172" t="s">
        <v>873</v>
      </c>
      <c r="S129" s="172" t="s">
        <v>873</v>
      </c>
    </row>
    <row r="130" spans="1:19" ht="13.5" thickBot="1" x14ac:dyDescent="0.25">
      <c r="A130" s="2" t="s">
        <v>620</v>
      </c>
      <c r="B130" s="1" t="s">
        <v>619</v>
      </c>
      <c r="C130" s="2" t="s">
        <v>24</v>
      </c>
      <c r="D130" s="2" t="s">
        <v>1825</v>
      </c>
      <c r="E130" s="6">
        <v>19901</v>
      </c>
      <c r="F130" s="6">
        <v>19901</v>
      </c>
      <c r="G130" s="4">
        <v>27</v>
      </c>
      <c r="H130" s="172" t="s">
        <v>873</v>
      </c>
      <c r="I130" s="172" t="s">
        <v>873</v>
      </c>
      <c r="J130" s="172" t="s">
        <v>873</v>
      </c>
      <c r="K130" s="172" t="s">
        <v>873</v>
      </c>
      <c r="L130" s="172" t="s">
        <v>873</v>
      </c>
      <c r="M130" s="172" t="s">
        <v>872</v>
      </c>
      <c r="N130" s="172" t="s">
        <v>872</v>
      </c>
      <c r="O130" s="172" t="s">
        <v>873</v>
      </c>
      <c r="P130" s="172" t="s">
        <v>872</v>
      </c>
      <c r="Q130" s="172" t="s">
        <v>873</v>
      </c>
      <c r="R130" s="172" t="s">
        <v>873</v>
      </c>
      <c r="S130" s="172" t="s">
        <v>873</v>
      </c>
    </row>
    <row r="131" spans="1:19" ht="13.5" thickBot="1" x14ac:dyDescent="0.25">
      <c r="A131" s="2" t="s">
        <v>626</v>
      </c>
      <c r="B131" s="1" t="s">
        <v>625</v>
      </c>
      <c r="C131" s="2" t="s">
        <v>24</v>
      </c>
      <c r="D131" s="2" t="s">
        <v>973</v>
      </c>
      <c r="E131" s="6">
        <v>24000</v>
      </c>
      <c r="F131" s="6">
        <v>29000</v>
      </c>
      <c r="G131" s="4">
        <v>32</v>
      </c>
      <c r="H131" s="172" t="s">
        <v>873</v>
      </c>
      <c r="I131" s="172" t="s">
        <v>873</v>
      </c>
      <c r="J131" s="172" t="s">
        <v>873</v>
      </c>
      <c r="K131" s="172" t="s">
        <v>873</v>
      </c>
      <c r="L131" s="172" t="s">
        <v>873</v>
      </c>
      <c r="M131" s="172" t="s">
        <v>872</v>
      </c>
      <c r="N131" s="172" t="s">
        <v>872</v>
      </c>
      <c r="O131" s="172" t="s">
        <v>873</v>
      </c>
      <c r="P131" s="172" t="s">
        <v>872</v>
      </c>
      <c r="Q131" s="172" t="s">
        <v>873</v>
      </c>
      <c r="R131" s="172" t="s">
        <v>873</v>
      </c>
      <c r="S131" s="172" t="s">
        <v>873</v>
      </c>
    </row>
    <row r="132" spans="1:19" ht="13.5" thickBot="1" x14ac:dyDescent="0.25">
      <c r="A132" s="2" t="s">
        <v>628</v>
      </c>
      <c r="B132" s="1" t="s">
        <v>627</v>
      </c>
      <c r="C132" s="2" t="s">
        <v>24</v>
      </c>
      <c r="D132" s="2" t="s">
        <v>973</v>
      </c>
      <c r="E132" s="6">
        <v>21000</v>
      </c>
      <c r="F132" s="6">
        <v>39000</v>
      </c>
      <c r="G132" s="4">
        <v>45</v>
      </c>
      <c r="H132" s="172" t="s">
        <v>872</v>
      </c>
      <c r="I132" s="172" t="s">
        <v>872</v>
      </c>
      <c r="J132" s="172" t="s">
        <v>872</v>
      </c>
      <c r="K132" s="172" t="s">
        <v>873</v>
      </c>
      <c r="L132" s="172" t="s">
        <v>873</v>
      </c>
      <c r="M132" s="172" t="s">
        <v>873</v>
      </c>
      <c r="N132" s="172" t="s">
        <v>872</v>
      </c>
      <c r="O132" s="172" t="s">
        <v>872</v>
      </c>
      <c r="P132" s="172" t="s">
        <v>872</v>
      </c>
      <c r="Q132" s="172" t="s">
        <v>873</v>
      </c>
      <c r="R132" s="172" t="s">
        <v>873</v>
      </c>
      <c r="S132" s="172" t="s">
        <v>873</v>
      </c>
    </row>
    <row r="133" spans="1:19" ht="13.5" thickBot="1" x14ac:dyDescent="0.25">
      <c r="A133" s="2" t="s">
        <v>634</v>
      </c>
      <c r="B133" s="1" t="s">
        <v>633</v>
      </c>
      <c r="C133" s="2" t="s">
        <v>24</v>
      </c>
      <c r="D133" s="2" t="s">
        <v>973</v>
      </c>
      <c r="E133" s="6">
        <v>27300</v>
      </c>
      <c r="F133" s="6">
        <v>29120</v>
      </c>
      <c r="G133" s="4">
        <v>35</v>
      </c>
      <c r="H133" s="172" t="s">
        <v>873</v>
      </c>
      <c r="I133" s="172" t="s">
        <v>873</v>
      </c>
      <c r="J133" s="172" t="s">
        <v>873</v>
      </c>
      <c r="K133" s="172" t="s">
        <v>873</v>
      </c>
      <c r="L133" s="172" t="s">
        <v>873</v>
      </c>
      <c r="M133" s="172" t="s">
        <v>872</v>
      </c>
      <c r="N133" s="172" t="s">
        <v>872</v>
      </c>
      <c r="O133" s="172" t="s">
        <v>872</v>
      </c>
      <c r="P133" s="172" t="s">
        <v>872</v>
      </c>
      <c r="Q133" s="172" t="s">
        <v>873</v>
      </c>
      <c r="R133" s="172" t="s">
        <v>873</v>
      </c>
      <c r="S133" s="172" t="s">
        <v>873</v>
      </c>
    </row>
    <row r="134" spans="1:19" ht="13.5" thickBot="1" x14ac:dyDescent="0.25">
      <c r="A134" s="2" t="s">
        <v>640</v>
      </c>
      <c r="B134" s="1" t="s">
        <v>639</v>
      </c>
      <c r="C134" s="2" t="s">
        <v>24</v>
      </c>
      <c r="D134" s="2" t="s">
        <v>973</v>
      </c>
      <c r="E134" s="6">
        <v>18000</v>
      </c>
      <c r="F134" s="6">
        <v>45000</v>
      </c>
      <c r="G134" s="4">
        <v>35</v>
      </c>
      <c r="H134" s="172" t="s">
        <v>873</v>
      </c>
      <c r="I134" s="172" t="s">
        <v>873</v>
      </c>
      <c r="J134" s="172" t="s">
        <v>873</v>
      </c>
      <c r="K134" s="172" t="s">
        <v>873</v>
      </c>
      <c r="L134" s="172" t="s">
        <v>873</v>
      </c>
      <c r="M134" s="172" t="s">
        <v>873</v>
      </c>
      <c r="N134" s="172" t="s">
        <v>872</v>
      </c>
      <c r="O134" s="172" t="s">
        <v>872</v>
      </c>
      <c r="P134" s="172" t="s">
        <v>872</v>
      </c>
      <c r="Q134" s="172" t="s">
        <v>873</v>
      </c>
      <c r="R134" s="172" t="s">
        <v>873</v>
      </c>
      <c r="S134" s="172" t="s">
        <v>873</v>
      </c>
    </row>
    <row r="135" spans="1:19" ht="13.5" thickBot="1" x14ac:dyDescent="0.25">
      <c r="A135" s="2" t="s">
        <v>654</v>
      </c>
      <c r="B135" s="1" t="s">
        <v>653</v>
      </c>
      <c r="C135" s="2" t="s">
        <v>24</v>
      </c>
      <c r="D135" s="2" t="s">
        <v>1825</v>
      </c>
      <c r="E135" s="6">
        <v>20000</v>
      </c>
      <c r="F135" s="6">
        <v>29000</v>
      </c>
      <c r="G135" s="4">
        <v>40</v>
      </c>
      <c r="H135" s="172" t="s">
        <v>873</v>
      </c>
      <c r="I135" s="172" t="s">
        <v>873</v>
      </c>
      <c r="J135" s="172" t="s">
        <v>873</v>
      </c>
      <c r="K135" s="172" t="s">
        <v>873</v>
      </c>
      <c r="L135" s="172" t="s">
        <v>872</v>
      </c>
      <c r="M135" s="172" t="s">
        <v>872</v>
      </c>
      <c r="N135" s="172" t="s">
        <v>872</v>
      </c>
      <c r="O135" s="172" t="s">
        <v>872</v>
      </c>
      <c r="P135" s="172" t="s">
        <v>872</v>
      </c>
      <c r="Q135" s="172" t="s">
        <v>873</v>
      </c>
      <c r="R135" s="172" t="s">
        <v>873</v>
      </c>
      <c r="S135" s="172" t="s">
        <v>873</v>
      </c>
    </row>
    <row r="136" spans="1:19" ht="13.5" thickBot="1" x14ac:dyDescent="0.25">
      <c r="A136" s="2" t="s">
        <v>666</v>
      </c>
      <c r="B136" s="1" t="s">
        <v>665</v>
      </c>
      <c r="C136" s="2" t="s">
        <v>24</v>
      </c>
      <c r="D136" s="2" t="s">
        <v>973</v>
      </c>
      <c r="E136" s="6">
        <v>35500</v>
      </c>
      <c r="F136" s="6">
        <v>50000</v>
      </c>
      <c r="G136" s="4">
        <v>40</v>
      </c>
      <c r="H136" s="172" t="s">
        <v>873</v>
      </c>
      <c r="I136" s="172" t="s">
        <v>873</v>
      </c>
      <c r="J136" s="172" t="s">
        <v>873</v>
      </c>
      <c r="K136" s="172" t="s">
        <v>873</v>
      </c>
      <c r="L136" s="172" t="s">
        <v>873</v>
      </c>
      <c r="M136" s="172" t="s">
        <v>872</v>
      </c>
      <c r="N136" s="172" t="s">
        <v>872</v>
      </c>
      <c r="O136" s="172" t="s">
        <v>872</v>
      </c>
      <c r="P136" s="172" t="s">
        <v>872</v>
      </c>
      <c r="Q136" s="172" t="s">
        <v>873</v>
      </c>
      <c r="R136" s="172" t="s">
        <v>873</v>
      </c>
      <c r="S136" s="172" t="s">
        <v>873</v>
      </c>
    </row>
    <row r="137" spans="1:19" ht="13.5" thickBot="1" x14ac:dyDescent="0.25">
      <c r="A137" s="2" t="s">
        <v>682</v>
      </c>
      <c r="B137" s="1" t="s">
        <v>681</v>
      </c>
      <c r="C137" s="2" t="s">
        <v>24</v>
      </c>
      <c r="D137" s="2" t="s">
        <v>973</v>
      </c>
      <c r="E137" s="6">
        <v>28000</v>
      </c>
      <c r="F137" s="6">
        <v>35000</v>
      </c>
      <c r="G137" s="4">
        <v>40</v>
      </c>
      <c r="H137" s="172" t="s">
        <v>872</v>
      </c>
      <c r="I137" s="172" t="s">
        <v>872</v>
      </c>
      <c r="J137" s="172" t="s">
        <v>872</v>
      </c>
      <c r="K137" s="172" t="s">
        <v>872</v>
      </c>
      <c r="L137" s="172" t="s">
        <v>872</v>
      </c>
      <c r="M137" s="172" t="s">
        <v>872</v>
      </c>
      <c r="N137" s="172" t="s">
        <v>872</v>
      </c>
      <c r="O137" s="172" t="s">
        <v>872</v>
      </c>
      <c r="P137" s="172" t="s">
        <v>872</v>
      </c>
      <c r="Q137" s="172" t="s">
        <v>872</v>
      </c>
      <c r="R137" s="172" t="s">
        <v>872</v>
      </c>
      <c r="S137" s="172" t="s">
        <v>872</v>
      </c>
    </row>
    <row r="138" spans="1:19" ht="13.5" thickBot="1" x14ac:dyDescent="0.25">
      <c r="A138" s="2" t="s">
        <v>692</v>
      </c>
      <c r="B138" s="1" t="s">
        <v>691</v>
      </c>
      <c r="C138" s="2" t="s">
        <v>24</v>
      </c>
      <c r="D138" s="2" t="s">
        <v>1825</v>
      </c>
      <c r="E138" s="6">
        <v>40000</v>
      </c>
      <c r="F138" s="6">
        <v>42000</v>
      </c>
      <c r="G138" s="4">
        <v>40</v>
      </c>
      <c r="H138" s="172" t="s">
        <v>873</v>
      </c>
      <c r="I138" s="172" t="s">
        <v>873</v>
      </c>
      <c r="J138" s="172" t="s">
        <v>873</v>
      </c>
      <c r="K138" s="172" t="s">
        <v>873</v>
      </c>
      <c r="L138" s="172" t="s">
        <v>873</v>
      </c>
      <c r="M138" s="172" t="s">
        <v>872</v>
      </c>
      <c r="N138" s="172" t="s">
        <v>872</v>
      </c>
      <c r="O138" s="172" t="s">
        <v>872</v>
      </c>
      <c r="P138" s="172" t="s">
        <v>872</v>
      </c>
      <c r="Q138" s="172" t="s">
        <v>873</v>
      </c>
      <c r="R138" s="172" t="s">
        <v>873</v>
      </c>
      <c r="S138" s="172" t="s">
        <v>872</v>
      </c>
    </row>
    <row r="139" spans="1:19" ht="13.5" thickBot="1" x14ac:dyDescent="0.25">
      <c r="A139" s="2" t="s">
        <v>696</v>
      </c>
      <c r="B139" s="1" t="s">
        <v>695</v>
      </c>
      <c r="C139" s="2" t="s">
        <v>24</v>
      </c>
      <c r="D139" s="2" t="s">
        <v>1823</v>
      </c>
      <c r="E139" s="6">
        <v>48000</v>
      </c>
      <c r="F139" s="6">
        <v>49274</v>
      </c>
      <c r="G139" s="4">
        <v>35</v>
      </c>
      <c r="H139" s="172" t="s">
        <v>873</v>
      </c>
      <c r="I139" s="172" t="s">
        <v>873</v>
      </c>
      <c r="J139" s="172" t="s">
        <v>873</v>
      </c>
      <c r="K139" s="172" t="s">
        <v>873</v>
      </c>
      <c r="L139" s="172" t="s">
        <v>873</v>
      </c>
      <c r="M139" s="172" t="s">
        <v>872</v>
      </c>
      <c r="N139" s="172" t="s">
        <v>872</v>
      </c>
      <c r="O139" s="172" t="s">
        <v>872</v>
      </c>
      <c r="P139" s="172" t="s">
        <v>872</v>
      </c>
      <c r="Q139" s="172" t="s">
        <v>872</v>
      </c>
      <c r="R139" s="172" t="s">
        <v>872</v>
      </c>
      <c r="S139" s="172" t="s">
        <v>873</v>
      </c>
    </row>
    <row r="140" spans="1:19" ht="13.5" thickBot="1" x14ac:dyDescent="0.25">
      <c r="A140" s="2" t="s">
        <v>702</v>
      </c>
      <c r="B140" s="1" t="s">
        <v>701</v>
      </c>
      <c r="C140" s="2" t="s">
        <v>24</v>
      </c>
      <c r="D140" s="2" t="s">
        <v>1825</v>
      </c>
      <c r="E140" s="6">
        <v>17000</v>
      </c>
      <c r="F140" s="6">
        <v>28000</v>
      </c>
      <c r="G140" s="4">
        <v>34</v>
      </c>
      <c r="H140" s="172" t="s">
        <v>873</v>
      </c>
      <c r="I140" s="172" t="s">
        <v>873</v>
      </c>
      <c r="J140" s="172" t="s">
        <v>873</v>
      </c>
      <c r="K140" s="172" t="s">
        <v>873</v>
      </c>
      <c r="L140" s="172" t="s">
        <v>872</v>
      </c>
      <c r="M140" s="172" t="s">
        <v>873</v>
      </c>
      <c r="N140" s="172" t="s">
        <v>872</v>
      </c>
      <c r="O140" s="172" t="s">
        <v>873</v>
      </c>
      <c r="P140" s="172" t="s">
        <v>872</v>
      </c>
      <c r="Q140" s="172" t="s">
        <v>873</v>
      </c>
      <c r="R140" s="172" t="s">
        <v>873</v>
      </c>
      <c r="S140" s="172" t="s">
        <v>873</v>
      </c>
    </row>
    <row r="141" spans="1:19" ht="13.5" thickBot="1" x14ac:dyDescent="0.25">
      <c r="A141" s="2" t="s">
        <v>710</v>
      </c>
      <c r="B141" s="1" t="s">
        <v>709</v>
      </c>
      <c r="C141" s="2" t="s">
        <v>24</v>
      </c>
      <c r="D141" s="2" t="s">
        <v>973</v>
      </c>
      <c r="E141" s="6">
        <v>43264</v>
      </c>
      <c r="F141" s="6">
        <v>43264</v>
      </c>
      <c r="G141" s="4">
        <v>40</v>
      </c>
      <c r="H141" s="172" t="s">
        <v>873</v>
      </c>
      <c r="I141" s="172" t="s">
        <v>873</v>
      </c>
      <c r="J141" s="172" t="s">
        <v>873</v>
      </c>
      <c r="K141" s="172" t="s">
        <v>873</v>
      </c>
      <c r="L141" s="172" t="s">
        <v>873</v>
      </c>
      <c r="M141" s="172" t="s">
        <v>873</v>
      </c>
      <c r="N141" s="172" t="s">
        <v>872</v>
      </c>
      <c r="O141" s="172" t="s">
        <v>872</v>
      </c>
      <c r="P141" s="172" t="s">
        <v>872</v>
      </c>
      <c r="Q141" s="172" t="s">
        <v>873</v>
      </c>
      <c r="R141" s="172" t="s">
        <v>873</v>
      </c>
      <c r="S141" s="172" t="s">
        <v>873</v>
      </c>
    </row>
    <row r="142" spans="1:19" ht="13.5" thickBot="1" x14ac:dyDescent="0.25">
      <c r="A142" s="2" t="s">
        <v>732</v>
      </c>
      <c r="B142" s="1" t="s">
        <v>731</v>
      </c>
      <c r="C142" s="2" t="s">
        <v>24</v>
      </c>
      <c r="D142" s="2" t="s">
        <v>973</v>
      </c>
      <c r="E142" s="6">
        <v>31930</v>
      </c>
      <c r="F142" s="6">
        <v>36691</v>
      </c>
      <c r="G142" s="4">
        <v>40</v>
      </c>
      <c r="H142" s="172" t="s">
        <v>872</v>
      </c>
      <c r="I142" s="172" t="s">
        <v>872</v>
      </c>
      <c r="J142" s="172" t="s">
        <v>872</v>
      </c>
      <c r="K142" s="172" t="s">
        <v>872</v>
      </c>
      <c r="L142" s="172" t="s">
        <v>873</v>
      </c>
      <c r="M142" s="172" t="s">
        <v>872</v>
      </c>
      <c r="N142" s="172" t="s">
        <v>872</v>
      </c>
      <c r="O142" s="172" t="s">
        <v>872</v>
      </c>
      <c r="P142" s="172" t="s">
        <v>872</v>
      </c>
      <c r="Q142" s="172" t="s">
        <v>873</v>
      </c>
      <c r="R142" s="172" t="s">
        <v>872</v>
      </c>
      <c r="S142" s="172" t="s">
        <v>873</v>
      </c>
    </row>
    <row r="143" spans="1:19" ht="13.5" thickBot="1" x14ac:dyDescent="0.25">
      <c r="A143" s="2" t="s">
        <v>744</v>
      </c>
      <c r="B143" s="1" t="s">
        <v>743</v>
      </c>
      <c r="C143" s="2" t="s">
        <v>24</v>
      </c>
      <c r="D143" s="2" t="s">
        <v>1823</v>
      </c>
      <c r="E143" s="6">
        <v>58000</v>
      </c>
      <c r="F143" s="6">
        <v>61000</v>
      </c>
      <c r="G143" s="4">
        <v>40</v>
      </c>
      <c r="H143" s="172" t="s">
        <v>873</v>
      </c>
      <c r="I143" s="172" t="s">
        <v>873</v>
      </c>
      <c r="J143" s="172" t="s">
        <v>873</v>
      </c>
      <c r="K143" s="172" t="s">
        <v>873</v>
      </c>
      <c r="L143" s="172" t="s">
        <v>873</v>
      </c>
      <c r="M143" s="172" t="s">
        <v>872</v>
      </c>
      <c r="N143" s="172" t="s">
        <v>872</v>
      </c>
      <c r="O143" s="172" t="s">
        <v>872</v>
      </c>
      <c r="P143" s="172" t="s">
        <v>872</v>
      </c>
      <c r="Q143" s="172" t="s">
        <v>872</v>
      </c>
      <c r="R143" s="172" t="s">
        <v>873</v>
      </c>
      <c r="S143" s="172" t="s">
        <v>873</v>
      </c>
    </row>
    <row r="144" spans="1:19" ht="13.5" thickBot="1" x14ac:dyDescent="0.25">
      <c r="A144" s="2" t="s">
        <v>753</v>
      </c>
      <c r="B144" s="1" t="s">
        <v>752</v>
      </c>
      <c r="C144" s="2" t="s">
        <v>24</v>
      </c>
      <c r="D144" s="2" t="s">
        <v>1825</v>
      </c>
      <c r="E144" s="6">
        <v>25500</v>
      </c>
      <c r="F144" s="6">
        <v>27500</v>
      </c>
      <c r="G144" s="4">
        <v>35</v>
      </c>
      <c r="H144" s="172" t="s">
        <v>873</v>
      </c>
      <c r="I144" s="172" t="s">
        <v>873</v>
      </c>
      <c r="J144" s="172" t="s">
        <v>873</v>
      </c>
      <c r="K144" s="172" t="s">
        <v>873</v>
      </c>
      <c r="L144" s="172" t="s">
        <v>873</v>
      </c>
      <c r="M144" s="172" t="s">
        <v>872</v>
      </c>
      <c r="N144" s="172" t="s">
        <v>872</v>
      </c>
      <c r="O144" s="172" t="s">
        <v>872</v>
      </c>
      <c r="P144" s="172" t="s">
        <v>872</v>
      </c>
      <c r="Q144" s="172" t="s">
        <v>872</v>
      </c>
      <c r="R144" s="172" t="s">
        <v>873</v>
      </c>
      <c r="S144" s="172" t="s">
        <v>873</v>
      </c>
    </row>
    <row r="145" spans="1:19" ht="13.5" thickBot="1" x14ac:dyDescent="0.25">
      <c r="A145" s="2" t="s">
        <v>761</v>
      </c>
      <c r="B145" s="1" t="s">
        <v>760</v>
      </c>
      <c r="C145" s="2" t="s">
        <v>24</v>
      </c>
      <c r="D145" s="2" t="s">
        <v>973</v>
      </c>
      <c r="E145" s="6">
        <v>37669</v>
      </c>
      <c r="F145" s="6">
        <v>38756</v>
      </c>
      <c r="G145" s="4">
        <v>40</v>
      </c>
      <c r="H145" s="172" t="s">
        <v>872</v>
      </c>
      <c r="I145" s="172" t="s">
        <v>872</v>
      </c>
      <c r="J145" s="172" t="s">
        <v>872</v>
      </c>
      <c r="K145" s="172" t="s">
        <v>873</v>
      </c>
      <c r="L145" s="172" t="s">
        <v>873</v>
      </c>
      <c r="M145" s="172" t="s">
        <v>872</v>
      </c>
      <c r="N145" s="172" t="s">
        <v>872</v>
      </c>
      <c r="O145" s="172" t="s">
        <v>872</v>
      </c>
      <c r="P145" s="172" t="s">
        <v>872</v>
      </c>
      <c r="Q145" s="172" t="s">
        <v>872</v>
      </c>
      <c r="R145" s="172" t="s">
        <v>873</v>
      </c>
      <c r="S145" s="172" t="s">
        <v>873</v>
      </c>
    </row>
    <row r="146" spans="1:19" ht="13.5" thickBot="1" x14ac:dyDescent="0.25">
      <c r="A146" s="2" t="s">
        <v>769</v>
      </c>
      <c r="B146" s="1" t="s">
        <v>768</v>
      </c>
      <c r="C146" s="2" t="s">
        <v>24</v>
      </c>
      <c r="D146" s="2" t="s">
        <v>1825</v>
      </c>
      <c r="E146" s="6">
        <v>20384</v>
      </c>
      <c r="F146" s="6">
        <v>23400</v>
      </c>
      <c r="G146" s="4">
        <v>32</v>
      </c>
      <c r="H146" s="172" t="s">
        <v>873</v>
      </c>
      <c r="I146" s="172" t="s">
        <v>873</v>
      </c>
      <c r="J146" s="172" t="s">
        <v>873</v>
      </c>
      <c r="K146" s="172" t="s">
        <v>873</v>
      </c>
      <c r="L146" s="172" t="s">
        <v>873</v>
      </c>
      <c r="M146" s="172" t="s">
        <v>873</v>
      </c>
      <c r="N146" s="172" t="s">
        <v>872</v>
      </c>
      <c r="O146" s="172" t="s">
        <v>873</v>
      </c>
      <c r="P146" s="172" t="s">
        <v>873</v>
      </c>
      <c r="Q146" s="172" t="s">
        <v>873</v>
      </c>
      <c r="R146" s="172" t="s">
        <v>873</v>
      </c>
      <c r="S146" s="172" t="s">
        <v>873</v>
      </c>
    </row>
    <row r="147" spans="1:19" ht="13.5" thickBot="1" x14ac:dyDescent="0.25">
      <c r="A147" s="2" t="s">
        <v>783</v>
      </c>
      <c r="B147" s="1" t="s">
        <v>782</v>
      </c>
      <c r="C147" s="2" t="s">
        <v>24</v>
      </c>
      <c r="D147" s="2" t="s">
        <v>973</v>
      </c>
      <c r="E147" s="6">
        <v>33470</v>
      </c>
      <c r="F147" s="6">
        <v>41300</v>
      </c>
      <c r="G147" s="4">
        <v>40</v>
      </c>
      <c r="H147" s="172" t="s">
        <v>872</v>
      </c>
      <c r="I147" s="172" t="s">
        <v>872</v>
      </c>
      <c r="J147" s="172" t="s">
        <v>872</v>
      </c>
      <c r="K147" s="172" t="s">
        <v>872</v>
      </c>
      <c r="L147" s="172" t="s">
        <v>872</v>
      </c>
      <c r="M147" s="172" t="s">
        <v>872</v>
      </c>
      <c r="N147" s="172" t="s">
        <v>872</v>
      </c>
      <c r="O147" s="172" t="s">
        <v>872</v>
      </c>
      <c r="P147" s="172" t="s">
        <v>872</v>
      </c>
      <c r="Q147" s="172" t="s">
        <v>873</v>
      </c>
      <c r="R147" s="172" t="s">
        <v>872</v>
      </c>
      <c r="S147" s="172" t="s">
        <v>872</v>
      </c>
    </row>
    <row r="148" spans="1:19" ht="13.5" thickBot="1" x14ac:dyDescent="0.25">
      <c r="A148" s="2" t="s">
        <v>789</v>
      </c>
      <c r="B148" s="1" t="s">
        <v>788</v>
      </c>
      <c r="C148" s="2" t="s">
        <v>24</v>
      </c>
      <c r="D148" s="2" t="s">
        <v>1825</v>
      </c>
      <c r="E148" s="6">
        <v>20000</v>
      </c>
      <c r="F148" s="6">
        <v>36000</v>
      </c>
      <c r="G148" s="4">
        <v>32</v>
      </c>
      <c r="H148" s="172" t="s">
        <v>873</v>
      </c>
      <c r="I148" s="172" t="s">
        <v>873</v>
      </c>
      <c r="J148" s="172" t="s">
        <v>873</v>
      </c>
      <c r="K148" s="172" t="s">
        <v>873</v>
      </c>
      <c r="L148" s="172" t="s">
        <v>873</v>
      </c>
      <c r="M148" s="172" t="s">
        <v>873</v>
      </c>
      <c r="N148" s="172" t="s">
        <v>873</v>
      </c>
      <c r="O148" s="172" t="s">
        <v>873</v>
      </c>
      <c r="P148" s="172" t="s">
        <v>873</v>
      </c>
      <c r="Q148" s="172" t="s">
        <v>873</v>
      </c>
      <c r="R148" s="172" t="s">
        <v>873</v>
      </c>
      <c r="S148" s="172" t="s">
        <v>873</v>
      </c>
    </row>
    <row r="149" spans="1:19" ht="13.5" thickBot="1" x14ac:dyDescent="0.25">
      <c r="A149" s="2" t="s">
        <v>801</v>
      </c>
      <c r="B149" s="1" t="s">
        <v>800</v>
      </c>
      <c r="C149" s="2" t="s">
        <v>24</v>
      </c>
      <c r="D149" s="2" t="s">
        <v>1823</v>
      </c>
      <c r="E149" s="6">
        <v>65000</v>
      </c>
      <c r="F149" s="6">
        <v>65000</v>
      </c>
      <c r="G149" s="4">
        <v>40</v>
      </c>
      <c r="H149" s="172" t="s">
        <v>872</v>
      </c>
      <c r="I149" s="172" t="s">
        <v>872</v>
      </c>
      <c r="J149" s="172" t="s">
        <v>872</v>
      </c>
      <c r="K149" s="172" t="s">
        <v>872</v>
      </c>
      <c r="L149" s="172" t="s">
        <v>872</v>
      </c>
      <c r="M149" s="172" t="s">
        <v>872</v>
      </c>
      <c r="N149" s="172" t="s">
        <v>872</v>
      </c>
      <c r="O149" s="172" t="s">
        <v>873</v>
      </c>
      <c r="P149" s="172" t="s">
        <v>872</v>
      </c>
      <c r="Q149" s="172" t="s">
        <v>873</v>
      </c>
      <c r="R149" s="172" t="s">
        <v>872</v>
      </c>
      <c r="S149" s="172" t="s">
        <v>873</v>
      </c>
    </row>
    <row r="150" spans="1:19" ht="13.5" thickBot="1" x14ac:dyDescent="0.25">
      <c r="A150" s="2" t="s">
        <v>811</v>
      </c>
      <c r="B150" s="1" t="s">
        <v>810</v>
      </c>
      <c r="C150" s="2" t="s">
        <v>24</v>
      </c>
      <c r="D150" s="2" t="s">
        <v>1824</v>
      </c>
      <c r="E150" s="6">
        <v>29000</v>
      </c>
      <c r="F150" s="6">
        <v>36000</v>
      </c>
      <c r="G150" s="4">
        <v>32</v>
      </c>
      <c r="H150" s="172" t="s">
        <v>873</v>
      </c>
      <c r="I150" s="172" t="s">
        <v>873</v>
      </c>
      <c r="J150" s="172" t="s">
        <v>873</v>
      </c>
      <c r="K150" s="172" t="s">
        <v>873</v>
      </c>
      <c r="L150" s="172" t="s">
        <v>873</v>
      </c>
      <c r="M150" s="172" t="s">
        <v>872</v>
      </c>
      <c r="N150" s="172" t="s">
        <v>872</v>
      </c>
      <c r="O150" s="172" t="s">
        <v>872</v>
      </c>
      <c r="P150" s="172" t="s">
        <v>872</v>
      </c>
      <c r="Q150" s="172" t="s">
        <v>873</v>
      </c>
      <c r="R150" s="172" t="s">
        <v>873</v>
      </c>
      <c r="S150" s="172" t="s">
        <v>873</v>
      </c>
    </row>
    <row r="151" spans="1:19" ht="13.5" thickBot="1" x14ac:dyDescent="0.25">
      <c r="A151" s="2" t="s">
        <v>829</v>
      </c>
      <c r="B151" s="1" t="s">
        <v>828</v>
      </c>
      <c r="C151" s="2" t="s">
        <v>24</v>
      </c>
      <c r="D151" s="2" t="s">
        <v>1825</v>
      </c>
      <c r="E151" s="6">
        <v>30000</v>
      </c>
      <c r="F151" s="6">
        <v>55000</v>
      </c>
      <c r="G151" s="4">
        <v>32</v>
      </c>
      <c r="H151" s="172" t="s">
        <v>873</v>
      </c>
      <c r="I151" s="172" t="s">
        <v>873</v>
      </c>
      <c r="J151" s="172" t="s">
        <v>873</v>
      </c>
      <c r="K151" s="172" t="s">
        <v>873</v>
      </c>
      <c r="L151" s="172" t="s">
        <v>873</v>
      </c>
      <c r="M151" s="172" t="s">
        <v>872</v>
      </c>
      <c r="N151" s="172" t="s">
        <v>872</v>
      </c>
      <c r="O151" s="172" t="s">
        <v>872</v>
      </c>
      <c r="P151" s="172" t="s">
        <v>872</v>
      </c>
      <c r="Q151" s="172" t="s">
        <v>872</v>
      </c>
      <c r="R151" s="172" t="s">
        <v>873</v>
      </c>
      <c r="S151" s="172" t="s">
        <v>873</v>
      </c>
    </row>
    <row r="152" spans="1:19" ht="13.5" thickBot="1" x14ac:dyDescent="0.25">
      <c r="A152" s="2" t="s">
        <v>31</v>
      </c>
      <c r="B152" s="1" t="s">
        <v>30</v>
      </c>
      <c r="C152" s="2" t="s">
        <v>32</v>
      </c>
      <c r="D152" s="2" t="s">
        <v>1824</v>
      </c>
      <c r="E152" s="6">
        <v>36210</v>
      </c>
      <c r="F152" s="6">
        <v>48960</v>
      </c>
      <c r="G152" s="4">
        <v>40</v>
      </c>
      <c r="H152" s="172" t="s">
        <v>872</v>
      </c>
      <c r="I152" s="172" t="s">
        <v>872</v>
      </c>
      <c r="J152" s="172" t="s">
        <v>873</v>
      </c>
      <c r="K152" s="172" t="s">
        <v>873</v>
      </c>
      <c r="L152" s="172" t="s">
        <v>872</v>
      </c>
      <c r="M152" s="172" t="s">
        <v>872</v>
      </c>
      <c r="N152" s="172" t="s">
        <v>872</v>
      </c>
      <c r="O152" s="172" t="s">
        <v>873</v>
      </c>
      <c r="P152" s="172" t="s">
        <v>872</v>
      </c>
      <c r="Q152" s="172" t="s">
        <v>873</v>
      </c>
      <c r="R152" s="172" t="s">
        <v>873</v>
      </c>
      <c r="S152" s="172" t="s">
        <v>873</v>
      </c>
    </row>
    <row r="153" spans="1:19" ht="13.5" thickBot="1" x14ac:dyDescent="0.25">
      <c r="A153" s="2" t="s">
        <v>34</v>
      </c>
      <c r="B153" s="1" t="s">
        <v>33</v>
      </c>
      <c r="C153" s="2" t="s">
        <v>32</v>
      </c>
      <c r="D153" s="2" t="s">
        <v>1823</v>
      </c>
      <c r="E153" s="6">
        <v>36767</v>
      </c>
      <c r="F153" s="6">
        <v>37615</v>
      </c>
      <c r="G153" s="4">
        <v>40</v>
      </c>
      <c r="H153" s="172" t="s">
        <v>873</v>
      </c>
      <c r="I153" s="172" t="s">
        <v>873</v>
      </c>
      <c r="J153" s="172" t="s">
        <v>873</v>
      </c>
      <c r="K153" s="172" t="s">
        <v>873</v>
      </c>
      <c r="L153" s="172" t="s">
        <v>873</v>
      </c>
      <c r="M153" s="172" t="s">
        <v>872</v>
      </c>
      <c r="N153" s="172" t="s">
        <v>872</v>
      </c>
      <c r="O153" s="172" t="s">
        <v>872</v>
      </c>
      <c r="P153" s="172" t="s">
        <v>872</v>
      </c>
      <c r="Q153" s="172" t="s">
        <v>873</v>
      </c>
      <c r="R153" s="172" t="s">
        <v>872</v>
      </c>
      <c r="S153" s="172" t="s">
        <v>873</v>
      </c>
    </row>
    <row r="154" spans="1:19" ht="13.5" thickBot="1" x14ac:dyDescent="0.25">
      <c r="A154" s="2" t="s">
        <v>36</v>
      </c>
      <c r="B154" s="1" t="s">
        <v>35</v>
      </c>
      <c r="C154" s="2" t="s">
        <v>32</v>
      </c>
      <c r="D154" s="2" t="s">
        <v>1823</v>
      </c>
      <c r="E154" s="6">
        <v>55000</v>
      </c>
      <c r="F154" s="6">
        <v>65000</v>
      </c>
      <c r="G154" s="4">
        <v>35</v>
      </c>
      <c r="H154" s="172" t="s">
        <v>872</v>
      </c>
      <c r="I154" s="172" t="s">
        <v>872</v>
      </c>
      <c r="J154" s="172" t="s">
        <v>872</v>
      </c>
      <c r="K154" s="172" t="s">
        <v>872</v>
      </c>
      <c r="L154" s="172" t="s">
        <v>872</v>
      </c>
      <c r="M154" s="172" t="s">
        <v>872</v>
      </c>
      <c r="N154" s="172" t="s">
        <v>872</v>
      </c>
      <c r="O154" s="172" t="s">
        <v>873</v>
      </c>
      <c r="P154" s="172" t="s">
        <v>872</v>
      </c>
      <c r="Q154" s="172" t="s">
        <v>872</v>
      </c>
      <c r="R154" s="172" t="s">
        <v>872</v>
      </c>
      <c r="S154" s="172" t="s">
        <v>872</v>
      </c>
    </row>
    <row r="155" spans="1:19" ht="13.5" thickBot="1" x14ac:dyDescent="0.25">
      <c r="A155" s="2" t="s">
        <v>38</v>
      </c>
      <c r="B155" s="1" t="s">
        <v>37</v>
      </c>
      <c r="C155" s="2" t="s">
        <v>32</v>
      </c>
      <c r="D155" s="2" t="s">
        <v>1823</v>
      </c>
      <c r="E155" s="6">
        <v>50000</v>
      </c>
      <c r="F155" s="6">
        <v>60000</v>
      </c>
      <c r="G155" s="4">
        <v>40</v>
      </c>
      <c r="H155" s="172" t="s">
        <v>872</v>
      </c>
      <c r="I155" s="172" t="s">
        <v>872</v>
      </c>
      <c r="J155" s="172" t="s">
        <v>872</v>
      </c>
      <c r="K155" s="172" t="s">
        <v>872</v>
      </c>
      <c r="L155" s="172" t="s">
        <v>872</v>
      </c>
      <c r="M155" s="172" t="s">
        <v>873</v>
      </c>
      <c r="N155" s="172" t="s">
        <v>873</v>
      </c>
      <c r="O155" s="172" t="s">
        <v>872</v>
      </c>
      <c r="P155" s="172" t="s">
        <v>872</v>
      </c>
      <c r="Q155" s="172" t="s">
        <v>872</v>
      </c>
      <c r="R155" s="172" t="s">
        <v>872</v>
      </c>
      <c r="S155" s="172" t="s">
        <v>873</v>
      </c>
    </row>
    <row r="156" spans="1:19" ht="13.5" thickBot="1" x14ac:dyDescent="0.25">
      <c r="A156" s="2" t="s">
        <v>49</v>
      </c>
      <c r="B156" s="1" t="s">
        <v>48</v>
      </c>
      <c r="C156" s="2" t="s">
        <v>32</v>
      </c>
      <c r="D156" s="2" t="s">
        <v>1823</v>
      </c>
      <c r="E156" s="6">
        <v>58832</v>
      </c>
      <c r="F156" s="6">
        <v>76484</v>
      </c>
      <c r="G156" s="4">
        <v>40</v>
      </c>
      <c r="H156" s="172" t="s">
        <v>872</v>
      </c>
      <c r="I156" s="172" t="s">
        <v>872</v>
      </c>
      <c r="J156" s="172" t="s">
        <v>873</v>
      </c>
      <c r="K156" s="172" t="s">
        <v>872</v>
      </c>
      <c r="L156" s="172" t="s">
        <v>872</v>
      </c>
      <c r="M156" s="172" t="s">
        <v>872</v>
      </c>
      <c r="N156" s="172" t="s">
        <v>872</v>
      </c>
      <c r="O156" s="172" t="s">
        <v>872</v>
      </c>
      <c r="P156" s="172" t="s">
        <v>872</v>
      </c>
      <c r="Q156" s="172" t="s">
        <v>873</v>
      </c>
      <c r="R156" s="172" t="s">
        <v>873</v>
      </c>
      <c r="S156" s="172" t="s">
        <v>873</v>
      </c>
    </row>
    <row r="157" spans="1:19" ht="13.5" thickBot="1" x14ac:dyDescent="0.25">
      <c r="A157" s="2" t="s">
        <v>57</v>
      </c>
      <c r="B157" s="1" t="s">
        <v>56</v>
      </c>
      <c r="C157" s="2" t="s">
        <v>32</v>
      </c>
      <c r="D157" s="2" t="s">
        <v>973</v>
      </c>
      <c r="E157" s="6">
        <v>31000</v>
      </c>
      <c r="F157" s="6">
        <v>50186</v>
      </c>
      <c r="G157" s="4">
        <v>40</v>
      </c>
      <c r="H157" s="172" t="s">
        <v>872</v>
      </c>
      <c r="I157" s="172" t="s">
        <v>872</v>
      </c>
      <c r="J157" s="172" t="s">
        <v>872</v>
      </c>
      <c r="K157" s="172" t="s">
        <v>872</v>
      </c>
      <c r="L157" s="172" t="s">
        <v>872</v>
      </c>
      <c r="M157" s="172" t="s">
        <v>872</v>
      </c>
      <c r="N157" s="172" t="s">
        <v>872</v>
      </c>
      <c r="O157" s="172" t="s">
        <v>872</v>
      </c>
      <c r="P157" s="172" t="s">
        <v>872</v>
      </c>
      <c r="Q157" s="172" t="s">
        <v>873</v>
      </c>
      <c r="R157" s="172" t="s">
        <v>872</v>
      </c>
      <c r="S157" s="172" t="s">
        <v>872</v>
      </c>
    </row>
    <row r="158" spans="1:19" ht="13.5" thickBot="1" x14ac:dyDescent="0.25">
      <c r="A158" s="2" t="s">
        <v>74</v>
      </c>
      <c r="B158" s="1" t="s">
        <v>73</v>
      </c>
      <c r="C158" s="2" t="s">
        <v>32</v>
      </c>
      <c r="D158" s="2" t="s">
        <v>973</v>
      </c>
      <c r="E158" s="6">
        <v>61000</v>
      </c>
      <c r="F158" s="6">
        <v>69000</v>
      </c>
      <c r="G158" s="4">
        <v>44</v>
      </c>
      <c r="H158" s="172" t="s">
        <v>872</v>
      </c>
      <c r="I158" s="172" t="s">
        <v>873</v>
      </c>
      <c r="J158" s="172" t="s">
        <v>873</v>
      </c>
      <c r="K158" s="172" t="s">
        <v>873</v>
      </c>
      <c r="L158" s="172" t="s">
        <v>873</v>
      </c>
      <c r="M158" s="172" t="s">
        <v>872</v>
      </c>
      <c r="N158" s="172" t="s">
        <v>872</v>
      </c>
      <c r="O158" s="172" t="s">
        <v>872</v>
      </c>
      <c r="P158" s="172" t="s">
        <v>872</v>
      </c>
      <c r="Q158" s="172" t="s">
        <v>873</v>
      </c>
      <c r="R158" s="172" t="s">
        <v>873</v>
      </c>
      <c r="S158" s="172" t="s">
        <v>873</v>
      </c>
    </row>
    <row r="159" spans="1:19" ht="13.5" thickBot="1" x14ac:dyDescent="0.25">
      <c r="A159" s="2" t="s">
        <v>84</v>
      </c>
      <c r="B159" s="1" t="s">
        <v>83</v>
      </c>
      <c r="C159" s="2" t="s">
        <v>32</v>
      </c>
      <c r="D159" s="2" t="s">
        <v>1823</v>
      </c>
      <c r="E159" s="6">
        <v>45000</v>
      </c>
      <c r="F159" s="6">
        <v>0</v>
      </c>
      <c r="G159" s="4">
        <v>40</v>
      </c>
      <c r="H159" s="172" t="s">
        <v>873</v>
      </c>
      <c r="I159" s="172" t="s">
        <v>873</v>
      </c>
      <c r="J159" s="172" t="s">
        <v>873</v>
      </c>
      <c r="K159" s="172" t="s">
        <v>873</v>
      </c>
      <c r="L159" s="172" t="s">
        <v>873</v>
      </c>
      <c r="M159" s="172" t="s">
        <v>873</v>
      </c>
      <c r="N159" s="172" t="s">
        <v>873</v>
      </c>
      <c r="O159" s="172" t="s">
        <v>873</v>
      </c>
      <c r="P159" s="172" t="s">
        <v>872</v>
      </c>
      <c r="Q159" s="172" t="s">
        <v>873</v>
      </c>
      <c r="R159" s="172" t="s">
        <v>873</v>
      </c>
      <c r="S159" s="172" t="s">
        <v>873</v>
      </c>
    </row>
    <row r="160" spans="1:19" ht="13.5" thickBot="1" x14ac:dyDescent="0.25">
      <c r="A160" s="2" t="s">
        <v>104</v>
      </c>
      <c r="B160" s="1" t="s">
        <v>103</v>
      </c>
      <c r="C160" s="2" t="s">
        <v>32</v>
      </c>
      <c r="D160" s="2" t="s">
        <v>973</v>
      </c>
      <c r="E160" s="6">
        <v>33000</v>
      </c>
      <c r="F160" s="6">
        <v>50000</v>
      </c>
      <c r="G160" s="4">
        <v>40</v>
      </c>
      <c r="H160" s="172" t="s">
        <v>872</v>
      </c>
      <c r="I160" s="172" t="s">
        <v>873</v>
      </c>
      <c r="J160" s="172" t="s">
        <v>873</v>
      </c>
      <c r="K160" s="172" t="s">
        <v>873</v>
      </c>
      <c r="L160" s="172" t="s">
        <v>872</v>
      </c>
      <c r="M160" s="172" t="s">
        <v>872</v>
      </c>
      <c r="N160" s="172" t="s">
        <v>872</v>
      </c>
      <c r="O160" s="172" t="s">
        <v>872</v>
      </c>
      <c r="P160" s="172" t="s">
        <v>872</v>
      </c>
      <c r="Q160" s="172" t="s">
        <v>873</v>
      </c>
      <c r="R160" s="172" t="s">
        <v>873</v>
      </c>
      <c r="S160" s="172" t="s">
        <v>872</v>
      </c>
    </row>
    <row r="161" spans="1:19" ht="13.5" thickBot="1" x14ac:dyDescent="0.25">
      <c r="A161" s="2" t="s">
        <v>112</v>
      </c>
      <c r="B161" s="1" t="s">
        <v>111</v>
      </c>
      <c r="C161" s="2" t="s">
        <v>32</v>
      </c>
      <c r="D161" s="2" t="s">
        <v>1823</v>
      </c>
      <c r="E161" s="6">
        <v>54039</v>
      </c>
      <c r="F161" s="6">
        <v>69665</v>
      </c>
      <c r="G161" s="4">
        <v>36</v>
      </c>
      <c r="H161" s="172" t="s">
        <v>872</v>
      </c>
      <c r="I161" s="172" t="s">
        <v>872</v>
      </c>
      <c r="J161" s="172" t="s">
        <v>872</v>
      </c>
      <c r="K161" s="172" t="s">
        <v>872</v>
      </c>
      <c r="L161" s="172" t="s">
        <v>872</v>
      </c>
      <c r="M161" s="172" t="s">
        <v>872</v>
      </c>
      <c r="N161" s="172" t="s">
        <v>872</v>
      </c>
      <c r="O161" s="172" t="s">
        <v>872</v>
      </c>
      <c r="P161" s="172" t="s">
        <v>872</v>
      </c>
      <c r="Q161" s="172" t="s">
        <v>872</v>
      </c>
      <c r="R161" s="172" t="s">
        <v>872</v>
      </c>
      <c r="S161" s="172" t="s">
        <v>873</v>
      </c>
    </row>
    <row r="162" spans="1:19" ht="13.5" thickBot="1" x14ac:dyDescent="0.25">
      <c r="A162" s="2" t="s">
        <v>116</v>
      </c>
      <c r="B162" s="1" t="s">
        <v>115</v>
      </c>
      <c r="C162" s="2" t="s">
        <v>32</v>
      </c>
      <c r="D162" s="2" t="s">
        <v>1824</v>
      </c>
      <c r="E162" s="6">
        <v>45000</v>
      </c>
      <c r="F162" s="6">
        <v>60000</v>
      </c>
      <c r="G162" s="4">
        <v>40</v>
      </c>
      <c r="H162" s="172" t="s">
        <v>872</v>
      </c>
      <c r="I162" s="172" t="s">
        <v>872</v>
      </c>
      <c r="J162" s="172" t="s">
        <v>872</v>
      </c>
      <c r="K162" s="172" t="s">
        <v>872</v>
      </c>
      <c r="L162" s="172" t="s">
        <v>873</v>
      </c>
      <c r="M162" s="172" t="s">
        <v>872</v>
      </c>
      <c r="N162" s="172" t="s">
        <v>872</v>
      </c>
      <c r="O162" s="172" t="s">
        <v>872</v>
      </c>
      <c r="P162" s="172" t="s">
        <v>872</v>
      </c>
      <c r="Q162" s="172" t="s">
        <v>873</v>
      </c>
      <c r="R162" s="172" t="s">
        <v>873</v>
      </c>
      <c r="S162" s="172" t="s">
        <v>873</v>
      </c>
    </row>
    <row r="163" spans="1:19" ht="13.5" thickBot="1" x14ac:dyDescent="0.25">
      <c r="A163" s="2" t="s">
        <v>134</v>
      </c>
      <c r="B163" s="1" t="s">
        <v>133</v>
      </c>
      <c r="C163" s="2" t="s">
        <v>32</v>
      </c>
      <c r="D163" s="2" t="s">
        <v>1824</v>
      </c>
      <c r="E163" s="6">
        <v>35000</v>
      </c>
      <c r="F163" s="6">
        <v>55000</v>
      </c>
      <c r="G163" s="4">
        <v>40</v>
      </c>
      <c r="H163" s="172" t="s">
        <v>872</v>
      </c>
      <c r="I163" s="172" t="s">
        <v>872</v>
      </c>
      <c r="J163" s="172" t="s">
        <v>872</v>
      </c>
      <c r="K163" s="172" t="s">
        <v>872</v>
      </c>
      <c r="L163" s="172" t="s">
        <v>872</v>
      </c>
      <c r="M163" s="172" t="s">
        <v>872</v>
      </c>
      <c r="N163" s="172" t="s">
        <v>872</v>
      </c>
      <c r="O163" s="172" t="s">
        <v>872</v>
      </c>
      <c r="P163" s="172" t="s">
        <v>872</v>
      </c>
      <c r="Q163" s="172" t="s">
        <v>872</v>
      </c>
      <c r="R163" s="172" t="s">
        <v>872</v>
      </c>
      <c r="S163" s="172" t="s">
        <v>873</v>
      </c>
    </row>
    <row r="164" spans="1:19" ht="13.5" thickBot="1" x14ac:dyDescent="0.25">
      <c r="A164" s="2" t="s">
        <v>136</v>
      </c>
      <c r="B164" s="1" t="s">
        <v>135</v>
      </c>
      <c r="C164" s="2" t="s">
        <v>32</v>
      </c>
      <c r="D164" s="2" t="s">
        <v>973</v>
      </c>
      <c r="E164" s="6">
        <v>21500</v>
      </c>
      <c r="F164" s="6">
        <v>75000</v>
      </c>
      <c r="G164" s="4">
        <v>40</v>
      </c>
      <c r="H164" s="172" t="s">
        <v>872</v>
      </c>
      <c r="I164" s="172" t="s">
        <v>872</v>
      </c>
      <c r="J164" s="172" t="s">
        <v>872</v>
      </c>
      <c r="K164" s="172" t="s">
        <v>873</v>
      </c>
      <c r="L164" s="172" t="s">
        <v>873</v>
      </c>
      <c r="M164" s="172" t="s">
        <v>873</v>
      </c>
      <c r="N164" s="172" t="s">
        <v>872</v>
      </c>
      <c r="O164" s="172" t="s">
        <v>873</v>
      </c>
      <c r="P164" s="172" t="s">
        <v>872</v>
      </c>
      <c r="Q164" s="172" t="s">
        <v>872</v>
      </c>
      <c r="R164" s="172" t="s">
        <v>873</v>
      </c>
      <c r="S164" s="172" t="s">
        <v>873</v>
      </c>
    </row>
    <row r="165" spans="1:19" ht="13.5" thickBot="1" x14ac:dyDescent="0.25">
      <c r="A165" s="2" t="s">
        <v>144</v>
      </c>
      <c r="B165" s="1" t="s">
        <v>143</v>
      </c>
      <c r="C165" s="2" t="s">
        <v>32</v>
      </c>
      <c r="D165" s="2" t="s">
        <v>973</v>
      </c>
      <c r="E165" s="6">
        <v>45079</v>
      </c>
      <c r="F165" s="6">
        <v>49587</v>
      </c>
      <c r="G165" s="4">
        <v>38</v>
      </c>
      <c r="H165" s="172" t="s">
        <v>872</v>
      </c>
      <c r="I165" s="172" t="s">
        <v>872</v>
      </c>
      <c r="J165" s="172" t="s">
        <v>872</v>
      </c>
      <c r="K165" s="172" t="s">
        <v>872</v>
      </c>
      <c r="L165" s="172" t="s">
        <v>872</v>
      </c>
      <c r="M165" s="172" t="s">
        <v>872</v>
      </c>
      <c r="N165" s="172" t="s">
        <v>872</v>
      </c>
      <c r="O165" s="172" t="s">
        <v>872</v>
      </c>
      <c r="P165" s="172" t="s">
        <v>872</v>
      </c>
      <c r="Q165" s="172" t="s">
        <v>873</v>
      </c>
      <c r="R165" s="172" t="s">
        <v>873</v>
      </c>
      <c r="S165" s="172" t="s">
        <v>872</v>
      </c>
    </row>
    <row r="166" spans="1:19" ht="13.5" thickBot="1" x14ac:dyDescent="0.25">
      <c r="A166" s="2" t="s">
        <v>152</v>
      </c>
      <c r="B166" s="1" t="s">
        <v>151</v>
      </c>
      <c r="C166" s="2" t="s">
        <v>32</v>
      </c>
      <c r="D166" s="2" t="s">
        <v>1823</v>
      </c>
      <c r="E166" s="6">
        <v>53878</v>
      </c>
      <c r="F166" s="6">
        <v>57298</v>
      </c>
      <c r="G166" s="4">
        <v>40</v>
      </c>
      <c r="H166" s="172" t="s">
        <v>872</v>
      </c>
      <c r="I166" s="172" t="s">
        <v>873</v>
      </c>
      <c r="J166" s="172" t="s">
        <v>873</v>
      </c>
      <c r="K166" s="172" t="s">
        <v>873</v>
      </c>
      <c r="L166" s="172" t="s">
        <v>873</v>
      </c>
      <c r="M166" s="172" t="s">
        <v>872</v>
      </c>
      <c r="N166" s="172" t="s">
        <v>872</v>
      </c>
      <c r="O166" s="172" t="s">
        <v>872</v>
      </c>
      <c r="P166" s="172" t="s">
        <v>872</v>
      </c>
      <c r="Q166" s="172" t="s">
        <v>872</v>
      </c>
      <c r="R166" s="172" t="s">
        <v>873</v>
      </c>
      <c r="S166" s="172" t="s">
        <v>873</v>
      </c>
    </row>
    <row r="167" spans="1:19" ht="13.5" thickBot="1" x14ac:dyDescent="0.25">
      <c r="A167" s="2" t="s">
        <v>156</v>
      </c>
      <c r="B167" s="1" t="s">
        <v>155</v>
      </c>
      <c r="C167" s="2" t="s">
        <v>32</v>
      </c>
      <c r="D167" s="2" t="s">
        <v>973</v>
      </c>
      <c r="E167" s="6">
        <v>48939</v>
      </c>
      <c r="F167" s="6">
        <v>48939</v>
      </c>
      <c r="G167" s="4">
        <v>40</v>
      </c>
      <c r="H167" s="172" t="s">
        <v>873</v>
      </c>
      <c r="I167" s="172" t="s">
        <v>873</v>
      </c>
      <c r="J167" s="172" t="s">
        <v>873</v>
      </c>
      <c r="K167" s="172" t="s">
        <v>873</v>
      </c>
      <c r="L167" s="172" t="s">
        <v>873</v>
      </c>
      <c r="M167" s="172" t="s">
        <v>872</v>
      </c>
      <c r="N167" s="172" t="s">
        <v>872</v>
      </c>
      <c r="O167" s="172" t="s">
        <v>872</v>
      </c>
      <c r="P167" s="172" t="s">
        <v>872</v>
      </c>
      <c r="Q167" s="172" t="s">
        <v>873</v>
      </c>
      <c r="R167" s="172" t="s">
        <v>873</v>
      </c>
      <c r="S167" s="172" t="s">
        <v>873</v>
      </c>
    </row>
    <row r="168" spans="1:19" ht="13.5" thickBot="1" x14ac:dyDescent="0.25">
      <c r="A168" s="2" t="s">
        <v>160</v>
      </c>
      <c r="B168" s="1" t="s">
        <v>159</v>
      </c>
      <c r="C168" s="2" t="s">
        <v>32</v>
      </c>
      <c r="D168" s="2" t="s">
        <v>973</v>
      </c>
      <c r="E168" s="6">
        <v>36229</v>
      </c>
      <c r="F168" s="6">
        <v>36229</v>
      </c>
      <c r="G168" s="4">
        <v>40</v>
      </c>
      <c r="H168" s="172" t="s">
        <v>872</v>
      </c>
      <c r="I168" s="172" t="s">
        <v>873</v>
      </c>
      <c r="J168" s="172" t="s">
        <v>873</v>
      </c>
      <c r="K168" s="172" t="s">
        <v>873</v>
      </c>
      <c r="L168" s="172" t="s">
        <v>873</v>
      </c>
      <c r="M168" s="172" t="s">
        <v>872</v>
      </c>
      <c r="N168" s="172" t="s">
        <v>872</v>
      </c>
      <c r="O168" s="172" t="s">
        <v>872</v>
      </c>
      <c r="P168" s="172" t="s">
        <v>872</v>
      </c>
      <c r="Q168" s="172" t="s">
        <v>873</v>
      </c>
      <c r="R168" s="172" t="s">
        <v>873</v>
      </c>
      <c r="S168" s="172" t="s">
        <v>873</v>
      </c>
    </row>
    <row r="169" spans="1:19" ht="13.5" thickBot="1" x14ac:dyDescent="0.25">
      <c r="A169" s="2" t="s">
        <v>162</v>
      </c>
      <c r="B169" s="1" t="s">
        <v>161</v>
      </c>
      <c r="C169" s="2" t="s">
        <v>32</v>
      </c>
      <c r="D169" s="2" t="s">
        <v>1823</v>
      </c>
      <c r="E169" s="6">
        <v>57368</v>
      </c>
      <c r="F169" s="6">
        <v>58516</v>
      </c>
      <c r="G169" s="4">
        <v>40</v>
      </c>
      <c r="H169" s="172" t="s">
        <v>872</v>
      </c>
      <c r="I169" s="172" t="s">
        <v>872</v>
      </c>
      <c r="J169" s="172" t="s">
        <v>872</v>
      </c>
      <c r="K169" s="172" t="s">
        <v>872</v>
      </c>
      <c r="L169" s="172" t="s">
        <v>873</v>
      </c>
      <c r="M169" s="172" t="s">
        <v>872</v>
      </c>
      <c r="N169" s="172" t="s">
        <v>872</v>
      </c>
      <c r="O169" s="172" t="s">
        <v>873</v>
      </c>
      <c r="P169" s="172" t="s">
        <v>872</v>
      </c>
      <c r="Q169" s="172" t="s">
        <v>872</v>
      </c>
      <c r="R169" s="172" t="s">
        <v>872</v>
      </c>
      <c r="S169" s="172" t="s">
        <v>873</v>
      </c>
    </row>
    <row r="170" spans="1:19" ht="13.5" thickBot="1" x14ac:dyDescent="0.25">
      <c r="A170" s="2" t="s">
        <v>168</v>
      </c>
      <c r="B170" s="1" t="s">
        <v>167</v>
      </c>
      <c r="C170" s="2" t="s">
        <v>32</v>
      </c>
      <c r="D170" s="2" t="s">
        <v>1823</v>
      </c>
      <c r="E170" s="6">
        <v>60000</v>
      </c>
      <c r="F170" s="6">
        <v>75000</v>
      </c>
      <c r="G170" s="4">
        <v>40</v>
      </c>
      <c r="H170" s="172" t="s">
        <v>872</v>
      </c>
      <c r="I170" s="172" t="s">
        <v>872</v>
      </c>
      <c r="J170" s="172" t="s">
        <v>872</v>
      </c>
      <c r="K170" s="172" t="s">
        <v>872</v>
      </c>
      <c r="L170" s="172" t="s">
        <v>873</v>
      </c>
      <c r="M170" s="172" t="s">
        <v>872</v>
      </c>
      <c r="N170" s="172" t="s">
        <v>872</v>
      </c>
      <c r="O170" s="172" t="s">
        <v>872</v>
      </c>
      <c r="P170" s="172" t="s">
        <v>872</v>
      </c>
      <c r="Q170" s="172" t="s">
        <v>872</v>
      </c>
      <c r="R170" s="172" t="s">
        <v>872</v>
      </c>
      <c r="S170" s="172" t="s">
        <v>873</v>
      </c>
    </row>
    <row r="171" spans="1:19" ht="13.5" thickBot="1" x14ac:dyDescent="0.25">
      <c r="A171" s="2" t="s">
        <v>204</v>
      </c>
      <c r="B171" s="1" t="s">
        <v>203</v>
      </c>
      <c r="C171" s="2" t="s">
        <v>32</v>
      </c>
      <c r="D171" s="2" t="s">
        <v>973</v>
      </c>
      <c r="E171" s="6">
        <v>44720</v>
      </c>
      <c r="F171" s="6">
        <v>48000</v>
      </c>
      <c r="G171" s="4">
        <v>40</v>
      </c>
      <c r="H171" s="172" t="s">
        <v>872</v>
      </c>
      <c r="I171" s="172" t="s">
        <v>873</v>
      </c>
      <c r="J171" s="172" t="s">
        <v>873</v>
      </c>
      <c r="K171" s="172" t="s">
        <v>873</v>
      </c>
      <c r="L171" s="172" t="s">
        <v>872</v>
      </c>
      <c r="M171" s="172" t="s">
        <v>872</v>
      </c>
      <c r="N171" s="172" t="s">
        <v>872</v>
      </c>
      <c r="O171" s="172" t="s">
        <v>872</v>
      </c>
      <c r="P171" s="172" t="s">
        <v>872</v>
      </c>
      <c r="Q171" s="172" t="s">
        <v>873</v>
      </c>
      <c r="R171" s="172" t="s">
        <v>873</v>
      </c>
      <c r="S171" s="172" t="s">
        <v>873</v>
      </c>
    </row>
    <row r="172" spans="1:19" ht="13.5" thickBot="1" x14ac:dyDescent="0.25">
      <c r="A172" s="2" t="s">
        <v>229</v>
      </c>
      <c r="B172" s="1" t="s">
        <v>228</v>
      </c>
      <c r="C172" s="2" t="s">
        <v>32</v>
      </c>
      <c r="D172" s="2" t="s">
        <v>973</v>
      </c>
      <c r="E172" s="6">
        <v>29000</v>
      </c>
      <c r="F172" s="6">
        <v>32000</v>
      </c>
      <c r="G172" s="4">
        <v>36</v>
      </c>
      <c r="H172" s="172" t="s">
        <v>873</v>
      </c>
      <c r="I172" s="172" t="s">
        <v>873</v>
      </c>
      <c r="J172" s="172" t="s">
        <v>873</v>
      </c>
      <c r="K172" s="172" t="s">
        <v>873</v>
      </c>
      <c r="L172" s="172" t="s">
        <v>872</v>
      </c>
      <c r="M172" s="172" t="s">
        <v>873</v>
      </c>
      <c r="N172" s="172" t="s">
        <v>872</v>
      </c>
      <c r="O172" s="172" t="s">
        <v>873</v>
      </c>
      <c r="P172" s="172" t="s">
        <v>873</v>
      </c>
      <c r="Q172" s="172" t="s">
        <v>873</v>
      </c>
      <c r="R172" s="172" t="s">
        <v>873</v>
      </c>
      <c r="S172" s="172" t="s">
        <v>873</v>
      </c>
    </row>
    <row r="173" spans="1:19" ht="13.5" thickBot="1" x14ac:dyDescent="0.25">
      <c r="A173" s="2" t="s">
        <v>243</v>
      </c>
      <c r="B173" s="1" t="s">
        <v>242</v>
      </c>
      <c r="C173" s="2" t="s">
        <v>32</v>
      </c>
      <c r="D173" s="2" t="s">
        <v>1824</v>
      </c>
      <c r="E173" s="6">
        <v>20000</v>
      </c>
      <c r="F173" s="169" t="s">
        <v>16</v>
      </c>
      <c r="G173" s="4">
        <v>40</v>
      </c>
      <c r="H173" s="172" t="s">
        <v>873</v>
      </c>
      <c r="I173" s="172" t="s">
        <v>873</v>
      </c>
      <c r="J173" s="172" t="s">
        <v>873</v>
      </c>
      <c r="K173" s="172" t="s">
        <v>873</v>
      </c>
      <c r="L173" s="172" t="s">
        <v>873</v>
      </c>
      <c r="M173" s="172" t="s">
        <v>873</v>
      </c>
      <c r="N173" s="172" t="s">
        <v>872</v>
      </c>
      <c r="O173" s="172" t="s">
        <v>873</v>
      </c>
      <c r="P173" s="172" t="s">
        <v>873</v>
      </c>
      <c r="Q173" s="172" t="s">
        <v>873</v>
      </c>
      <c r="R173" s="172" t="s">
        <v>873</v>
      </c>
      <c r="S173" s="172" t="s">
        <v>873</v>
      </c>
    </row>
    <row r="174" spans="1:19" ht="13.5" thickBot="1" x14ac:dyDescent="0.25">
      <c r="A174" s="2" t="s">
        <v>257</v>
      </c>
      <c r="B174" s="1" t="s">
        <v>256</v>
      </c>
      <c r="C174" s="2" t="s">
        <v>32</v>
      </c>
      <c r="D174" s="2" t="s">
        <v>1823</v>
      </c>
      <c r="E174" s="6">
        <v>49810</v>
      </c>
      <c r="F174" s="6">
        <v>50500</v>
      </c>
      <c r="G174" s="4">
        <v>40</v>
      </c>
      <c r="H174" s="172" t="s">
        <v>872</v>
      </c>
      <c r="I174" s="172" t="s">
        <v>872</v>
      </c>
      <c r="J174" s="172" t="s">
        <v>872</v>
      </c>
      <c r="K174" s="172" t="s">
        <v>872</v>
      </c>
      <c r="L174" s="169" t="s">
        <v>16</v>
      </c>
      <c r="M174" s="172" t="s">
        <v>872</v>
      </c>
      <c r="N174" s="172" t="s">
        <v>872</v>
      </c>
      <c r="O174" s="172" t="s">
        <v>872</v>
      </c>
      <c r="P174" s="172" t="s">
        <v>872</v>
      </c>
      <c r="Q174" s="172" t="s">
        <v>873</v>
      </c>
      <c r="R174" s="172" t="s">
        <v>873</v>
      </c>
      <c r="S174" s="172" t="s">
        <v>873</v>
      </c>
    </row>
    <row r="175" spans="1:19" ht="13.5" thickBot="1" x14ac:dyDescent="0.25">
      <c r="A175" s="2" t="s">
        <v>261</v>
      </c>
      <c r="B175" s="1" t="s">
        <v>260</v>
      </c>
      <c r="C175" s="2" t="s">
        <v>32</v>
      </c>
      <c r="D175" s="2" t="s">
        <v>1823</v>
      </c>
      <c r="E175" s="6">
        <v>39936</v>
      </c>
      <c r="F175" s="6">
        <v>40735</v>
      </c>
      <c r="G175" s="4">
        <v>29</v>
      </c>
      <c r="H175" s="172" t="s">
        <v>872</v>
      </c>
      <c r="I175" s="172" t="s">
        <v>872</v>
      </c>
      <c r="J175" s="172" t="s">
        <v>873</v>
      </c>
      <c r="K175" s="172" t="s">
        <v>873</v>
      </c>
      <c r="L175" s="172" t="s">
        <v>873</v>
      </c>
      <c r="M175" s="172" t="s">
        <v>872</v>
      </c>
      <c r="N175" s="172" t="s">
        <v>872</v>
      </c>
      <c r="O175" s="172" t="s">
        <v>873</v>
      </c>
      <c r="P175" s="172" t="s">
        <v>872</v>
      </c>
      <c r="Q175" s="172" t="s">
        <v>873</v>
      </c>
      <c r="R175" s="172" t="s">
        <v>873</v>
      </c>
      <c r="S175" s="172" t="s">
        <v>873</v>
      </c>
    </row>
    <row r="176" spans="1:19" ht="13.5" thickBot="1" x14ac:dyDescent="0.25">
      <c r="A176" s="2" t="s">
        <v>273</v>
      </c>
      <c r="B176" s="1" t="s">
        <v>272</v>
      </c>
      <c r="C176" s="2" t="s">
        <v>32</v>
      </c>
      <c r="D176" s="2" t="s">
        <v>1825</v>
      </c>
      <c r="E176" s="6">
        <v>30000</v>
      </c>
      <c r="F176" s="6">
        <v>35000</v>
      </c>
      <c r="G176" s="4">
        <v>38</v>
      </c>
      <c r="H176" s="172" t="s">
        <v>873</v>
      </c>
      <c r="I176" s="172" t="s">
        <v>873</v>
      </c>
      <c r="J176" s="172" t="s">
        <v>873</v>
      </c>
      <c r="K176" s="172" t="s">
        <v>873</v>
      </c>
      <c r="L176" s="172" t="s">
        <v>872</v>
      </c>
      <c r="M176" s="172" t="s">
        <v>873</v>
      </c>
      <c r="N176" s="172" t="s">
        <v>872</v>
      </c>
      <c r="O176" s="172" t="s">
        <v>872</v>
      </c>
      <c r="P176" s="172" t="s">
        <v>873</v>
      </c>
      <c r="Q176" s="172" t="s">
        <v>873</v>
      </c>
      <c r="R176" s="172" t="s">
        <v>873</v>
      </c>
      <c r="S176" s="172" t="s">
        <v>873</v>
      </c>
    </row>
    <row r="177" spans="1:19" ht="13.5" thickBot="1" x14ac:dyDescent="0.25">
      <c r="A177" s="2" t="s">
        <v>297</v>
      </c>
      <c r="B177" s="1" t="s">
        <v>296</v>
      </c>
      <c r="C177" s="2" t="s">
        <v>32</v>
      </c>
      <c r="D177" s="2" t="s">
        <v>973</v>
      </c>
      <c r="E177" s="6">
        <v>50000</v>
      </c>
      <c r="F177" s="6">
        <v>60000</v>
      </c>
      <c r="G177" s="4">
        <v>40</v>
      </c>
      <c r="H177" s="172" t="s">
        <v>873</v>
      </c>
      <c r="I177" s="172" t="s">
        <v>873</v>
      </c>
      <c r="J177" s="172" t="s">
        <v>873</v>
      </c>
      <c r="K177" s="172" t="s">
        <v>873</v>
      </c>
      <c r="L177" s="172" t="s">
        <v>872</v>
      </c>
      <c r="M177" s="172" t="s">
        <v>872</v>
      </c>
      <c r="N177" s="172" t="s">
        <v>872</v>
      </c>
      <c r="O177" s="172" t="s">
        <v>873</v>
      </c>
      <c r="P177" s="172" t="s">
        <v>872</v>
      </c>
      <c r="Q177" s="172" t="s">
        <v>872</v>
      </c>
      <c r="R177" s="172" t="s">
        <v>873</v>
      </c>
      <c r="S177" s="172" t="s">
        <v>873</v>
      </c>
    </row>
    <row r="178" spans="1:19" ht="13.5" thickBot="1" x14ac:dyDescent="0.25">
      <c r="A178" s="2" t="s">
        <v>309</v>
      </c>
      <c r="B178" s="1" t="s">
        <v>308</v>
      </c>
      <c r="C178" s="2" t="s">
        <v>32</v>
      </c>
      <c r="D178" s="2" t="s">
        <v>1823</v>
      </c>
      <c r="E178" s="6">
        <v>26000</v>
      </c>
      <c r="F178" s="6">
        <v>35750</v>
      </c>
      <c r="G178" s="4">
        <v>40</v>
      </c>
      <c r="H178" s="172" t="s">
        <v>873</v>
      </c>
      <c r="I178" s="172" t="s">
        <v>873</v>
      </c>
      <c r="J178" s="172" t="s">
        <v>873</v>
      </c>
      <c r="K178" s="172" t="s">
        <v>873</v>
      </c>
      <c r="L178" s="172" t="s">
        <v>873</v>
      </c>
      <c r="M178" s="172" t="s">
        <v>873</v>
      </c>
      <c r="N178" s="172" t="s">
        <v>872</v>
      </c>
      <c r="O178" s="172" t="s">
        <v>873</v>
      </c>
      <c r="P178" s="172" t="s">
        <v>873</v>
      </c>
      <c r="Q178" s="172" t="s">
        <v>873</v>
      </c>
      <c r="R178" s="172" t="s">
        <v>873</v>
      </c>
      <c r="S178" s="172" t="s">
        <v>873</v>
      </c>
    </row>
    <row r="179" spans="1:19" ht="13.5" thickBot="1" x14ac:dyDescent="0.25">
      <c r="A179" s="2" t="s">
        <v>315</v>
      </c>
      <c r="B179" s="1" t="s">
        <v>314</v>
      </c>
      <c r="C179" s="2" t="s">
        <v>32</v>
      </c>
      <c r="D179" s="2" t="s">
        <v>1823</v>
      </c>
      <c r="E179" s="6">
        <v>50315</v>
      </c>
      <c r="F179" s="6">
        <v>67787</v>
      </c>
      <c r="G179" s="4">
        <v>40</v>
      </c>
      <c r="H179" s="172" t="s">
        <v>872</v>
      </c>
      <c r="I179" s="172" t="s">
        <v>872</v>
      </c>
      <c r="J179" s="172" t="s">
        <v>872</v>
      </c>
      <c r="K179" s="172" t="s">
        <v>872</v>
      </c>
      <c r="L179" s="172" t="s">
        <v>873</v>
      </c>
      <c r="M179" s="172" t="s">
        <v>872</v>
      </c>
      <c r="N179" s="172" t="s">
        <v>872</v>
      </c>
      <c r="O179" s="172" t="s">
        <v>872</v>
      </c>
      <c r="P179" s="172" t="s">
        <v>872</v>
      </c>
      <c r="Q179" s="172" t="s">
        <v>872</v>
      </c>
      <c r="R179" s="172" t="s">
        <v>872</v>
      </c>
      <c r="S179" s="172" t="s">
        <v>873</v>
      </c>
    </row>
    <row r="180" spans="1:19" ht="13.5" thickBot="1" x14ac:dyDescent="0.25">
      <c r="A180" s="2" t="s">
        <v>323</v>
      </c>
      <c r="B180" s="1" t="s">
        <v>322</v>
      </c>
      <c r="C180" s="2" t="s">
        <v>32</v>
      </c>
      <c r="D180" s="2" t="s">
        <v>973</v>
      </c>
      <c r="E180" s="6">
        <v>51000</v>
      </c>
      <c r="F180" s="6">
        <v>89500</v>
      </c>
      <c r="G180" s="4">
        <v>40</v>
      </c>
      <c r="H180" s="172" t="s">
        <v>872</v>
      </c>
      <c r="I180" s="172" t="s">
        <v>872</v>
      </c>
      <c r="J180" s="172" t="s">
        <v>872</v>
      </c>
      <c r="K180" s="172" t="s">
        <v>872</v>
      </c>
      <c r="L180" s="172" t="s">
        <v>872</v>
      </c>
      <c r="M180" s="172" t="s">
        <v>872</v>
      </c>
      <c r="N180" s="172" t="s">
        <v>873</v>
      </c>
      <c r="O180" s="172" t="s">
        <v>872</v>
      </c>
      <c r="P180" s="172" t="s">
        <v>873</v>
      </c>
      <c r="Q180" s="172" t="s">
        <v>873</v>
      </c>
      <c r="R180" s="172" t="s">
        <v>872</v>
      </c>
      <c r="S180" s="172" t="s">
        <v>873</v>
      </c>
    </row>
    <row r="181" spans="1:19" ht="13.5" thickBot="1" x14ac:dyDescent="0.25">
      <c r="A181" s="2" t="s">
        <v>337</v>
      </c>
      <c r="B181" s="1" t="s">
        <v>336</v>
      </c>
      <c r="C181" s="2" t="s">
        <v>32</v>
      </c>
      <c r="D181" s="2" t="s">
        <v>1824</v>
      </c>
      <c r="E181" s="6">
        <v>45000</v>
      </c>
      <c r="F181" s="6">
        <v>62200</v>
      </c>
      <c r="G181" s="4">
        <v>42</v>
      </c>
      <c r="H181" s="172" t="s">
        <v>873</v>
      </c>
      <c r="I181" s="172" t="s">
        <v>873</v>
      </c>
      <c r="J181" s="172" t="s">
        <v>873</v>
      </c>
      <c r="K181" s="172" t="s">
        <v>873</v>
      </c>
      <c r="L181" s="172" t="s">
        <v>873</v>
      </c>
      <c r="M181" s="172" t="s">
        <v>872</v>
      </c>
      <c r="N181" s="172" t="s">
        <v>872</v>
      </c>
      <c r="O181" s="172" t="s">
        <v>872</v>
      </c>
      <c r="P181" s="172" t="s">
        <v>872</v>
      </c>
      <c r="Q181" s="172" t="s">
        <v>873</v>
      </c>
      <c r="R181" s="172" t="s">
        <v>873</v>
      </c>
      <c r="S181" s="172" t="s">
        <v>873</v>
      </c>
    </row>
    <row r="182" spans="1:19" ht="13.5" thickBot="1" x14ac:dyDescent="0.25">
      <c r="A182" s="2" t="s">
        <v>357</v>
      </c>
      <c r="B182" s="1" t="s">
        <v>356</v>
      </c>
      <c r="C182" s="2" t="s">
        <v>32</v>
      </c>
      <c r="D182" s="2" t="s">
        <v>973</v>
      </c>
      <c r="E182" s="6">
        <v>20000</v>
      </c>
      <c r="F182" s="6">
        <v>36000</v>
      </c>
      <c r="G182" s="4">
        <v>30</v>
      </c>
      <c r="H182" s="172" t="s">
        <v>873</v>
      </c>
      <c r="I182" s="172" t="s">
        <v>873</v>
      </c>
      <c r="J182" s="172" t="s">
        <v>873</v>
      </c>
      <c r="K182" s="172" t="s">
        <v>873</v>
      </c>
      <c r="L182" s="172" t="s">
        <v>873</v>
      </c>
      <c r="M182" s="172" t="s">
        <v>872</v>
      </c>
      <c r="N182" s="172" t="s">
        <v>872</v>
      </c>
      <c r="O182" s="172" t="s">
        <v>872</v>
      </c>
      <c r="P182" s="172" t="s">
        <v>872</v>
      </c>
      <c r="Q182" s="172" t="s">
        <v>872</v>
      </c>
      <c r="R182" s="172" t="s">
        <v>873</v>
      </c>
      <c r="S182" s="172" t="s">
        <v>872</v>
      </c>
    </row>
    <row r="183" spans="1:19" ht="13.5" thickBot="1" x14ac:dyDescent="0.25">
      <c r="A183" s="2" t="s">
        <v>365</v>
      </c>
      <c r="B183" s="1" t="s">
        <v>364</v>
      </c>
      <c r="C183" s="2" t="s">
        <v>32</v>
      </c>
      <c r="D183" s="2" t="s">
        <v>1824</v>
      </c>
      <c r="E183" s="6">
        <v>38000</v>
      </c>
      <c r="F183" s="6">
        <v>45000</v>
      </c>
      <c r="G183" s="4">
        <v>40</v>
      </c>
      <c r="H183" s="172" t="s">
        <v>872</v>
      </c>
      <c r="I183" s="172" t="s">
        <v>872</v>
      </c>
      <c r="J183" s="172" t="s">
        <v>873</v>
      </c>
      <c r="K183" s="172" t="s">
        <v>872</v>
      </c>
      <c r="L183" s="172" t="s">
        <v>872</v>
      </c>
      <c r="M183" s="172" t="s">
        <v>872</v>
      </c>
      <c r="N183" s="172" t="s">
        <v>872</v>
      </c>
      <c r="O183" s="172" t="s">
        <v>872</v>
      </c>
      <c r="P183" s="172" t="s">
        <v>872</v>
      </c>
      <c r="Q183" s="172" t="s">
        <v>873</v>
      </c>
      <c r="R183" s="172" t="s">
        <v>872</v>
      </c>
      <c r="S183" s="172" t="s">
        <v>873</v>
      </c>
    </row>
    <row r="184" spans="1:19" ht="13.5" thickBot="1" x14ac:dyDescent="0.25">
      <c r="A184" s="2" t="s">
        <v>373</v>
      </c>
      <c r="B184" s="1" t="s">
        <v>372</v>
      </c>
      <c r="C184" s="2" t="s">
        <v>32</v>
      </c>
      <c r="D184" s="2" t="s">
        <v>1823</v>
      </c>
      <c r="E184" s="6">
        <v>53000</v>
      </c>
      <c r="F184" s="6">
        <v>65000</v>
      </c>
      <c r="G184" s="4">
        <v>40</v>
      </c>
      <c r="H184" s="172" t="s">
        <v>872</v>
      </c>
      <c r="I184" s="172" t="s">
        <v>872</v>
      </c>
      <c r="J184" s="172" t="s">
        <v>872</v>
      </c>
      <c r="K184" s="172" t="s">
        <v>872</v>
      </c>
      <c r="L184" s="172" t="s">
        <v>872</v>
      </c>
      <c r="M184" s="172" t="s">
        <v>872</v>
      </c>
      <c r="N184" s="172" t="s">
        <v>872</v>
      </c>
      <c r="O184" s="172" t="s">
        <v>872</v>
      </c>
      <c r="P184" s="172" t="s">
        <v>872</v>
      </c>
      <c r="Q184" s="172" t="s">
        <v>872</v>
      </c>
      <c r="R184" s="172" t="s">
        <v>872</v>
      </c>
      <c r="S184" s="172" t="s">
        <v>873</v>
      </c>
    </row>
    <row r="185" spans="1:19" ht="13.5" thickBot="1" x14ac:dyDescent="0.25">
      <c r="A185" s="2" t="s">
        <v>393</v>
      </c>
      <c r="B185" s="1" t="s">
        <v>392</v>
      </c>
      <c r="C185" s="2" t="s">
        <v>32</v>
      </c>
      <c r="D185" s="2" t="s">
        <v>1823</v>
      </c>
      <c r="E185" s="6">
        <v>58708</v>
      </c>
      <c r="F185" s="6">
        <v>76318</v>
      </c>
      <c r="G185" s="4">
        <v>40</v>
      </c>
      <c r="H185" s="172" t="s">
        <v>872</v>
      </c>
      <c r="I185" s="172" t="s">
        <v>872</v>
      </c>
      <c r="J185" s="172" t="s">
        <v>872</v>
      </c>
      <c r="K185" s="172" t="s">
        <v>872</v>
      </c>
      <c r="L185" s="172" t="s">
        <v>872</v>
      </c>
      <c r="M185" s="172" t="s">
        <v>872</v>
      </c>
      <c r="N185" s="172" t="s">
        <v>872</v>
      </c>
      <c r="O185" s="172" t="s">
        <v>872</v>
      </c>
      <c r="P185" s="172" t="s">
        <v>872</v>
      </c>
      <c r="Q185" s="172" t="s">
        <v>873</v>
      </c>
      <c r="R185" s="172" t="s">
        <v>872</v>
      </c>
      <c r="S185" s="172" t="s">
        <v>873</v>
      </c>
    </row>
    <row r="186" spans="1:19" ht="13.5" thickBot="1" x14ac:dyDescent="0.25">
      <c r="A186" s="2" t="s">
        <v>425</v>
      </c>
      <c r="B186" s="1" t="s">
        <v>424</v>
      </c>
      <c r="C186" s="2" t="s">
        <v>32</v>
      </c>
      <c r="D186" s="2" t="s">
        <v>1825</v>
      </c>
      <c r="E186" s="6">
        <v>35838</v>
      </c>
      <c r="F186" s="6">
        <v>35838</v>
      </c>
      <c r="G186" s="4">
        <v>40</v>
      </c>
      <c r="H186" s="172" t="s">
        <v>872</v>
      </c>
      <c r="I186" s="172" t="s">
        <v>873</v>
      </c>
      <c r="J186" s="172" t="s">
        <v>873</v>
      </c>
      <c r="K186" s="172" t="s">
        <v>872</v>
      </c>
      <c r="L186" s="172" t="s">
        <v>872</v>
      </c>
      <c r="M186" s="172" t="s">
        <v>872</v>
      </c>
      <c r="N186" s="172" t="s">
        <v>872</v>
      </c>
      <c r="O186" s="172" t="s">
        <v>872</v>
      </c>
      <c r="P186" s="172" t="s">
        <v>872</v>
      </c>
      <c r="Q186" s="172" t="s">
        <v>872</v>
      </c>
      <c r="R186" s="172" t="s">
        <v>872</v>
      </c>
      <c r="S186" s="172" t="s">
        <v>872</v>
      </c>
    </row>
    <row r="187" spans="1:19" ht="13.5" thickBot="1" x14ac:dyDescent="0.25">
      <c r="A187" s="2" t="s">
        <v>423</v>
      </c>
      <c r="B187" s="1" t="s">
        <v>422</v>
      </c>
      <c r="C187" s="2" t="s">
        <v>32</v>
      </c>
      <c r="D187" s="2" t="s">
        <v>973</v>
      </c>
      <c r="E187" s="6">
        <v>13812</v>
      </c>
      <c r="F187" s="6">
        <v>14779</v>
      </c>
      <c r="G187" s="4">
        <v>18</v>
      </c>
      <c r="H187" s="172" t="s">
        <v>873</v>
      </c>
      <c r="I187" s="172" t="s">
        <v>873</v>
      </c>
      <c r="J187" s="172" t="s">
        <v>873</v>
      </c>
      <c r="K187" s="172" t="s">
        <v>873</v>
      </c>
      <c r="L187" s="172" t="s">
        <v>872</v>
      </c>
      <c r="M187" s="172" t="s">
        <v>872</v>
      </c>
      <c r="N187" s="172" t="s">
        <v>873</v>
      </c>
      <c r="O187" s="172" t="s">
        <v>872</v>
      </c>
      <c r="P187" s="172" t="s">
        <v>872</v>
      </c>
      <c r="Q187" s="172" t="s">
        <v>873</v>
      </c>
      <c r="R187" s="172" t="s">
        <v>873</v>
      </c>
      <c r="S187" s="172" t="s">
        <v>873</v>
      </c>
    </row>
    <row r="188" spans="1:19" ht="13.5" thickBot="1" x14ac:dyDescent="0.25">
      <c r="A188" s="2" t="s">
        <v>447</v>
      </c>
      <c r="B188" s="1" t="s">
        <v>446</v>
      </c>
      <c r="C188" s="2" t="s">
        <v>32</v>
      </c>
      <c r="D188" s="2" t="s">
        <v>1823</v>
      </c>
      <c r="E188" s="6">
        <v>38500</v>
      </c>
      <c r="F188" s="6">
        <v>51000</v>
      </c>
      <c r="G188" s="4">
        <v>40</v>
      </c>
      <c r="H188" s="172" t="s">
        <v>872</v>
      </c>
      <c r="I188" s="172" t="s">
        <v>873</v>
      </c>
      <c r="J188" s="172" t="s">
        <v>873</v>
      </c>
      <c r="K188" s="172" t="s">
        <v>873</v>
      </c>
      <c r="L188" s="172" t="s">
        <v>873</v>
      </c>
      <c r="M188" s="172" t="s">
        <v>872</v>
      </c>
      <c r="N188" s="172" t="s">
        <v>872</v>
      </c>
      <c r="O188" s="172" t="s">
        <v>873</v>
      </c>
      <c r="P188" s="172" t="s">
        <v>872</v>
      </c>
      <c r="Q188" s="172" t="s">
        <v>873</v>
      </c>
      <c r="R188" s="172" t="s">
        <v>873</v>
      </c>
      <c r="S188" s="172" t="s">
        <v>873</v>
      </c>
    </row>
    <row r="189" spans="1:19" ht="13.5" thickBot="1" x14ac:dyDescent="0.25">
      <c r="A189" s="2" t="s">
        <v>461</v>
      </c>
      <c r="B189" s="1" t="s">
        <v>460</v>
      </c>
      <c r="C189" s="2" t="s">
        <v>32</v>
      </c>
      <c r="D189" s="2" t="s">
        <v>1824</v>
      </c>
      <c r="E189" s="6">
        <v>37530</v>
      </c>
      <c r="F189" s="6">
        <v>54777</v>
      </c>
      <c r="G189" s="4">
        <v>40</v>
      </c>
      <c r="H189" s="172" t="s">
        <v>872</v>
      </c>
      <c r="I189" s="172" t="s">
        <v>872</v>
      </c>
      <c r="J189" s="172" t="s">
        <v>872</v>
      </c>
      <c r="K189" s="172" t="s">
        <v>872</v>
      </c>
      <c r="L189" s="172" t="s">
        <v>872</v>
      </c>
      <c r="M189" s="172" t="s">
        <v>872</v>
      </c>
      <c r="N189" s="172" t="s">
        <v>872</v>
      </c>
      <c r="O189" s="172" t="s">
        <v>872</v>
      </c>
      <c r="P189" s="172" t="s">
        <v>872</v>
      </c>
      <c r="Q189" s="172" t="s">
        <v>872</v>
      </c>
      <c r="R189" s="172" t="s">
        <v>872</v>
      </c>
      <c r="S189" s="172" t="s">
        <v>873</v>
      </c>
    </row>
    <row r="190" spans="1:19" ht="13.5" thickBot="1" x14ac:dyDescent="0.25">
      <c r="A190" s="2" t="s">
        <v>484</v>
      </c>
      <c r="B190" s="1" t="s">
        <v>483</v>
      </c>
      <c r="C190" s="2" t="s">
        <v>32</v>
      </c>
      <c r="D190" s="2" t="s">
        <v>1825</v>
      </c>
      <c r="E190" s="6">
        <v>33000</v>
      </c>
      <c r="F190" s="6">
        <v>50000</v>
      </c>
      <c r="G190" s="4">
        <v>38</v>
      </c>
      <c r="H190" s="172" t="s">
        <v>872</v>
      </c>
      <c r="I190" s="172" t="s">
        <v>872</v>
      </c>
      <c r="J190" s="172" t="s">
        <v>872</v>
      </c>
      <c r="K190" s="172" t="s">
        <v>873</v>
      </c>
      <c r="L190" s="172" t="s">
        <v>873</v>
      </c>
      <c r="M190" s="172" t="s">
        <v>872</v>
      </c>
      <c r="N190" s="172" t="s">
        <v>872</v>
      </c>
      <c r="O190" s="172" t="s">
        <v>873</v>
      </c>
      <c r="P190" s="172" t="s">
        <v>873</v>
      </c>
      <c r="Q190" s="172" t="s">
        <v>873</v>
      </c>
      <c r="R190" s="172" t="s">
        <v>873</v>
      </c>
      <c r="S190" s="172" t="s">
        <v>873</v>
      </c>
    </row>
    <row r="191" spans="1:19" ht="13.5" thickBot="1" x14ac:dyDescent="0.25">
      <c r="A191" s="2" t="s">
        <v>490</v>
      </c>
      <c r="B191" s="1" t="s">
        <v>489</v>
      </c>
      <c r="C191" s="2" t="s">
        <v>32</v>
      </c>
      <c r="D191" s="2" t="s">
        <v>973</v>
      </c>
      <c r="E191" s="6">
        <v>25643</v>
      </c>
      <c r="F191" s="6">
        <v>55000</v>
      </c>
      <c r="G191" s="4">
        <v>40</v>
      </c>
      <c r="H191" s="172" t="s">
        <v>872</v>
      </c>
      <c r="I191" s="172" t="s">
        <v>872</v>
      </c>
      <c r="J191" s="172" t="s">
        <v>872</v>
      </c>
      <c r="K191" s="172" t="s">
        <v>872</v>
      </c>
      <c r="L191" s="172" t="s">
        <v>872</v>
      </c>
      <c r="M191" s="172" t="s">
        <v>872</v>
      </c>
      <c r="N191" s="172" t="s">
        <v>872</v>
      </c>
      <c r="O191" s="172" t="s">
        <v>872</v>
      </c>
      <c r="P191" s="172" t="s">
        <v>872</v>
      </c>
      <c r="Q191" s="172" t="s">
        <v>872</v>
      </c>
      <c r="R191" s="172" t="s">
        <v>872</v>
      </c>
      <c r="S191" s="172" t="s">
        <v>872</v>
      </c>
    </row>
    <row r="192" spans="1:19" ht="13.5" thickBot="1" x14ac:dyDescent="0.25">
      <c r="A192" s="2" t="s">
        <v>510</v>
      </c>
      <c r="B192" s="1" t="s">
        <v>509</v>
      </c>
      <c r="C192" s="2" t="s">
        <v>32</v>
      </c>
      <c r="D192" s="2" t="s">
        <v>1823</v>
      </c>
      <c r="E192" s="6">
        <v>36750</v>
      </c>
      <c r="F192" s="6">
        <v>36750</v>
      </c>
      <c r="G192" s="4">
        <v>35</v>
      </c>
      <c r="H192" s="172" t="s">
        <v>873</v>
      </c>
      <c r="I192" s="172" t="s">
        <v>873</v>
      </c>
      <c r="J192" s="172" t="s">
        <v>873</v>
      </c>
      <c r="K192" s="172" t="s">
        <v>873</v>
      </c>
      <c r="L192" s="172" t="s">
        <v>873</v>
      </c>
      <c r="M192" s="172" t="s">
        <v>873</v>
      </c>
      <c r="N192" s="172" t="s">
        <v>873</v>
      </c>
      <c r="O192" s="172" t="s">
        <v>873</v>
      </c>
      <c r="P192" s="172" t="s">
        <v>873</v>
      </c>
      <c r="Q192" s="172" t="s">
        <v>872</v>
      </c>
      <c r="R192" s="172" t="s">
        <v>873</v>
      </c>
      <c r="S192" s="172" t="s">
        <v>873</v>
      </c>
    </row>
    <row r="193" spans="1:19" ht="13.5" thickBot="1" x14ac:dyDescent="0.25">
      <c r="A193" s="2" t="s">
        <v>522</v>
      </c>
      <c r="B193" s="1" t="s">
        <v>521</v>
      </c>
      <c r="C193" s="2" t="s">
        <v>32</v>
      </c>
      <c r="D193" s="2" t="s">
        <v>973</v>
      </c>
      <c r="E193" s="6">
        <v>42526</v>
      </c>
      <c r="F193" s="6">
        <v>56000</v>
      </c>
      <c r="G193" s="4">
        <v>40</v>
      </c>
      <c r="H193" s="172" t="s">
        <v>872</v>
      </c>
      <c r="I193" s="172" t="s">
        <v>873</v>
      </c>
      <c r="J193" s="172" t="s">
        <v>873</v>
      </c>
      <c r="K193" s="172" t="s">
        <v>873</v>
      </c>
      <c r="L193" s="172" t="s">
        <v>873</v>
      </c>
      <c r="M193" s="172" t="s">
        <v>872</v>
      </c>
      <c r="N193" s="172" t="s">
        <v>872</v>
      </c>
      <c r="O193" s="172" t="s">
        <v>873</v>
      </c>
      <c r="P193" s="172" t="s">
        <v>872</v>
      </c>
      <c r="Q193" s="172" t="s">
        <v>873</v>
      </c>
      <c r="R193" s="172" t="s">
        <v>873</v>
      </c>
      <c r="S193" s="172" t="s">
        <v>873</v>
      </c>
    </row>
    <row r="194" spans="1:19" ht="13.5" thickBot="1" x14ac:dyDescent="0.25">
      <c r="A194" s="2" t="s">
        <v>528</v>
      </c>
      <c r="B194" s="1" t="s">
        <v>527</v>
      </c>
      <c r="C194" s="2" t="s">
        <v>32</v>
      </c>
      <c r="D194" s="2" t="s">
        <v>1823</v>
      </c>
      <c r="E194" s="6">
        <v>37818</v>
      </c>
      <c r="F194" s="6">
        <v>50743</v>
      </c>
      <c r="G194" s="4">
        <v>40</v>
      </c>
      <c r="H194" s="172" t="s">
        <v>873</v>
      </c>
      <c r="I194" s="172" t="s">
        <v>873</v>
      </c>
      <c r="J194" s="172" t="s">
        <v>873</v>
      </c>
      <c r="K194" s="172" t="s">
        <v>872</v>
      </c>
      <c r="L194" s="172" t="s">
        <v>872</v>
      </c>
      <c r="M194" s="172" t="s">
        <v>872</v>
      </c>
      <c r="N194" s="172" t="s">
        <v>872</v>
      </c>
      <c r="O194" s="172" t="s">
        <v>872</v>
      </c>
      <c r="P194" s="172" t="s">
        <v>872</v>
      </c>
      <c r="Q194" s="172" t="s">
        <v>873</v>
      </c>
      <c r="R194" s="172" t="s">
        <v>872</v>
      </c>
      <c r="S194" s="172" t="s">
        <v>872</v>
      </c>
    </row>
    <row r="195" spans="1:19" ht="13.5" thickBot="1" x14ac:dyDescent="0.25">
      <c r="A195" s="2" t="s">
        <v>538</v>
      </c>
      <c r="B195" s="1" t="s">
        <v>537</v>
      </c>
      <c r="C195" s="2" t="s">
        <v>32</v>
      </c>
      <c r="D195" s="2" t="s">
        <v>973</v>
      </c>
      <c r="E195" s="6">
        <v>40572</v>
      </c>
      <c r="F195" s="6">
        <v>40572</v>
      </c>
      <c r="G195" s="4">
        <v>40</v>
      </c>
      <c r="H195" s="172" t="s">
        <v>872</v>
      </c>
      <c r="I195" s="172" t="s">
        <v>872</v>
      </c>
      <c r="J195" s="172" t="s">
        <v>872</v>
      </c>
      <c r="K195" s="172" t="s">
        <v>872</v>
      </c>
      <c r="L195" s="172" t="s">
        <v>872</v>
      </c>
      <c r="M195" s="172" t="s">
        <v>872</v>
      </c>
      <c r="N195" s="172" t="s">
        <v>872</v>
      </c>
      <c r="O195" s="172" t="s">
        <v>872</v>
      </c>
      <c r="P195" s="172" t="s">
        <v>872</v>
      </c>
      <c r="Q195" s="172" t="s">
        <v>872</v>
      </c>
      <c r="R195" s="172" t="s">
        <v>872</v>
      </c>
      <c r="S195" s="172" t="s">
        <v>873</v>
      </c>
    </row>
    <row r="196" spans="1:19" ht="13.5" thickBot="1" x14ac:dyDescent="0.25">
      <c r="A196" s="2" t="s">
        <v>542</v>
      </c>
      <c r="B196" s="1" t="s">
        <v>541</v>
      </c>
      <c r="C196" s="2" t="s">
        <v>32</v>
      </c>
      <c r="D196" s="2" t="s">
        <v>1823</v>
      </c>
      <c r="E196" s="6">
        <v>27949</v>
      </c>
      <c r="F196" s="6">
        <v>31054</v>
      </c>
      <c r="G196" s="4">
        <v>37</v>
      </c>
      <c r="H196" s="172" t="s">
        <v>872</v>
      </c>
      <c r="I196" s="172" t="s">
        <v>872</v>
      </c>
      <c r="J196" s="172" t="s">
        <v>873</v>
      </c>
      <c r="K196" s="172" t="s">
        <v>873</v>
      </c>
      <c r="L196" s="172" t="s">
        <v>873</v>
      </c>
      <c r="M196" s="172" t="s">
        <v>872</v>
      </c>
      <c r="N196" s="172" t="s">
        <v>872</v>
      </c>
      <c r="O196" s="172" t="s">
        <v>873</v>
      </c>
      <c r="P196" s="172" t="s">
        <v>872</v>
      </c>
      <c r="Q196" s="172" t="s">
        <v>873</v>
      </c>
      <c r="R196" s="172" t="s">
        <v>873</v>
      </c>
      <c r="S196" s="172" t="s">
        <v>873</v>
      </c>
    </row>
    <row r="197" spans="1:19" ht="13.5" thickBot="1" x14ac:dyDescent="0.25">
      <c r="A197" s="2" t="s">
        <v>554</v>
      </c>
      <c r="B197" s="1" t="s">
        <v>553</v>
      </c>
      <c r="C197" s="2" t="s">
        <v>32</v>
      </c>
      <c r="D197" s="2" t="s">
        <v>973</v>
      </c>
      <c r="E197" s="6">
        <v>38500</v>
      </c>
      <c r="F197" s="6">
        <v>57000</v>
      </c>
      <c r="G197" s="4">
        <v>40</v>
      </c>
      <c r="H197" s="172" t="s">
        <v>873</v>
      </c>
      <c r="I197" s="172" t="s">
        <v>872</v>
      </c>
      <c r="J197" s="172" t="s">
        <v>872</v>
      </c>
      <c r="K197" s="172" t="s">
        <v>872</v>
      </c>
      <c r="L197" s="172" t="s">
        <v>872</v>
      </c>
      <c r="M197" s="172" t="s">
        <v>872</v>
      </c>
      <c r="N197" s="172" t="s">
        <v>872</v>
      </c>
      <c r="O197" s="172" t="s">
        <v>873</v>
      </c>
      <c r="P197" s="172" t="s">
        <v>872</v>
      </c>
      <c r="Q197" s="172" t="s">
        <v>873</v>
      </c>
      <c r="R197" s="172" t="s">
        <v>872</v>
      </c>
      <c r="S197" s="172" t="s">
        <v>873</v>
      </c>
    </row>
    <row r="198" spans="1:19" ht="13.5" thickBot="1" x14ac:dyDescent="0.25">
      <c r="A198" s="2" t="s">
        <v>572</v>
      </c>
      <c r="B198" s="1" t="s">
        <v>571</v>
      </c>
      <c r="C198" s="2" t="s">
        <v>32</v>
      </c>
      <c r="D198" s="2" t="s">
        <v>1823</v>
      </c>
      <c r="E198" s="6">
        <v>4000</v>
      </c>
      <c r="F198" s="6">
        <v>4000</v>
      </c>
      <c r="G198" s="4">
        <v>40</v>
      </c>
      <c r="H198" s="172" t="s">
        <v>872</v>
      </c>
      <c r="I198" s="172" t="s">
        <v>872</v>
      </c>
      <c r="J198" s="172" t="s">
        <v>872</v>
      </c>
      <c r="K198" s="172" t="s">
        <v>872</v>
      </c>
      <c r="L198" s="172" t="s">
        <v>872</v>
      </c>
      <c r="M198" s="172" t="s">
        <v>873</v>
      </c>
      <c r="N198" s="172" t="s">
        <v>872</v>
      </c>
      <c r="O198" s="172" t="s">
        <v>872</v>
      </c>
      <c r="P198" s="172" t="s">
        <v>872</v>
      </c>
      <c r="Q198" s="172" t="s">
        <v>873</v>
      </c>
      <c r="R198" s="172" t="s">
        <v>872</v>
      </c>
      <c r="S198" s="172" t="s">
        <v>873</v>
      </c>
    </row>
    <row r="199" spans="1:19" ht="13.5" thickBot="1" x14ac:dyDescent="0.25">
      <c r="A199" s="2" t="s">
        <v>582</v>
      </c>
      <c r="B199" s="1" t="s">
        <v>581</v>
      </c>
      <c r="C199" s="2" t="s">
        <v>32</v>
      </c>
      <c r="D199" s="2" t="s">
        <v>1823</v>
      </c>
      <c r="E199" s="6">
        <v>59987</v>
      </c>
      <c r="F199" s="6">
        <v>59987</v>
      </c>
      <c r="G199" s="77">
        <v>40</v>
      </c>
      <c r="H199" s="172" t="s">
        <v>872</v>
      </c>
      <c r="I199" s="172" t="s">
        <v>872</v>
      </c>
      <c r="J199" s="172" t="s">
        <v>872</v>
      </c>
      <c r="K199" s="172" t="s">
        <v>873</v>
      </c>
      <c r="L199" s="172" t="s">
        <v>873</v>
      </c>
      <c r="M199" s="172" t="s">
        <v>872</v>
      </c>
      <c r="N199" s="172" t="s">
        <v>872</v>
      </c>
      <c r="O199" s="172" t="s">
        <v>873</v>
      </c>
      <c r="P199" s="172" t="s">
        <v>872</v>
      </c>
      <c r="Q199" s="172" t="s">
        <v>873</v>
      </c>
      <c r="R199" s="172" t="s">
        <v>873</v>
      </c>
      <c r="S199" s="172" t="s">
        <v>873</v>
      </c>
    </row>
    <row r="200" spans="1:19" ht="13.5" thickBot="1" x14ac:dyDescent="0.25">
      <c r="A200" s="2" t="s">
        <v>586</v>
      </c>
      <c r="B200" s="1" t="s">
        <v>585</v>
      </c>
      <c r="C200" s="2" t="s">
        <v>32</v>
      </c>
      <c r="D200" s="2" t="s">
        <v>973</v>
      </c>
      <c r="E200" s="6">
        <v>32000</v>
      </c>
      <c r="F200" s="6">
        <v>35000</v>
      </c>
      <c r="G200" s="4">
        <v>30</v>
      </c>
      <c r="H200" s="172" t="s">
        <v>873</v>
      </c>
      <c r="I200" s="172" t="s">
        <v>873</v>
      </c>
      <c r="J200" s="172" t="s">
        <v>873</v>
      </c>
      <c r="K200" s="172" t="s">
        <v>873</v>
      </c>
      <c r="L200" s="172" t="s">
        <v>872</v>
      </c>
      <c r="M200" s="172" t="s">
        <v>873</v>
      </c>
      <c r="N200" s="172" t="s">
        <v>872</v>
      </c>
      <c r="O200" s="172" t="s">
        <v>873</v>
      </c>
      <c r="P200" s="172" t="s">
        <v>873</v>
      </c>
      <c r="Q200" s="172" t="s">
        <v>873</v>
      </c>
      <c r="R200" s="172" t="s">
        <v>873</v>
      </c>
      <c r="S200" s="172" t="s">
        <v>873</v>
      </c>
    </row>
    <row r="201" spans="1:19" ht="13.5" thickBot="1" x14ac:dyDescent="0.25">
      <c r="A201" s="2" t="s">
        <v>596</v>
      </c>
      <c r="B201" s="1" t="s">
        <v>595</v>
      </c>
      <c r="C201" s="2" t="s">
        <v>32</v>
      </c>
      <c r="D201" s="2" t="s">
        <v>1823</v>
      </c>
      <c r="E201" s="6">
        <v>24500</v>
      </c>
      <c r="F201" s="6">
        <v>55000</v>
      </c>
      <c r="G201" s="4">
        <v>35</v>
      </c>
      <c r="H201" s="172" t="s">
        <v>873</v>
      </c>
      <c r="I201" s="172" t="s">
        <v>873</v>
      </c>
      <c r="J201" s="172" t="s">
        <v>873</v>
      </c>
      <c r="K201" s="172" t="s">
        <v>872</v>
      </c>
      <c r="L201" s="172" t="s">
        <v>872</v>
      </c>
      <c r="M201" s="172" t="s">
        <v>872</v>
      </c>
      <c r="N201" s="172" t="s">
        <v>872</v>
      </c>
      <c r="O201" s="172" t="s">
        <v>872</v>
      </c>
      <c r="P201" s="172" t="s">
        <v>872</v>
      </c>
      <c r="Q201" s="172" t="s">
        <v>872</v>
      </c>
      <c r="R201" s="172" t="s">
        <v>872</v>
      </c>
      <c r="S201" s="172" t="s">
        <v>873</v>
      </c>
    </row>
    <row r="202" spans="1:19" ht="13.5" thickBot="1" x14ac:dyDescent="0.25">
      <c r="A202" s="2" t="s">
        <v>604</v>
      </c>
      <c r="B202" s="1" t="s">
        <v>603</v>
      </c>
      <c r="C202" s="2" t="s">
        <v>32</v>
      </c>
      <c r="D202" s="2" t="s">
        <v>1823</v>
      </c>
      <c r="E202" s="6">
        <v>89303</v>
      </c>
      <c r="F202" s="6">
        <v>89303</v>
      </c>
      <c r="G202" s="4">
        <v>38</v>
      </c>
      <c r="H202" s="172" t="s">
        <v>872</v>
      </c>
      <c r="I202" s="172" t="s">
        <v>872</v>
      </c>
      <c r="J202" s="172" t="s">
        <v>872</v>
      </c>
      <c r="K202" s="172" t="s">
        <v>873</v>
      </c>
      <c r="L202" s="172" t="s">
        <v>873</v>
      </c>
      <c r="M202" s="172" t="s">
        <v>872</v>
      </c>
      <c r="N202" s="172" t="s">
        <v>872</v>
      </c>
      <c r="O202" s="172" t="s">
        <v>872</v>
      </c>
      <c r="P202" s="172" t="s">
        <v>872</v>
      </c>
      <c r="Q202" s="172" t="s">
        <v>873</v>
      </c>
      <c r="R202" s="172" t="s">
        <v>873</v>
      </c>
      <c r="S202" s="172" t="s">
        <v>873</v>
      </c>
    </row>
    <row r="203" spans="1:19" ht="13.5" thickBot="1" x14ac:dyDescent="0.25">
      <c r="A203" s="2" t="s">
        <v>630</v>
      </c>
      <c r="B203" s="1" t="s">
        <v>629</v>
      </c>
      <c r="C203" s="2" t="s">
        <v>32</v>
      </c>
      <c r="D203" s="2" t="s">
        <v>1823</v>
      </c>
      <c r="E203" s="6">
        <v>35000</v>
      </c>
      <c r="F203" s="6">
        <v>55000</v>
      </c>
      <c r="G203" s="4">
        <v>45</v>
      </c>
      <c r="H203" s="172" t="s">
        <v>872</v>
      </c>
      <c r="I203" s="172" t="s">
        <v>873</v>
      </c>
      <c r="J203" s="172" t="s">
        <v>873</v>
      </c>
      <c r="K203" s="172" t="s">
        <v>873</v>
      </c>
      <c r="L203" s="172" t="s">
        <v>872</v>
      </c>
      <c r="M203" s="172" t="s">
        <v>872</v>
      </c>
      <c r="N203" s="172" t="s">
        <v>872</v>
      </c>
      <c r="O203" s="172" t="s">
        <v>872</v>
      </c>
      <c r="P203" s="172" t="s">
        <v>872</v>
      </c>
      <c r="Q203" s="172" t="s">
        <v>873</v>
      </c>
      <c r="R203" s="172" t="s">
        <v>873</v>
      </c>
      <c r="S203" s="172" t="s">
        <v>873</v>
      </c>
    </row>
    <row r="204" spans="1:19" ht="13.5" thickBot="1" x14ac:dyDescent="0.25">
      <c r="A204" s="2" t="s">
        <v>638</v>
      </c>
      <c r="B204" s="1" t="s">
        <v>637</v>
      </c>
      <c r="C204" s="2" t="s">
        <v>32</v>
      </c>
      <c r="D204" s="2" t="s">
        <v>973</v>
      </c>
      <c r="E204" s="169" t="s">
        <v>16</v>
      </c>
      <c r="F204" s="169" t="s">
        <v>16</v>
      </c>
      <c r="G204" s="169" t="s">
        <v>16</v>
      </c>
      <c r="H204" s="172" t="s">
        <v>873</v>
      </c>
      <c r="I204" s="172" t="s">
        <v>873</v>
      </c>
      <c r="J204" s="172" t="s">
        <v>873</v>
      </c>
      <c r="K204" s="172" t="s">
        <v>873</v>
      </c>
      <c r="L204" s="172" t="s">
        <v>873</v>
      </c>
      <c r="M204" s="172" t="s">
        <v>873</v>
      </c>
      <c r="N204" s="172" t="s">
        <v>872</v>
      </c>
      <c r="O204" s="172" t="s">
        <v>873</v>
      </c>
      <c r="P204" s="172" t="s">
        <v>872</v>
      </c>
      <c r="Q204" s="172" t="s">
        <v>873</v>
      </c>
      <c r="R204" s="172" t="s">
        <v>873</v>
      </c>
      <c r="S204" s="172" t="s">
        <v>873</v>
      </c>
    </row>
    <row r="205" spans="1:19" ht="13.5" thickBot="1" x14ac:dyDescent="0.25">
      <c r="A205" s="2" t="s">
        <v>646</v>
      </c>
      <c r="B205" s="1" t="s">
        <v>645</v>
      </c>
      <c r="C205" s="2" t="s">
        <v>32</v>
      </c>
      <c r="D205" s="2" t="s">
        <v>973</v>
      </c>
      <c r="E205" s="6">
        <v>36000</v>
      </c>
      <c r="F205" s="6">
        <v>60000</v>
      </c>
      <c r="G205" s="4">
        <v>40</v>
      </c>
      <c r="H205" s="172" t="s">
        <v>873</v>
      </c>
      <c r="I205" s="172" t="s">
        <v>873</v>
      </c>
      <c r="J205" s="172" t="s">
        <v>873</v>
      </c>
      <c r="K205" s="172" t="s">
        <v>873</v>
      </c>
      <c r="L205" s="172" t="s">
        <v>873</v>
      </c>
      <c r="M205" s="172" t="s">
        <v>873</v>
      </c>
      <c r="N205" s="172" t="s">
        <v>872</v>
      </c>
      <c r="O205" s="172" t="s">
        <v>872</v>
      </c>
      <c r="P205" s="172" t="s">
        <v>872</v>
      </c>
      <c r="Q205" s="172" t="s">
        <v>872</v>
      </c>
      <c r="R205" s="172" t="s">
        <v>873</v>
      </c>
      <c r="S205" s="172" t="s">
        <v>873</v>
      </c>
    </row>
    <row r="206" spans="1:19" ht="13.5" thickBot="1" x14ac:dyDescent="0.25">
      <c r="A206" s="2" t="s">
        <v>656</v>
      </c>
      <c r="B206" s="1" t="s">
        <v>655</v>
      </c>
      <c r="C206" s="2" t="s">
        <v>32</v>
      </c>
      <c r="D206" s="2" t="s">
        <v>1823</v>
      </c>
      <c r="E206" s="6">
        <v>64902</v>
      </c>
      <c r="F206" s="6">
        <v>64902</v>
      </c>
      <c r="G206" s="4">
        <v>38</v>
      </c>
      <c r="H206" s="172" t="s">
        <v>872</v>
      </c>
      <c r="I206" s="172" t="s">
        <v>872</v>
      </c>
      <c r="J206" s="172" t="s">
        <v>872</v>
      </c>
      <c r="K206" s="172" t="s">
        <v>872</v>
      </c>
      <c r="L206" s="172" t="s">
        <v>873</v>
      </c>
      <c r="M206" s="172" t="s">
        <v>872</v>
      </c>
      <c r="N206" s="172" t="s">
        <v>872</v>
      </c>
      <c r="O206" s="172" t="s">
        <v>873</v>
      </c>
      <c r="P206" s="172" t="s">
        <v>872</v>
      </c>
      <c r="Q206" s="172" t="s">
        <v>873</v>
      </c>
      <c r="R206" s="172" t="s">
        <v>873</v>
      </c>
      <c r="S206" s="172" t="s">
        <v>872</v>
      </c>
    </row>
    <row r="207" spans="1:19" ht="13.5" thickBot="1" x14ac:dyDescent="0.25">
      <c r="A207" s="2" t="s">
        <v>674</v>
      </c>
      <c r="B207" s="1" t="s">
        <v>673</v>
      </c>
      <c r="C207" s="2" t="s">
        <v>32</v>
      </c>
      <c r="D207" s="2" t="s">
        <v>1823</v>
      </c>
      <c r="E207" s="6">
        <v>51500</v>
      </c>
      <c r="F207" s="6">
        <v>61500</v>
      </c>
      <c r="G207" s="4">
        <v>40</v>
      </c>
      <c r="H207" s="172" t="s">
        <v>872</v>
      </c>
      <c r="I207" s="172" t="s">
        <v>872</v>
      </c>
      <c r="J207" s="172" t="s">
        <v>872</v>
      </c>
      <c r="K207" s="172" t="s">
        <v>872</v>
      </c>
      <c r="L207" s="172" t="s">
        <v>873</v>
      </c>
      <c r="M207" s="172" t="s">
        <v>872</v>
      </c>
      <c r="N207" s="172" t="s">
        <v>872</v>
      </c>
      <c r="O207" s="172" t="s">
        <v>872</v>
      </c>
      <c r="P207" s="172" t="s">
        <v>872</v>
      </c>
      <c r="Q207" s="172" t="s">
        <v>873</v>
      </c>
      <c r="R207" s="172" t="s">
        <v>872</v>
      </c>
      <c r="S207" s="172" t="s">
        <v>873</v>
      </c>
    </row>
    <row r="208" spans="1:19" ht="13.5" thickBot="1" x14ac:dyDescent="0.25">
      <c r="A208" s="2" t="s">
        <v>676</v>
      </c>
      <c r="B208" s="1" t="s">
        <v>675</v>
      </c>
      <c r="C208" s="2" t="s">
        <v>32</v>
      </c>
      <c r="D208" s="2" t="s">
        <v>973</v>
      </c>
      <c r="E208" s="6">
        <v>50733</v>
      </c>
      <c r="F208" s="6">
        <v>50733</v>
      </c>
      <c r="G208" s="4">
        <v>41</v>
      </c>
      <c r="H208" s="172" t="s">
        <v>873</v>
      </c>
      <c r="I208" s="172" t="s">
        <v>873</v>
      </c>
      <c r="J208" s="172" t="s">
        <v>873</v>
      </c>
      <c r="K208" s="172" t="s">
        <v>873</v>
      </c>
      <c r="L208" s="172" t="s">
        <v>873</v>
      </c>
      <c r="M208" s="172" t="s">
        <v>873</v>
      </c>
      <c r="N208" s="172" t="s">
        <v>872</v>
      </c>
      <c r="O208" s="172" t="s">
        <v>872</v>
      </c>
      <c r="P208" s="172" t="s">
        <v>872</v>
      </c>
      <c r="Q208" s="172" t="s">
        <v>873</v>
      </c>
      <c r="R208" s="172" t="s">
        <v>873</v>
      </c>
      <c r="S208" s="172" t="s">
        <v>873</v>
      </c>
    </row>
    <row r="209" spans="1:19" ht="13.5" thickBot="1" x14ac:dyDescent="0.25">
      <c r="A209" s="2" t="s">
        <v>684</v>
      </c>
      <c r="B209" s="1" t="s">
        <v>683</v>
      </c>
      <c r="C209" s="2" t="s">
        <v>32</v>
      </c>
      <c r="D209" s="2" t="s">
        <v>1825</v>
      </c>
      <c r="E209" s="6">
        <v>21320</v>
      </c>
      <c r="F209" s="6">
        <v>36559</v>
      </c>
      <c r="G209" s="4">
        <v>25</v>
      </c>
      <c r="H209" s="172" t="s">
        <v>873</v>
      </c>
      <c r="I209" s="172" t="s">
        <v>873</v>
      </c>
      <c r="J209" s="172" t="s">
        <v>873</v>
      </c>
      <c r="K209" s="172" t="s">
        <v>873</v>
      </c>
      <c r="L209" s="172" t="s">
        <v>873</v>
      </c>
      <c r="M209" s="172" t="s">
        <v>873</v>
      </c>
      <c r="N209" s="172" t="s">
        <v>872</v>
      </c>
      <c r="O209" s="172" t="s">
        <v>873</v>
      </c>
      <c r="P209" s="172" t="s">
        <v>872</v>
      </c>
      <c r="Q209" s="172" t="s">
        <v>873</v>
      </c>
      <c r="R209" s="172" t="s">
        <v>873</v>
      </c>
      <c r="S209" s="172" t="s">
        <v>873</v>
      </c>
    </row>
    <row r="210" spans="1:19" ht="13.5" thickBot="1" x14ac:dyDescent="0.25">
      <c r="A210" s="2" t="s">
        <v>690</v>
      </c>
      <c r="B210" s="1" t="s">
        <v>689</v>
      </c>
      <c r="C210" s="2" t="s">
        <v>32</v>
      </c>
      <c r="D210" s="2" t="s">
        <v>973</v>
      </c>
      <c r="E210" s="6">
        <v>50000</v>
      </c>
      <c r="F210" s="6">
        <v>50000</v>
      </c>
      <c r="G210" s="4">
        <v>40</v>
      </c>
      <c r="H210" s="172" t="s">
        <v>873</v>
      </c>
      <c r="I210" s="172" t="s">
        <v>873</v>
      </c>
      <c r="J210" s="172" t="s">
        <v>873</v>
      </c>
      <c r="K210" s="172" t="s">
        <v>873</v>
      </c>
      <c r="L210" s="172" t="s">
        <v>872</v>
      </c>
      <c r="M210" s="172" t="s">
        <v>872</v>
      </c>
      <c r="N210" s="172" t="s">
        <v>872</v>
      </c>
      <c r="O210" s="172" t="s">
        <v>872</v>
      </c>
      <c r="P210" s="172" t="s">
        <v>872</v>
      </c>
      <c r="Q210" s="172" t="s">
        <v>873</v>
      </c>
      <c r="R210" s="172" t="s">
        <v>873</v>
      </c>
      <c r="S210" s="172" t="s">
        <v>873</v>
      </c>
    </row>
    <row r="211" spans="1:19" ht="13.5" thickBot="1" x14ac:dyDescent="0.25">
      <c r="A211" s="2" t="s">
        <v>694</v>
      </c>
      <c r="B211" s="1" t="s">
        <v>693</v>
      </c>
      <c r="C211" s="2" t="s">
        <v>32</v>
      </c>
      <c r="D211" s="2" t="s">
        <v>973</v>
      </c>
      <c r="E211" s="6">
        <v>47000</v>
      </c>
      <c r="F211" s="6">
        <v>60000</v>
      </c>
      <c r="G211" s="4">
        <v>40</v>
      </c>
      <c r="H211" s="172" t="s">
        <v>872</v>
      </c>
      <c r="I211" s="172" t="s">
        <v>872</v>
      </c>
      <c r="J211" s="172" t="s">
        <v>872</v>
      </c>
      <c r="K211" s="172" t="s">
        <v>873</v>
      </c>
      <c r="L211" s="172" t="s">
        <v>872</v>
      </c>
      <c r="M211" s="172" t="s">
        <v>872</v>
      </c>
      <c r="N211" s="172" t="s">
        <v>872</v>
      </c>
      <c r="O211" s="172" t="s">
        <v>872</v>
      </c>
      <c r="P211" s="172" t="s">
        <v>872</v>
      </c>
      <c r="Q211" s="172" t="s">
        <v>873</v>
      </c>
      <c r="R211" s="172" t="s">
        <v>872</v>
      </c>
      <c r="S211" s="172" t="s">
        <v>873</v>
      </c>
    </row>
    <row r="212" spans="1:19" ht="13.5" thickBot="1" x14ac:dyDescent="0.25">
      <c r="A212" s="2" t="s">
        <v>700</v>
      </c>
      <c r="B212" s="1" t="s">
        <v>699</v>
      </c>
      <c r="C212" s="2" t="s">
        <v>32</v>
      </c>
      <c r="D212" s="2" t="s">
        <v>973</v>
      </c>
      <c r="E212" s="6">
        <v>47975</v>
      </c>
      <c r="F212" s="6">
        <v>47975</v>
      </c>
      <c r="G212" s="4">
        <v>40</v>
      </c>
      <c r="H212" s="172" t="s">
        <v>872</v>
      </c>
      <c r="I212" s="172" t="s">
        <v>872</v>
      </c>
      <c r="J212" s="172" t="s">
        <v>873</v>
      </c>
      <c r="K212" s="172" t="s">
        <v>873</v>
      </c>
      <c r="L212" s="172" t="s">
        <v>872</v>
      </c>
      <c r="M212" s="172" t="s">
        <v>873</v>
      </c>
      <c r="N212" s="172" t="s">
        <v>873</v>
      </c>
      <c r="O212" s="172" t="s">
        <v>872</v>
      </c>
      <c r="P212" s="172" t="s">
        <v>872</v>
      </c>
      <c r="Q212" s="172" t="s">
        <v>873</v>
      </c>
      <c r="R212" s="172" t="s">
        <v>873</v>
      </c>
      <c r="S212" s="172" t="s">
        <v>872</v>
      </c>
    </row>
    <row r="213" spans="1:19" ht="13.5" thickBot="1" x14ac:dyDescent="0.25">
      <c r="A213" s="2" t="s">
        <v>706</v>
      </c>
      <c r="B213" s="1" t="s">
        <v>705</v>
      </c>
      <c r="C213" s="2" t="s">
        <v>32</v>
      </c>
      <c r="D213" s="2" t="s">
        <v>973</v>
      </c>
      <c r="E213" s="6">
        <v>36000</v>
      </c>
      <c r="F213" s="6">
        <v>39000</v>
      </c>
      <c r="G213" s="4">
        <v>35</v>
      </c>
      <c r="H213" s="172" t="s">
        <v>872</v>
      </c>
      <c r="I213" s="172" t="s">
        <v>873</v>
      </c>
      <c r="J213" s="172" t="s">
        <v>872</v>
      </c>
      <c r="K213" s="172" t="s">
        <v>873</v>
      </c>
      <c r="L213" s="172" t="s">
        <v>873</v>
      </c>
      <c r="M213" s="172" t="s">
        <v>872</v>
      </c>
      <c r="N213" s="172" t="s">
        <v>872</v>
      </c>
      <c r="O213" s="172" t="s">
        <v>872</v>
      </c>
      <c r="P213" s="172" t="s">
        <v>872</v>
      </c>
      <c r="Q213" s="172" t="s">
        <v>872</v>
      </c>
      <c r="R213" s="172" t="s">
        <v>873</v>
      </c>
      <c r="S213" s="172" t="s">
        <v>872</v>
      </c>
    </row>
    <row r="214" spans="1:19" ht="13.5" thickBot="1" x14ac:dyDescent="0.25">
      <c r="A214" s="2" t="s">
        <v>718</v>
      </c>
      <c r="B214" s="1" t="s">
        <v>717</v>
      </c>
      <c r="C214" s="2" t="s">
        <v>32</v>
      </c>
      <c r="D214" s="2" t="s">
        <v>1823</v>
      </c>
      <c r="E214" s="6">
        <v>40000</v>
      </c>
      <c r="F214" s="6">
        <v>53000</v>
      </c>
      <c r="G214" s="4">
        <v>40</v>
      </c>
      <c r="H214" s="172" t="s">
        <v>872</v>
      </c>
      <c r="I214" s="172" t="s">
        <v>873</v>
      </c>
      <c r="J214" s="172" t="s">
        <v>873</v>
      </c>
      <c r="K214" s="172" t="s">
        <v>872</v>
      </c>
      <c r="L214" s="172" t="s">
        <v>872</v>
      </c>
      <c r="M214" s="172" t="s">
        <v>872</v>
      </c>
      <c r="N214" s="172" t="s">
        <v>872</v>
      </c>
      <c r="O214" s="172" t="s">
        <v>873</v>
      </c>
      <c r="P214" s="172" t="s">
        <v>872</v>
      </c>
      <c r="Q214" s="172" t="s">
        <v>873</v>
      </c>
      <c r="R214" s="172" t="s">
        <v>872</v>
      </c>
      <c r="S214" s="172" t="s">
        <v>873</v>
      </c>
    </row>
    <row r="215" spans="1:19" ht="13.5" thickBot="1" x14ac:dyDescent="0.25">
      <c r="A215" s="2" t="s">
        <v>724</v>
      </c>
      <c r="B215" s="1" t="s">
        <v>723</v>
      </c>
      <c r="C215" s="2" t="s">
        <v>32</v>
      </c>
      <c r="D215" s="2" t="s">
        <v>973</v>
      </c>
      <c r="E215" s="6">
        <v>34000</v>
      </c>
      <c r="F215" s="6">
        <v>40000</v>
      </c>
      <c r="G215" s="4">
        <v>36</v>
      </c>
      <c r="H215" s="172" t="s">
        <v>873</v>
      </c>
      <c r="I215" s="172" t="s">
        <v>873</v>
      </c>
      <c r="J215" s="172" t="s">
        <v>873</v>
      </c>
      <c r="K215" s="172" t="s">
        <v>873</v>
      </c>
      <c r="L215" s="172" t="s">
        <v>873</v>
      </c>
      <c r="M215" s="172" t="s">
        <v>872</v>
      </c>
      <c r="N215" s="172" t="s">
        <v>872</v>
      </c>
      <c r="O215" s="172" t="s">
        <v>872</v>
      </c>
      <c r="P215" s="172" t="s">
        <v>872</v>
      </c>
      <c r="Q215" s="172" t="s">
        <v>873</v>
      </c>
      <c r="R215" s="172" t="s">
        <v>873</v>
      </c>
      <c r="S215" s="172" t="s">
        <v>873</v>
      </c>
    </row>
    <row r="216" spans="1:19" ht="13.5" thickBot="1" x14ac:dyDescent="0.25">
      <c r="A216" s="2" t="s">
        <v>726</v>
      </c>
      <c r="B216" s="1" t="s">
        <v>725</v>
      </c>
      <c r="C216" s="2" t="s">
        <v>32</v>
      </c>
      <c r="D216" s="2" t="s">
        <v>1823</v>
      </c>
      <c r="E216" s="6">
        <v>56389</v>
      </c>
      <c r="F216" s="6">
        <v>56389</v>
      </c>
      <c r="G216" s="4">
        <v>40</v>
      </c>
      <c r="H216" s="172" t="s">
        <v>872</v>
      </c>
      <c r="I216" s="172" t="s">
        <v>872</v>
      </c>
      <c r="J216" s="172" t="s">
        <v>872</v>
      </c>
      <c r="K216" s="172" t="s">
        <v>872</v>
      </c>
      <c r="L216" s="172" t="s">
        <v>872</v>
      </c>
      <c r="M216" s="172" t="s">
        <v>872</v>
      </c>
      <c r="N216" s="172" t="s">
        <v>872</v>
      </c>
      <c r="O216" s="172" t="s">
        <v>872</v>
      </c>
      <c r="P216" s="172" t="s">
        <v>872</v>
      </c>
      <c r="Q216" s="172" t="s">
        <v>872</v>
      </c>
      <c r="R216" s="172" t="s">
        <v>873</v>
      </c>
      <c r="S216" s="172" t="s">
        <v>872</v>
      </c>
    </row>
    <row r="217" spans="1:19" ht="13.5" thickBot="1" x14ac:dyDescent="0.25">
      <c r="A217" s="2" t="s">
        <v>742</v>
      </c>
      <c r="B217" s="1" t="s">
        <v>741</v>
      </c>
      <c r="C217" s="2" t="s">
        <v>32</v>
      </c>
      <c r="D217" s="2" t="s">
        <v>1823</v>
      </c>
      <c r="E217" s="6">
        <v>30000</v>
      </c>
      <c r="F217" s="6">
        <v>50000</v>
      </c>
      <c r="G217" s="4">
        <v>40</v>
      </c>
      <c r="H217" s="172" t="s">
        <v>873</v>
      </c>
      <c r="I217" s="172" t="s">
        <v>873</v>
      </c>
      <c r="J217" s="172" t="s">
        <v>873</v>
      </c>
      <c r="K217" s="172" t="s">
        <v>873</v>
      </c>
      <c r="L217" s="172" t="s">
        <v>873</v>
      </c>
      <c r="M217" s="172" t="s">
        <v>872</v>
      </c>
      <c r="N217" s="172" t="s">
        <v>872</v>
      </c>
      <c r="O217" s="172" t="s">
        <v>872</v>
      </c>
      <c r="P217" s="172" t="s">
        <v>872</v>
      </c>
      <c r="Q217" s="172" t="s">
        <v>873</v>
      </c>
      <c r="R217" s="172" t="s">
        <v>873</v>
      </c>
      <c r="S217" s="172" t="s">
        <v>873</v>
      </c>
    </row>
    <row r="218" spans="1:19" ht="13.5" thickBot="1" x14ac:dyDescent="0.25">
      <c r="A218" s="2" t="s">
        <v>747</v>
      </c>
      <c r="B218" s="1" t="s">
        <v>746</v>
      </c>
      <c r="C218" s="2" t="s">
        <v>32</v>
      </c>
      <c r="D218" s="2" t="s">
        <v>973</v>
      </c>
      <c r="E218" s="6">
        <v>30000</v>
      </c>
      <c r="F218" s="6">
        <v>40000</v>
      </c>
      <c r="G218" s="4">
        <v>40</v>
      </c>
      <c r="H218" s="172" t="s">
        <v>873</v>
      </c>
      <c r="I218" s="172" t="s">
        <v>873</v>
      </c>
      <c r="J218" s="172" t="s">
        <v>873</v>
      </c>
      <c r="K218" s="172" t="s">
        <v>873</v>
      </c>
      <c r="L218" s="172" t="s">
        <v>873</v>
      </c>
      <c r="M218" s="172" t="s">
        <v>873</v>
      </c>
      <c r="N218" s="172" t="s">
        <v>872</v>
      </c>
      <c r="O218" s="172" t="s">
        <v>873</v>
      </c>
      <c r="P218" s="172" t="s">
        <v>872</v>
      </c>
      <c r="Q218" s="172" t="s">
        <v>873</v>
      </c>
      <c r="R218" s="172" t="s">
        <v>873</v>
      </c>
      <c r="S218" s="172" t="s">
        <v>873</v>
      </c>
    </row>
    <row r="219" spans="1:19" ht="13.5" thickBot="1" x14ac:dyDescent="0.25">
      <c r="A219" s="2" t="s">
        <v>749</v>
      </c>
      <c r="B219" s="1" t="s">
        <v>748</v>
      </c>
      <c r="C219" s="2" t="s">
        <v>32</v>
      </c>
      <c r="D219" s="2" t="s">
        <v>1823</v>
      </c>
      <c r="E219" s="6">
        <v>45000</v>
      </c>
      <c r="F219" s="6">
        <v>65000</v>
      </c>
      <c r="G219" s="4">
        <v>40</v>
      </c>
      <c r="H219" s="172" t="s">
        <v>873</v>
      </c>
      <c r="I219" s="172" t="s">
        <v>873</v>
      </c>
      <c r="J219" s="172" t="s">
        <v>873</v>
      </c>
      <c r="K219" s="172" t="s">
        <v>873</v>
      </c>
      <c r="L219" s="172" t="s">
        <v>872</v>
      </c>
      <c r="M219" s="172" t="s">
        <v>872</v>
      </c>
      <c r="N219" s="172" t="s">
        <v>872</v>
      </c>
      <c r="O219" s="172" t="s">
        <v>872</v>
      </c>
      <c r="P219" s="172" t="s">
        <v>872</v>
      </c>
      <c r="Q219" s="172" t="s">
        <v>873</v>
      </c>
      <c r="R219" s="172" t="s">
        <v>873</v>
      </c>
      <c r="S219" s="172" t="s">
        <v>873</v>
      </c>
    </row>
    <row r="220" spans="1:19" ht="13.5" thickBot="1" x14ac:dyDescent="0.25">
      <c r="A220" s="2" t="s">
        <v>759</v>
      </c>
      <c r="B220" s="1" t="s">
        <v>758</v>
      </c>
      <c r="C220" s="2" t="s">
        <v>32</v>
      </c>
      <c r="D220" s="2" t="s">
        <v>1823</v>
      </c>
      <c r="E220" s="6">
        <v>48486</v>
      </c>
      <c r="F220" s="6">
        <v>48486</v>
      </c>
      <c r="G220" s="4">
        <v>40</v>
      </c>
      <c r="H220" s="172" t="s">
        <v>872</v>
      </c>
      <c r="I220" s="172" t="s">
        <v>872</v>
      </c>
      <c r="J220" s="172" t="s">
        <v>873</v>
      </c>
      <c r="K220" s="172" t="s">
        <v>872</v>
      </c>
      <c r="L220" s="172" t="s">
        <v>873</v>
      </c>
      <c r="M220" s="172" t="s">
        <v>872</v>
      </c>
      <c r="N220" s="172" t="s">
        <v>872</v>
      </c>
      <c r="O220" s="172" t="s">
        <v>872</v>
      </c>
      <c r="P220" s="172" t="s">
        <v>872</v>
      </c>
      <c r="Q220" s="172" t="s">
        <v>873</v>
      </c>
      <c r="R220" s="172" t="s">
        <v>872</v>
      </c>
      <c r="S220" s="172" t="s">
        <v>873</v>
      </c>
    </row>
    <row r="221" spans="1:19" ht="13.5" thickBot="1" x14ac:dyDescent="0.25">
      <c r="A221" s="2" t="s">
        <v>763</v>
      </c>
      <c r="B221" s="1" t="s">
        <v>762</v>
      </c>
      <c r="C221" s="2" t="s">
        <v>32</v>
      </c>
      <c r="D221" s="2" t="s">
        <v>973</v>
      </c>
      <c r="E221" s="6">
        <v>39000</v>
      </c>
      <c r="F221" s="6">
        <v>66894</v>
      </c>
      <c r="G221" s="4">
        <v>40</v>
      </c>
      <c r="H221" s="172" t="s">
        <v>872</v>
      </c>
      <c r="I221" s="172" t="s">
        <v>872</v>
      </c>
      <c r="J221" s="172" t="s">
        <v>872</v>
      </c>
      <c r="K221" s="172" t="s">
        <v>873</v>
      </c>
      <c r="L221" s="172" t="s">
        <v>873</v>
      </c>
      <c r="M221" s="172" t="s">
        <v>872</v>
      </c>
      <c r="N221" s="172" t="s">
        <v>872</v>
      </c>
      <c r="O221" s="172" t="s">
        <v>872</v>
      </c>
      <c r="P221" s="172" t="s">
        <v>872</v>
      </c>
      <c r="Q221" s="172" t="s">
        <v>872</v>
      </c>
      <c r="R221" s="172" t="s">
        <v>872</v>
      </c>
      <c r="S221" s="172" t="s">
        <v>873</v>
      </c>
    </row>
    <row r="222" spans="1:19" ht="13.5" thickBot="1" x14ac:dyDescent="0.25">
      <c r="A222" s="2" t="s">
        <v>765</v>
      </c>
      <c r="B222" s="1" t="s">
        <v>764</v>
      </c>
      <c r="C222" s="2" t="s">
        <v>32</v>
      </c>
      <c r="D222" s="2" t="s">
        <v>973</v>
      </c>
      <c r="E222" s="6">
        <v>35000</v>
      </c>
      <c r="F222" s="6">
        <v>35000</v>
      </c>
      <c r="G222" s="4">
        <v>40</v>
      </c>
      <c r="H222" s="172" t="s">
        <v>872</v>
      </c>
      <c r="I222" s="172" t="s">
        <v>872</v>
      </c>
      <c r="J222" s="172" t="s">
        <v>872</v>
      </c>
      <c r="K222" s="172" t="s">
        <v>872</v>
      </c>
      <c r="L222" s="172" t="s">
        <v>872</v>
      </c>
      <c r="M222" s="172" t="s">
        <v>872</v>
      </c>
      <c r="N222" s="172" t="s">
        <v>872</v>
      </c>
      <c r="O222" s="172" t="s">
        <v>872</v>
      </c>
      <c r="P222" s="172" t="s">
        <v>872</v>
      </c>
      <c r="Q222" s="172" t="s">
        <v>873</v>
      </c>
      <c r="R222" s="172" t="s">
        <v>872</v>
      </c>
      <c r="S222" s="172" t="s">
        <v>873</v>
      </c>
    </row>
    <row r="223" spans="1:19" ht="13.5" thickBot="1" x14ac:dyDescent="0.25">
      <c r="A223" s="2" t="s">
        <v>773</v>
      </c>
      <c r="B223" s="1" t="s">
        <v>772</v>
      </c>
      <c r="C223" s="2" t="s">
        <v>32</v>
      </c>
      <c r="D223" s="2" t="s">
        <v>973</v>
      </c>
      <c r="E223" s="6">
        <v>48677</v>
      </c>
      <c r="F223" s="6">
        <v>48677</v>
      </c>
      <c r="G223" s="4">
        <v>40</v>
      </c>
      <c r="H223" s="172" t="s">
        <v>873</v>
      </c>
      <c r="I223" s="172" t="s">
        <v>873</v>
      </c>
      <c r="J223" s="172" t="s">
        <v>873</v>
      </c>
      <c r="K223" s="172" t="s">
        <v>873</v>
      </c>
      <c r="L223" s="172" t="s">
        <v>873</v>
      </c>
      <c r="M223" s="172" t="s">
        <v>873</v>
      </c>
      <c r="N223" s="172" t="s">
        <v>872</v>
      </c>
      <c r="O223" s="172" t="s">
        <v>872</v>
      </c>
      <c r="P223" s="172" t="s">
        <v>872</v>
      </c>
      <c r="Q223" s="172" t="s">
        <v>873</v>
      </c>
      <c r="R223" s="172" t="s">
        <v>873</v>
      </c>
      <c r="S223" s="172" t="s">
        <v>873</v>
      </c>
    </row>
    <row r="224" spans="1:19" ht="13.5" thickBot="1" x14ac:dyDescent="0.25">
      <c r="A224" s="2" t="s">
        <v>803</v>
      </c>
      <c r="B224" s="1" t="s">
        <v>802</v>
      </c>
      <c r="C224" s="2" t="s">
        <v>32</v>
      </c>
      <c r="D224" s="2" t="s">
        <v>1825</v>
      </c>
      <c r="E224" s="6">
        <v>24050</v>
      </c>
      <c r="F224" s="6">
        <v>26000</v>
      </c>
      <c r="G224" s="4">
        <v>37</v>
      </c>
      <c r="H224" s="172" t="s">
        <v>873</v>
      </c>
      <c r="I224" s="172" t="s">
        <v>873</v>
      </c>
      <c r="J224" s="172" t="s">
        <v>873</v>
      </c>
      <c r="K224" s="172" t="s">
        <v>872</v>
      </c>
      <c r="L224" s="172" t="s">
        <v>872</v>
      </c>
      <c r="M224" s="172" t="s">
        <v>872</v>
      </c>
      <c r="N224" s="172" t="s">
        <v>872</v>
      </c>
      <c r="O224" s="172" t="s">
        <v>873</v>
      </c>
      <c r="P224" s="172" t="s">
        <v>873</v>
      </c>
      <c r="Q224" s="172" t="s">
        <v>873</v>
      </c>
      <c r="R224" s="172" t="s">
        <v>873</v>
      </c>
      <c r="S224" s="172" t="s">
        <v>873</v>
      </c>
    </row>
    <row r="225" spans="1:19" ht="13.5" thickBot="1" x14ac:dyDescent="0.25">
      <c r="A225" s="2" t="s">
        <v>817</v>
      </c>
      <c r="B225" s="1" t="s">
        <v>816</v>
      </c>
      <c r="C225" s="2" t="s">
        <v>32</v>
      </c>
      <c r="D225" s="2" t="s">
        <v>1823</v>
      </c>
      <c r="E225" s="6">
        <v>44600</v>
      </c>
      <c r="F225" s="6">
        <v>44600</v>
      </c>
      <c r="G225" s="4">
        <v>40</v>
      </c>
      <c r="H225" s="172" t="s">
        <v>872</v>
      </c>
      <c r="I225" s="172" t="s">
        <v>872</v>
      </c>
      <c r="J225" s="172" t="s">
        <v>872</v>
      </c>
      <c r="K225" s="172" t="s">
        <v>872</v>
      </c>
      <c r="L225" s="172" t="s">
        <v>872</v>
      </c>
      <c r="M225" s="172" t="s">
        <v>872</v>
      </c>
      <c r="N225" s="172" t="s">
        <v>872</v>
      </c>
      <c r="O225" s="172" t="s">
        <v>872</v>
      </c>
      <c r="P225" s="172" t="s">
        <v>872</v>
      </c>
      <c r="Q225" s="172" t="s">
        <v>872</v>
      </c>
      <c r="R225" s="172" t="s">
        <v>872</v>
      </c>
      <c r="S225" s="172" t="s">
        <v>873</v>
      </c>
    </row>
    <row r="226" spans="1:19" ht="13.5" thickBot="1" x14ac:dyDescent="0.25">
      <c r="A226" s="2" t="s">
        <v>819</v>
      </c>
      <c r="B226" s="1" t="s">
        <v>818</v>
      </c>
      <c r="C226" s="2" t="s">
        <v>32</v>
      </c>
      <c r="D226" s="2" t="s">
        <v>973</v>
      </c>
      <c r="E226" s="6">
        <v>30000</v>
      </c>
      <c r="F226" s="6">
        <v>54000</v>
      </c>
      <c r="G226" s="4">
        <v>40</v>
      </c>
      <c r="H226" s="172" t="s">
        <v>872</v>
      </c>
      <c r="I226" s="172" t="s">
        <v>872</v>
      </c>
      <c r="J226" s="172" t="s">
        <v>872</v>
      </c>
      <c r="K226" s="172" t="s">
        <v>873</v>
      </c>
      <c r="L226" s="172" t="s">
        <v>872</v>
      </c>
      <c r="M226" s="172" t="s">
        <v>872</v>
      </c>
      <c r="N226" s="172" t="s">
        <v>872</v>
      </c>
      <c r="O226" s="172" t="s">
        <v>872</v>
      </c>
      <c r="P226" s="172" t="s">
        <v>872</v>
      </c>
      <c r="Q226" s="172" t="s">
        <v>873</v>
      </c>
      <c r="R226" s="172" t="s">
        <v>873</v>
      </c>
      <c r="S226" s="172" t="s">
        <v>873</v>
      </c>
    </row>
    <row r="227" spans="1:19" ht="13.5" thickBot="1" x14ac:dyDescent="0.25">
      <c r="A227" s="2" t="s">
        <v>823</v>
      </c>
      <c r="B227" s="1" t="s">
        <v>822</v>
      </c>
      <c r="C227" s="2" t="s">
        <v>32</v>
      </c>
      <c r="D227" s="2" t="s">
        <v>1825</v>
      </c>
      <c r="E227" s="6">
        <v>47725</v>
      </c>
      <c r="F227" s="6">
        <v>47725</v>
      </c>
      <c r="G227" s="4">
        <v>38</v>
      </c>
      <c r="H227" s="172" t="s">
        <v>873</v>
      </c>
      <c r="I227" s="172" t="s">
        <v>873</v>
      </c>
      <c r="J227" s="172" t="s">
        <v>873</v>
      </c>
      <c r="K227" s="172" t="s">
        <v>872</v>
      </c>
      <c r="L227" s="172" t="s">
        <v>872</v>
      </c>
      <c r="M227" s="172" t="s">
        <v>872</v>
      </c>
      <c r="N227" s="172" t="s">
        <v>872</v>
      </c>
      <c r="O227" s="172" t="s">
        <v>872</v>
      </c>
      <c r="P227" s="172" t="s">
        <v>872</v>
      </c>
      <c r="Q227" s="172" t="s">
        <v>872</v>
      </c>
      <c r="R227" s="172" t="s">
        <v>872</v>
      </c>
      <c r="S227" s="172" t="s">
        <v>873</v>
      </c>
    </row>
    <row r="228" spans="1:19" ht="13.5" thickBot="1" x14ac:dyDescent="0.25">
      <c r="A228" s="2" t="s">
        <v>825</v>
      </c>
      <c r="B228" s="1" t="s">
        <v>824</v>
      </c>
      <c r="C228" s="2" t="s">
        <v>32</v>
      </c>
      <c r="D228" s="2" t="s">
        <v>1823</v>
      </c>
      <c r="E228" s="6">
        <v>47400</v>
      </c>
      <c r="F228" s="6">
        <v>57934</v>
      </c>
      <c r="G228" s="4">
        <v>40</v>
      </c>
      <c r="H228" s="172" t="s">
        <v>873</v>
      </c>
      <c r="I228" s="172" t="s">
        <v>873</v>
      </c>
      <c r="J228" s="172" t="s">
        <v>873</v>
      </c>
      <c r="K228" s="172" t="s">
        <v>873</v>
      </c>
      <c r="L228" s="172" t="s">
        <v>873</v>
      </c>
      <c r="M228" s="172" t="s">
        <v>872</v>
      </c>
      <c r="N228" s="172" t="s">
        <v>872</v>
      </c>
      <c r="O228" s="172" t="s">
        <v>872</v>
      </c>
      <c r="P228" s="172" t="s">
        <v>872</v>
      </c>
      <c r="Q228" s="172" t="s">
        <v>873</v>
      </c>
      <c r="R228" s="172" t="s">
        <v>872</v>
      </c>
      <c r="S228" s="172" t="s">
        <v>873</v>
      </c>
    </row>
    <row r="229" spans="1:19" ht="13.5" thickBot="1" x14ac:dyDescent="0.25">
      <c r="A229" s="2" t="s">
        <v>831</v>
      </c>
      <c r="B229" s="1" t="s">
        <v>830</v>
      </c>
      <c r="C229" s="2" t="s">
        <v>32</v>
      </c>
      <c r="D229" s="2" t="s">
        <v>973</v>
      </c>
      <c r="E229" s="6">
        <v>31512</v>
      </c>
      <c r="F229" s="6">
        <v>31512</v>
      </c>
      <c r="G229" s="4">
        <v>30</v>
      </c>
      <c r="H229" s="172" t="s">
        <v>873</v>
      </c>
      <c r="I229" s="172" t="s">
        <v>873</v>
      </c>
      <c r="J229" s="172" t="s">
        <v>873</v>
      </c>
      <c r="K229" s="172" t="s">
        <v>873</v>
      </c>
      <c r="L229" s="172" t="s">
        <v>873</v>
      </c>
      <c r="M229" s="172" t="s">
        <v>872</v>
      </c>
      <c r="N229" s="172" t="s">
        <v>872</v>
      </c>
      <c r="O229" s="172" t="s">
        <v>872</v>
      </c>
      <c r="P229" s="172" t="s">
        <v>872</v>
      </c>
      <c r="Q229" s="172" t="s">
        <v>872</v>
      </c>
      <c r="R229" s="172" t="s">
        <v>873</v>
      </c>
      <c r="S229" s="172" t="s">
        <v>873</v>
      </c>
    </row>
    <row r="230" spans="1:19" ht="13.5" thickBot="1" x14ac:dyDescent="0.25">
      <c r="A230" s="2" t="s">
        <v>26</v>
      </c>
      <c r="B230" s="1" t="s">
        <v>25</v>
      </c>
      <c r="C230" s="2" t="s">
        <v>29</v>
      </c>
      <c r="D230" s="2" t="s">
        <v>1823</v>
      </c>
      <c r="E230" s="6">
        <v>64000</v>
      </c>
      <c r="F230" s="6">
        <v>78000</v>
      </c>
      <c r="G230" s="169" t="s">
        <v>16</v>
      </c>
      <c r="H230" s="172" t="s">
        <v>872</v>
      </c>
      <c r="I230" s="172" t="s">
        <v>872</v>
      </c>
      <c r="J230" s="172" t="s">
        <v>872</v>
      </c>
      <c r="K230" s="172" t="s">
        <v>873</v>
      </c>
      <c r="L230" s="172" t="s">
        <v>873</v>
      </c>
      <c r="M230" s="172" t="s">
        <v>872</v>
      </c>
      <c r="N230" s="172" t="s">
        <v>872</v>
      </c>
      <c r="O230" s="172" t="s">
        <v>873</v>
      </c>
      <c r="P230" s="172" t="s">
        <v>872</v>
      </c>
      <c r="Q230" s="172" t="s">
        <v>872</v>
      </c>
      <c r="R230" s="172" t="s">
        <v>873</v>
      </c>
      <c r="S230" s="172" t="s">
        <v>873</v>
      </c>
    </row>
    <row r="231" spans="1:19" ht="13.5" thickBot="1" x14ac:dyDescent="0.25">
      <c r="A231" s="2" t="s">
        <v>42</v>
      </c>
      <c r="B231" s="1" t="s">
        <v>41</v>
      </c>
      <c r="C231" s="2" t="s">
        <v>29</v>
      </c>
      <c r="D231" s="2" t="s">
        <v>1823</v>
      </c>
      <c r="E231" s="6">
        <v>50000</v>
      </c>
      <c r="F231" s="6">
        <v>70000</v>
      </c>
      <c r="G231" s="4">
        <v>40</v>
      </c>
      <c r="H231" s="172" t="s">
        <v>872</v>
      </c>
      <c r="I231" s="172" t="s">
        <v>872</v>
      </c>
      <c r="J231" s="172" t="s">
        <v>872</v>
      </c>
      <c r="K231" s="172" t="s">
        <v>872</v>
      </c>
      <c r="L231" s="172" t="s">
        <v>873</v>
      </c>
      <c r="M231" s="172" t="s">
        <v>872</v>
      </c>
      <c r="N231" s="172" t="s">
        <v>872</v>
      </c>
      <c r="O231" s="172" t="s">
        <v>872</v>
      </c>
      <c r="P231" s="172" t="s">
        <v>872</v>
      </c>
      <c r="Q231" s="172" t="s">
        <v>872</v>
      </c>
      <c r="R231" s="172" t="s">
        <v>872</v>
      </c>
      <c r="S231" s="172" t="s">
        <v>872</v>
      </c>
    </row>
    <row r="232" spans="1:19" ht="13.5" thickBot="1" x14ac:dyDescent="0.25">
      <c r="A232" s="2" t="s">
        <v>70</v>
      </c>
      <c r="B232" s="1" t="s">
        <v>69</v>
      </c>
      <c r="C232" s="2" t="s">
        <v>29</v>
      </c>
      <c r="D232" s="2" t="s">
        <v>1823</v>
      </c>
      <c r="E232" s="6">
        <v>70000</v>
      </c>
      <c r="F232" s="6">
        <v>80000</v>
      </c>
      <c r="G232" s="4">
        <v>40</v>
      </c>
      <c r="H232" s="172" t="s">
        <v>872</v>
      </c>
      <c r="I232" s="172" t="s">
        <v>872</v>
      </c>
      <c r="J232" s="172" t="s">
        <v>872</v>
      </c>
      <c r="K232" s="172" t="s">
        <v>872</v>
      </c>
      <c r="L232" s="172" t="s">
        <v>873</v>
      </c>
      <c r="M232" s="172" t="s">
        <v>872</v>
      </c>
      <c r="N232" s="172" t="s">
        <v>872</v>
      </c>
      <c r="O232" s="172" t="s">
        <v>872</v>
      </c>
      <c r="P232" s="172" t="s">
        <v>872</v>
      </c>
      <c r="Q232" s="172" t="s">
        <v>872</v>
      </c>
      <c r="R232" s="172" t="s">
        <v>872</v>
      </c>
      <c r="S232" s="172" t="s">
        <v>872</v>
      </c>
    </row>
    <row r="233" spans="1:19" ht="13.5" thickBot="1" x14ac:dyDescent="0.25">
      <c r="A233" s="2" t="s">
        <v>76</v>
      </c>
      <c r="B233" s="1" t="s">
        <v>75</v>
      </c>
      <c r="C233" s="2" t="s">
        <v>29</v>
      </c>
      <c r="D233" s="2" t="s">
        <v>1823</v>
      </c>
      <c r="E233" s="6">
        <v>60900</v>
      </c>
      <c r="F233" s="6">
        <v>60900</v>
      </c>
      <c r="G233" s="4">
        <v>39</v>
      </c>
      <c r="H233" s="172" t="s">
        <v>872</v>
      </c>
      <c r="I233" s="172" t="s">
        <v>872</v>
      </c>
      <c r="J233" s="172" t="s">
        <v>872</v>
      </c>
      <c r="K233" s="172" t="s">
        <v>872</v>
      </c>
      <c r="L233" s="172" t="s">
        <v>873</v>
      </c>
      <c r="M233" s="172" t="s">
        <v>872</v>
      </c>
      <c r="N233" s="172" t="s">
        <v>872</v>
      </c>
      <c r="O233" s="172" t="s">
        <v>873</v>
      </c>
      <c r="P233" s="172" t="s">
        <v>872</v>
      </c>
      <c r="Q233" s="172" t="s">
        <v>872</v>
      </c>
      <c r="R233" s="172" t="s">
        <v>872</v>
      </c>
      <c r="S233" s="172" t="s">
        <v>873</v>
      </c>
    </row>
    <row r="234" spans="1:19" ht="13.5" thickBot="1" x14ac:dyDescent="0.25">
      <c r="A234" s="2" t="s">
        <v>96</v>
      </c>
      <c r="B234" s="1" t="s">
        <v>95</v>
      </c>
      <c r="C234" s="2" t="s">
        <v>29</v>
      </c>
      <c r="D234" s="2" t="s">
        <v>1824</v>
      </c>
      <c r="E234" s="6">
        <v>40000</v>
      </c>
      <c r="F234" s="6">
        <v>40000</v>
      </c>
      <c r="G234" s="4">
        <v>40</v>
      </c>
      <c r="H234" s="172" t="s">
        <v>873</v>
      </c>
      <c r="I234" s="172" t="s">
        <v>873</v>
      </c>
      <c r="J234" s="172" t="s">
        <v>873</v>
      </c>
      <c r="K234" s="172" t="s">
        <v>872</v>
      </c>
      <c r="L234" s="172" t="s">
        <v>873</v>
      </c>
      <c r="M234" s="172" t="s">
        <v>872</v>
      </c>
      <c r="N234" s="172" t="s">
        <v>872</v>
      </c>
      <c r="O234" s="172" t="s">
        <v>872</v>
      </c>
      <c r="P234" s="172" t="s">
        <v>872</v>
      </c>
      <c r="Q234" s="172" t="s">
        <v>873</v>
      </c>
      <c r="R234" s="172" t="s">
        <v>873</v>
      </c>
      <c r="S234" s="172" t="s">
        <v>873</v>
      </c>
    </row>
    <row r="235" spans="1:19" ht="13.5" thickBot="1" x14ac:dyDescent="0.25">
      <c r="A235" s="2" t="s">
        <v>102</v>
      </c>
      <c r="B235" s="1" t="s">
        <v>101</v>
      </c>
      <c r="C235" s="2" t="s">
        <v>29</v>
      </c>
      <c r="D235" s="2" t="s">
        <v>1823</v>
      </c>
      <c r="E235" s="6">
        <v>69568</v>
      </c>
      <c r="F235" s="6">
        <v>79560</v>
      </c>
      <c r="G235" s="4">
        <v>40</v>
      </c>
      <c r="H235" s="172" t="s">
        <v>872</v>
      </c>
      <c r="I235" s="172" t="s">
        <v>872</v>
      </c>
      <c r="J235" s="172" t="s">
        <v>872</v>
      </c>
      <c r="K235" s="172" t="s">
        <v>872</v>
      </c>
      <c r="L235" s="172" t="s">
        <v>872</v>
      </c>
      <c r="M235" s="172" t="s">
        <v>872</v>
      </c>
      <c r="N235" s="172" t="s">
        <v>872</v>
      </c>
      <c r="O235" s="172" t="s">
        <v>872</v>
      </c>
      <c r="P235" s="172" t="s">
        <v>872</v>
      </c>
      <c r="Q235" s="172" t="s">
        <v>872</v>
      </c>
      <c r="R235" s="172" t="s">
        <v>872</v>
      </c>
      <c r="S235" s="172" t="s">
        <v>873</v>
      </c>
    </row>
    <row r="236" spans="1:19" ht="13.5" thickBot="1" x14ac:dyDescent="0.25">
      <c r="A236" s="2" t="s">
        <v>110</v>
      </c>
      <c r="B236" s="1" t="s">
        <v>109</v>
      </c>
      <c r="C236" s="2" t="s">
        <v>29</v>
      </c>
      <c r="D236" s="2" t="s">
        <v>1823</v>
      </c>
      <c r="E236" s="6">
        <v>50315</v>
      </c>
      <c r="F236" s="6">
        <v>66018</v>
      </c>
      <c r="G236" s="4">
        <v>40</v>
      </c>
      <c r="H236" s="172" t="s">
        <v>872</v>
      </c>
      <c r="I236" s="172" t="s">
        <v>872</v>
      </c>
      <c r="J236" s="172" t="s">
        <v>872</v>
      </c>
      <c r="K236" s="172" t="s">
        <v>872</v>
      </c>
      <c r="L236" s="172" t="s">
        <v>872</v>
      </c>
      <c r="M236" s="172" t="s">
        <v>872</v>
      </c>
      <c r="N236" s="172" t="s">
        <v>872</v>
      </c>
      <c r="O236" s="172" t="s">
        <v>872</v>
      </c>
      <c r="P236" s="172" t="s">
        <v>872</v>
      </c>
      <c r="Q236" s="172" t="s">
        <v>872</v>
      </c>
      <c r="R236" s="172" t="s">
        <v>872</v>
      </c>
      <c r="S236" s="172" t="s">
        <v>872</v>
      </c>
    </row>
    <row r="237" spans="1:19" ht="13.5" thickBot="1" x14ac:dyDescent="0.25">
      <c r="A237" s="2" t="s">
        <v>122</v>
      </c>
      <c r="B237" s="1" t="s">
        <v>121</v>
      </c>
      <c r="C237" s="2" t="s">
        <v>29</v>
      </c>
      <c r="D237" s="2" t="s">
        <v>1823</v>
      </c>
      <c r="E237" s="6">
        <v>53500</v>
      </c>
      <c r="F237" s="6">
        <v>74000</v>
      </c>
      <c r="G237" s="4">
        <v>40</v>
      </c>
      <c r="H237" s="172" t="s">
        <v>872</v>
      </c>
      <c r="I237" s="172" t="s">
        <v>872</v>
      </c>
      <c r="J237" s="172" t="s">
        <v>872</v>
      </c>
      <c r="K237" s="172" t="s">
        <v>872</v>
      </c>
      <c r="L237" s="172" t="s">
        <v>872</v>
      </c>
      <c r="M237" s="172" t="s">
        <v>872</v>
      </c>
      <c r="N237" s="172" t="s">
        <v>872</v>
      </c>
      <c r="O237" s="172" t="s">
        <v>872</v>
      </c>
      <c r="P237" s="172" t="s">
        <v>872</v>
      </c>
      <c r="Q237" s="172" t="s">
        <v>872</v>
      </c>
      <c r="R237" s="172" t="s">
        <v>872</v>
      </c>
      <c r="S237" s="172" t="s">
        <v>873</v>
      </c>
    </row>
    <row r="238" spans="1:19" ht="13.5" thickBot="1" x14ac:dyDescent="0.25">
      <c r="A238" s="2" t="s">
        <v>124</v>
      </c>
      <c r="B238" s="1" t="s">
        <v>123</v>
      </c>
      <c r="C238" s="2" t="s">
        <v>29</v>
      </c>
      <c r="D238" s="2" t="s">
        <v>1823</v>
      </c>
      <c r="E238" s="6">
        <v>45000</v>
      </c>
      <c r="F238" s="6">
        <v>65000</v>
      </c>
      <c r="G238" s="4">
        <v>40</v>
      </c>
      <c r="H238" s="172" t="s">
        <v>872</v>
      </c>
      <c r="I238" s="172" t="s">
        <v>872</v>
      </c>
      <c r="J238" s="172" t="s">
        <v>873</v>
      </c>
      <c r="K238" s="172" t="s">
        <v>872</v>
      </c>
      <c r="L238" s="172" t="s">
        <v>872</v>
      </c>
      <c r="M238" s="172" t="s">
        <v>872</v>
      </c>
      <c r="N238" s="172" t="s">
        <v>872</v>
      </c>
      <c r="O238" s="172" t="s">
        <v>872</v>
      </c>
      <c r="P238" s="172" t="s">
        <v>872</v>
      </c>
      <c r="Q238" s="172" t="s">
        <v>873</v>
      </c>
      <c r="R238" s="172" t="s">
        <v>872</v>
      </c>
      <c r="S238" s="172" t="s">
        <v>872</v>
      </c>
    </row>
    <row r="239" spans="1:19" ht="13.5" thickBot="1" x14ac:dyDescent="0.25">
      <c r="A239" s="2" t="s">
        <v>128</v>
      </c>
      <c r="B239" s="1" t="s">
        <v>127</v>
      </c>
      <c r="C239" s="2" t="s">
        <v>29</v>
      </c>
      <c r="D239" s="2" t="s">
        <v>1823</v>
      </c>
      <c r="E239" s="6">
        <v>63081</v>
      </c>
      <c r="F239" s="6">
        <v>63081</v>
      </c>
      <c r="G239" s="4">
        <v>40</v>
      </c>
      <c r="H239" s="172" t="s">
        <v>872</v>
      </c>
      <c r="I239" s="172" t="s">
        <v>872</v>
      </c>
      <c r="J239" s="172" t="s">
        <v>872</v>
      </c>
      <c r="K239" s="172" t="s">
        <v>872</v>
      </c>
      <c r="L239" s="172" t="s">
        <v>873</v>
      </c>
      <c r="M239" s="172" t="s">
        <v>872</v>
      </c>
      <c r="N239" s="172" t="s">
        <v>872</v>
      </c>
      <c r="O239" s="172" t="s">
        <v>872</v>
      </c>
      <c r="P239" s="172" t="s">
        <v>872</v>
      </c>
      <c r="Q239" s="172" t="s">
        <v>872</v>
      </c>
      <c r="R239" s="172" t="s">
        <v>872</v>
      </c>
      <c r="S239" s="172" t="s">
        <v>872</v>
      </c>
    </row>
    <row r="240" spans="1:19" ht="13.5" thickBot="1" x14ac:dyDescent="0.25">
      <c r="A240" s="2" t="s">
        <v>166</v>
      </c>
      <c r="B240" s="1" t="s">
        <v>165</v>
      </c>
      <c r="C240" s="2" t="s">
        <v>29</v>
      </c>
      <c r="D240" s="2" t="s">
        <v>1824</v>
      </c>
      <c r="E240" s="6">
        <v>60000</v>
      </c>
      <c r="F240" s="6">
        <v>60000</v>
      </c>
      <c r="G240" s="4">
        <v>40</v>
      </c>
      <c r="H240" s="172" t="s">
        <v>872</v>
      </c>
      <c r="I240" s="172" t="s">
        <v>873</v>
      </c>
      <c r="J240" s="172" t="s">
        <v>873</v>
      </c>
      <c r="K240" s="172" t="s">
        <v>873</v>
      </c>
      <c r="L240" s="172" t="s">
        <v>873</v>
      </c>
      <c r="M240" s="172" t="s">
        <v>872</v>
      </c>
      <c r="N240" s="172" t="s">
        <v>872</v>
      </c>
      <c r="O240" s="172" t="s">
        <v>872</v>
      </c>
      <c r="P240" s="172" t="s">
        <v>872</v>
      </c>
      <c r="Q240" s="172" t="s">
        <v>873</v>
      </c>
      <c r="R240" s="172" t="s">
        <v>873</v>
      </c>
      <c r="S240" s="172" t="s">
        <v>873</v>
      </c>
    </row>
    <row r="241" spans="1:19" ht="13.5" thickBot="1" x14ac:dyDescent="0.25">
      <c r="A241" s="2" t="s">
        <v>170</v>
      </c>
      <c r="B241" s="1" t="s">
        <v>169</v>
      </c>
      <c r="C241" s="2" t="s">
        <v>29</v>
      </c>
      <c r="D241" s="2" t="s">
        <v>1823</v>
      </c>
      <c r="E241" s="6">
        <v>50000</v>
      </c>
      <c r="F241" s="6">
        <v>53560</v>
      </c>
      <c r="G241" s="4">
        <v>40</v>
      </c>
      <c r="H241" s="172" t="s">
        <v>873</v>
      </c>
      <c r="I241" s="172" t="s">
        <v>873</v>
      </c>
      <c r="J241" s="172" t="s">
        <v>873</v>
      </c>
      <c r="K241" s="172" t="s">
        <v>872</v>
      </c>
      <c r="L241" s="172" t="s">
        <v>872</v>
      </c>
      <c r="M241" s="172" t="s">
        <v>872</v>
      </c>
      <c r="N241" s="172" t="s">
        <v>872</v>
      </c>
      <c r="O241" s="172" t="s">
        <v>872</v>
      </c>
      <c r="P241" s="172" t="s">
        <v>872</v>
      </c>
      <c r="Q241" s="172" t="s">
        <v>872</v>
      </c>
      <c r="R241" s="172" t="s">
        <v>872</v>
      </c>
      <c r="S241" s="172" t="s">
        <v>872</v>
      </c>
    </row>
    <row r="242" spans="1:19" ht="13.5" thickBot="1" x14ac:dyDescent="0.25">
      <c r="A242" s="2" t="s">
        <v>174</v>
      </c>
      <c r="B242" s="1" t="s">
        <v>173</v>
      </c>
      <c r="C242" s="2" t="s">
        <v>29</v>
      </c>
      <c r="D242" s="2" t="s">
        <v>1823</v>
      </c>
      <c r="E242" s="6">
        <v>45000</v>
      </c>
      <c r="F242" s="6">
        <v>63000</v>
      </c>
      <c r="G242" s="4">
        <v>40</v>
      </c>
      <c r="H242" s="172" t="s">
        <v>872</v>
      </c>
      <c r="I242" s="172" t="s">
        <v>872</v>
      </c>
      <c r="J242" s="172" t="s">
        <v>872</v>
      </c>
      <c r="K242" s="172" t="s">
        <v>872</v>
      </c>
      <c r="L242" s="172" t="s">
        <v>872</v>
      </c>
      <c r="M242" s="172" t="s">
        <v>872</v>
      </c>
      <c r="N242" s="172" t="s">
        <v>872</v>
      </c>
      <c r="O242" s="172" t="s">
        <v>873</v>
      </c>
      <c r="P242" s="172" t="s">
        <v>872</v>
      </c>
      <c r="Q242" s="172" t="s">
        <v>873</v>
      </c>
      <c r="R242" s="172" t="s">
        <v>873</v>
      </c>
      <c r="S242" s="172" t="s">
        <v>872</v>
      </c>
    </row>
    <row r="243" spans="1:19" ht="13.5" thickBot="1" x14ac:dyDescent="0.25">
      <c r="A243" s="2" t="s">
        <v>176</v>
      </c>
      <c r="B243" s="1" t="s">
        <v>175</v>
      </c>
      <c r="C243" s="2" t="s">
        <v>29</v>
      </c>
      <c r="D243" s="2" t="s">
        <v>1823</v>
      </c>
      <c r="E243" s="6">
        <v>64109</v>
      </c>
      <c r="F243" s="6">
        <v>84784</v>
      </c>
      <c r="G243" s="4">
        <v>40</v>
      </c>
      <c r="H243" s="172" t="s">
        <v>872</v>
      </c>
      <c r="I243" s="172" t="s">
        <v>872</v>
      </c>
      <c r="J243" s="172" t="s">
        <v>873</v>
      </c>
      <c r="K243" s="172" t="s">
        <v>872</v>
      </c>
      <c r="L243" s="172" t="s">
        <v>873</v>
      </c>
      <c r="M243" s="172" t="s">
        <v>872</v>
      </c>
      <c r="N243" s="172" t="s">
        <v>872</v>
      </c>
      <c r="O243" s="172" t="s">
        <v>872</v>
      </c>
      <c r="P243" s="172" t="s">
        <v>872</v>
      </c>
      <c r="Q243" s="172" t="s">
        <v>872</v>
      </c>
      <c r="R243" s="172" t="s">
        <v>872</v>
      </c>
      <c r="S243" s="172" t="s">
        <v>873</v>
      </c>
    </row>
    <row r="244" spans="1:19" ht="13.5" thickBot="1" x14ac:dyDescent="0.25">
      <c r="A244" s="2" t="s">
        <v>190</v>
      </c>
      <c r="B244" s="1" t="s">
        <v>189</v>
      </c>
      <c r="C244" s="2" t="s">
        <v>29</v>
      </c>
      <c r="D244" s="2" t="s">
        <v>1823</v>
      </c>
      <c r="E244" s="6">
        <v>41000</v>
      </c>
      <c r="F244" s="6">
        <v>65000</v>
      </c>
      <c r="G244" s="4">
        <v>40</v>
      </c>
      <c r="H244" s="172" t="s">
        <v>872</v>
      </c>
      <c r="I244" s="172" t="s">
        <v>873</v>
      </c>
      <c r="J244" s="172" t="s">
        <v>873</v>
      </c>
      <c r="K244" s="172" t="s">
        <v>873</v>
      </c>
      <c r="L244" s="172" t="s">
        <v>873</v>
      </c>
      <c r="M244" s="172" t="s">
        <v>872</v>
      </c>
      <c r="N244" s="172" t="s">
        <v>872</v>
      </c>
      <c r="O244" s="172" t="s">
        <v>872</v>
      </c>
      <c r="P244" s="172" t="s">
        <v>872</v>
      </c>
      <c r="Q244" s="172" t="s">
        <v>873</v>
      </c>
      <c r="R244" s="172" t="s">
        <v>873</v>
      </c>
      <c r="S244" s="172" t="s">
        <v>873</v>
      </c>
    </row>
    <row r="245" spans="1:19" ht="13.5" thickBot="1" x14ac:dyDescent="0.25">
      <c r="A245" s="2" t="s">
        <v>200</v>
      </c>
      <c r="B245" s="1" t="s">
        <v>199</v>
      </c>
      <c r="C245" s="2" t="s">
        <v>29</v>
      </c>
      <c r="D245" s="2" t="s">
        <v>1823</v>
      </c>
      <c r="E245" s="6">
        <v>54000</v>
      </c>
      <c r="F245" s="6">
        <v>63000</v>
      </c>
      <c r="G245" s="4">
        <v>38</v>
      </c>
      <c r="H245" s="172" t="s">
        <v>872</v>
      </c>
      <c r="I245" s="172" t="s">
        <v>872</v>
      </c>
      <c r="J245" s="172" t="s">
        <v>872</v>
      </c>
      <c r="K245" s="172" t="s">
        <v>873</v>
      </c>
      <c r="L245" s="172" t="s">
        <v>872</v>
      </c>
      <c r="M245" s="172" t="s">
        <v>872</v>
      </c>
      <c r="N245" s="172" t="s">
        <v>872</v>
      </c>
      <c r="O245" s="172" t="s">
        <v>872</v>
      </c>
      <c r="P245" s="172" t="s">
        <v>872</v>
      </c>
      <c r="Q245" s="172" t="s">
        <v>872</v>
      </c>
      <c r="R245" s="172" t="s">
        <v>872</v>
      </c>
      <c r="S245" s="172" t="s">
        <v>873</v>
      </c>
    </row>
    <row r="246" spans="1:19" ht="13.5" thickBot="1" x14ac:dyDescent="0.25">
      <c r="A246" s="2" t="s">
        <v>206</v>
      </c>
      <c r="B246" s="1" t="s">
        <v>205</v>
      </c>
      <c r="C246" s="2" t="s">
        <v>29</v>
      </c>
      <c r="D246" s="2" t="s">
        <v>973</v>
      </c>
      <c r="E246" s="6">
        <v>40000</v>
      </c>
      <c r="F246" s="6">
        <v>90000</v>
      </c>
      <c r="G246" s="4">
        <v>40</v>
      </c>
      <c r="H246" s="172" t="s">
        <v>872</v>
      </c>
      <c r="I246" s="172" t="s">
        <v>872</v>
      </c>
      <c r="J246" s="172" t="s">
        <v>872</v>
      </c>
      <c r="K246" s="172" t="s">
        <v>872</v>
      </c>
      <c r="L246" s="172" t="s">
        <v>872</v>
      </c>
      <c r="M246" s="172" t="s">
        <v>872</v>
      </c>
      <c r="N246" s="172" t="s">
        <v>872</v>
      </c>
      <c r="O246" s="172" t="s">
        <v>872</v>
      </c>
      <c r="P246" s="172" t="s">
        <v>872</v>
      </c>
      <c r="Q246" s="172" t="s">
        <v>873</v>
      </c>
      <c r="R246" s="172" t="s">
        <v>873</v>
      </c>
      <c r="S246" s="172" t="s">
        <v>872</v>
      </c>
    </row>
    <row r="247" spans="1:19" ht="13.5" thickBot="1" x14ac:dyDescent="0.25">
      <c r="A247" s="2" t="s">
        <v>235</v>
      </c>
      <c r="B247" s="1" t="s">
        <v>234</v>
      </c>
      <c r="C247" s="2" t="s">
        <v>29</v>
      </c>
      <c r="D247" s="2" t="s">
        <v>1823</v>
      </c>
      <c r="E247" s="6">
        <v>63037</v>
      </c>
      <c r="F247" s="6">
        <v>66000</v>
      </c>
      <c r="G247" s="4">
        <v>40</v>
      </c>
      <c r="H247" s="172" t="s">
        <v>872</v>
      </c>
      <c r="I247" s="172" t="s">
        <v>872</v>
      </c>
      <c r="J247" s="172" t="s">
        <v>872</v>
      </c>
      <c r="K247" s="172" t="s">
        <v>872</v>
      </c>
      <c r="L247" s="172" t="s">
        <v>873</v>
      </c>
      <c r="M247" s="172" t="s">
        <v>872</v>
      </c>
      <c r="N247" s="172" t="s">
        <v>872</v>
      </c>
      <c r="O247" s="172" t="s">
        <v>873</v>
      </c>
      <c r="P247" s="172" t="s">
        <v>872</v>
      </c>
      <c r="Q247" s="172" t="s">
        <v>873</v>
      </c>
      <c r="R247" s="172" t="s">
        <v>873</v>
      </c>
      <c r="S247" s="172" t="s">
        <v>873</v>
      </c>
    </row>
    <row r="248" spans="1:19" ht="13.5" thickBot="1" x14ac:dyDescent="0.25">
      <c r="A248" s="2" t="s">
        <v>237</v>
      </c>
      <c r="B248" s="1" t="s">
        <v>236</v>
      </c>
      <c r="C248" s="2" t="s">
        <v>29</v>
      </c>
      <c r="D248" s="2" t="s">
        <v>1823</v>
      </c>
      <c r="E248" s="6">
        <v>60000</v>
      </c>
      <c r="F248" s="6">
        <v>78000</v>
      </c>
      <c r="G248" s="4">
        <v>47</v>
      </c>
      <c r="H248" s="172" t="s">
        <v>872</v>
      </c>
      <c r="I248" s="172" t="s">
        <v>873</v>
      </c>
      <c r="J248" s="172" t="s">
        <v>873</v>
      </c>
      <c r="K248" s="172" t="s">
        <v>872</v>
      </c>
      <c r="L248" s="172" t="s">
        <v>873</v>
      </c>
      <c r="M248" s="172" t="s">
        <v>872</v>
      </c>
      <c r="N248" s="172" t="s">
        <v>872</v>
      </c>
      <c r="O248" s="172" t="s">
        <v>873</v>
      </c>
      <c r="P248" s="172" t="s">
        <v>872</v>
      </c>
      <c r="Q248" s="172" t="s">
        <v>872</v>
      </c>
      <c r="R248" s="172" t="s">
        <v>872</v>
      </c>
      <c r="S248" s="172" t="s">
        <v>872</v>
      </c>
    </row>
    <row r="249" spans="1:19" ht="13.5" thickBot="1" x14ac:dyDescent="0.25">
      <c r="A249" s="2" t="s">
        <v>245</v>
      </c>
      <c r="B249" s="1" t="s">
        <v>244</v>
      </c>
      <c r="C249" s="2" t="s">
        <v>29</v>
      </c>
      <c r="D249" s="2" t="s">
        <v>1823</v>
      </c>
      <c r="E249" s="6">
        <v>48000</v>
      </c>
      <c r="F249" s="6">
        <v>55341</v>
      </c>
      <c r="G249" s="4">
        <v>40</v>
      </c>
      <c r="H249" s="172" t="s">
        <v>872</v>
      </c>
      <c r="I249" s="172" t="s">
        <v>872</v>
      </c>
      <c r="J249" s="172" t="s">
        <v>872</v>
      </c>
      <c r="K249" s="172" t="s">
        <v>872</v>
      </c>
      <c r="L249" s="172" t="s">
        <v>872</v>
      </c>
      <c r="M249" s="172" t="s">
        <v>872</v>
      </c>
      <c r="N249" s="172" t="s">
        <v>872</v>
      </c>
      <c r="O249" s="172" t="s">
        <v>872</v>
      </c>
      <c r="P249" s="172" t="s">
        <v>872</v>
      </c>
      <c r="Q249" s="172" t="s">
        <v>873</v>
      </c>
      <c r="R249" s="172" t="s">
        <v>873</v>
      </c>
      <c r="S249" s="172" t="s">
        <v>873</v>
      </c>
    </row>
    <row r="250" spans="1:19" ht="13.5" thickBot="1" x14ac:dyDescent="0.25">
      <c r="A250" s="2" t="s">
        <v>255</v>
      </c>
      <c r="B250" s="1" t="s">
        <v>254</v>
      </c>
      <c r="C250" s="2" t="s">
        <v>29</v>
      </c>
      <c r="D250" s="2" t="s">
        <v>1823</v>
      </c>
      <c r="E250" s="6">
        <v>44209</v>
      </c>
      <c r="F250" s="6">
        <v>55287</v>
      </c>
      <c r="G250" s="4">
        <v>40</v>
      </c>
      <c r="H250" s="172" t="s">
        <v>872</v>
      </c>
      <c r="I250" s="172" t="s">
        <v>872</v>
      </c>
      <c r="J250" s="172" t="s">
        <v>872</v>
      </c>
      <c r="K250" s="172" t="s">
        <v>872</v>
      </c>
      <c r="L250" s="172" t="s">
        <v>873</v>
      </c>
      <c r="M250" s="172" t="s">
        <v>872</v>
      </c>
      <c r="N250" s="172" t="s">
        <v>872</v>
      </c>
      <c r="O250" s="172" t="s">
        <v>872</v>
      </c>
      <c r="P250" s="172" t="s">
        <v>872</v>
      </c>
      <c r="Q250" s="172" t="s">
        <v>872</v>
      </c>
      <c r="R250" s="172" t="s">
        <v>872</v>
      </c>
      <c r="S250" s="172" t="s">
        <v>872</v>
      </c>
    </row>
    <row r="251" spans="1:19" ht="13.5" thickBot="1" x14ac:dyDescent="0.25">
      <c r="A251" s="2" t="s">
        <v>271</v>
      </c>
      <c r="B251" s="1" t="s">
        <v>270</v>
      </c>
      <c r="C251" s="2" t="s">
        <v>29</v>
      </c>
      <c r="D251" s="2" t="s">
        <v>1823</v>
      </c>
      <c r="E251" s="6">
        <v>45000</v>
      </c>
      <c r="F251" s="6">
        <v>66619</v>
      </c>
      <c r="G251" s="4">
        <v>40</v>
      </c>
      <c r="H251" s="172" t="s">
        <v>872</v>
      </c>
      <c r="I251" s="172" t="s">
        <v>872</v>
      </c>
      <c r="J251" s="172" t="s">
        <v>872</v>
      </c>
      <c r="K251" s="172" t="s">
        <v>872</v>
      </c>
      <c r="L251" s="172" t="s">
        <v>872</v>
      </c>
      <c r="M251" s="172" t="s">
        <v>872</v>
      </c>
      <c r="N251" s="172" t="s">
        <v>872</v>
      </c>
      <c r="O251" s="172" t="s">
        <v>872</v>
      </c>
      <c r="P251" s="172" t="s">
        <v>872</v>
      </c>
      <c r="Q251" s="172" t="s">
        <v>872</v>
      </c>
      <c r="R251" s="172" t="s">
        <v>873</v>
      </c>
      <c r="S251" s="172" t="s">
        <v>872</v>
      </c>
    </row>
    <row r="252" spans="1:19" ht="13.5" thickBot="1" x14ac:dyDescent="0.25">
      <c r="A252" s="2" t="s">
        <v>279</v>
      </c>
      <c r="B252" s="1" t="s">
        <v>278</v>
      </c>
      <c r="C252" s="2" t="s">
        <v>29</v>
      </c>
      <c r="D252" s="2" t="s">
        <v>1823</v>
      </c>
      <c r="E252" s="6">
        <v>46500</v>
      </c>
      <c r="F252" s="6">
        <v>63000</v>
      </c>
      <c r="G252" s="4">
        <v>40</v>
      </c>
      <c r="H252" s="172" t="s">
        <v>873</v>
      </c>
      <c r="I252" s="172" t="s">
        <v>873</v>
      </c>
      <c r="J252" s="172" t="s">
        <v>873</v>
      </c>
      <c r="K252" s="172" t="s">
        <v>873</v>
      </c>
      <c r="L252" s="172" t="s">
        <v>872</v>
      </c>
      <c r="M252" s="172" t="s">
        <v>872</v>
      </c>
      <c r="N252" s="172" t="s">
        <v>872</v>
      </c>
      <c r="O252" s="172" t="s">
        <v>872</v>
      </c>
      <c r="P252" s="172" t="s">
        <v>872</v>
      </c>
      <c r="Q252" s="172" t="s">
        <v>873</v>
      </c>
      <c r="R252" s="172" t="s">
        <v>873</v>
      </c>
      <c r="S252" s="172" t="s">
        <v>873</v>
      </c>
    </row>
    <row r="253" spans="1:19" ht="13.5" thickBot="1" x14ac:dyDescent="0.25">
      <c r="A253" s="2" t="s">
        <v>281</v>
      </c>
      <c r="B253" s="1" t="s">
        <v>280</v>
      </c>
      <c r="C253" s="2" t="s">
        <v>29</v>
      </c>
      <c r="D253" s="2" t="s">
        <v>1824</v>
      </c>
      <c r="E253" s="6">
        <v>70000</v>
      </c>
      <c r="F253" s="6">
        <v>82000</v>
      </c>
      <c r="G253" s="4">
        <v>40</v>
      </c>
      <c r="H253" s="172" t="s">
        <v>872</v>
      </c>
      <c r="I253" s="172" t="s">
        <v>872</v>
      </c>
      <c r="J253" s="172" t="s">
        <v>872</v>
      </c>
      <c r="K253" s="172" t="s">
        <v>872</v>
      </c>
      <c r="L253" s="172" t="s">
        <v>873</v>
      </c>
      <c r="M253" s="172" t="s">
        <v>872</v>
      </c>
      <c r="N253" s="172" t="s">
        <v>872</v>
      </c>
      <c r="O253" s="172" t="s">
        <v>872</v>
      </c>
      <c r="P253" s="172" t="s">
        <v>872</v>
      </c>
      <c r="Q253" s="172" t="s">
        <v>873</v>
      </c>
      <c r="R253" s="172" t="s">
        <v>872</v>
      </c>
      <c r="S253" s="172" t="s">
        <v>873</v>
      </c>
    </row>
    <row r="254" spans="1:19" ht="13.5" thickBot="1" x14ac:dyDescent="0.25">
      <c r="A254" s="2" t="s">
        <v>285</v>
      </c>
      <c r="B254" s="1" t="s">
        <v>284</v>
      </c>
      <c r="C254" s="2" t="s">
        <v>29</v>
      </c>
      <c r="D254" s="2" t="s">
        <v>1824</v>
      </c>
      <c r="E254" s="6">
        <v>52623</v>
      </c>
      <c r="F254" s="6">
        <v>58000</v>
      </c>
      <c r="G254" s="4">
        <v>40</v>
      </c>
      <c r="H254" s="172" t="s">
        <v>872</v>
      </c>
      <c r="I254" s="172" t="s">
        <v>872</v>
      </c>
      <c r="J254" s="172" t="s">
        <v>872</v>
      </c>
      <c r="K254" s="172" t="s">
        <v>872</v>
      </c>
      <c r="L254" s="172" t="s">
        <v>873</v>
      </c>
      <c r="M254" s="172" t="s">
        <v>872</v>
      </c>
      <c r="N254" s="172" t="s">
        <v>872</v>
      </c>
      <c r="O254" s="172" t="s">
        <v>873</v>
      </c>
      <c r="P254" s="172" t="s">
        <v>872</v>
      </c>
      <c r="Q254" s="172" t="s">
        <v>873</v>
      </c>
      <c r="R254" s="172" t="s">
        <v>873</v>
      </c>
      <c r="S254" s="172" t="s">
        <v>873</v>
      </c>
    </row>
    <row r="255" spans="1:19" ht="13.5" thickBot="1" x14ac:dyDescent="0.25">
      <c r="A255" s="2" t="s">
        <v>287</v>
      </c>
      <c r="B255" s="1" t="s">
        <v>286</v>
      </c>
      <c r="C255" s="2" t="s">
        <v>29</v>
      </c>
      <c r="D255" s="2" t="s">
        <v>1824</v>
      </c>
      <c r="E255" s="6">
        <v>50000</v>
      </c>
      <c r="F255" s="6">
        <v>52523</v>
      </c>
      <c r="G255" s="4">
        <v>40</v>
      </c>
      <c r="H255" s="172" t="s">
        <v>873</v>
      </c>
      <c r="I255" s="172" t="s">
        <v>873</v>
      </c>
      <c r="J255" s="172" t="s">
        <v>873</v>
      </c>
      <c r="K255" s="172" t="s">
        <v>873</v>
      </c>
      <c r="L255" s="172" t="s">
        <v>873</v>
      </c>
      <c r="M255" s="172" t="s">
        <v>872</v>
      </c>
      <c r="N255" s="172" t="s">
        <v>872</v>
      </c>
      <c r="O255" s="172" t="s">
        <v>873</v>
      </c>
      <c r="P255" s="172" t="s">
        <v>872</v>
      </c>
      <c r="Q255" s="172" t="s">
        <v>873</v>
      </c>
      <c r="R255" s="172" t="s">
        <v>873</v>
      </c>
      <c r="S255" s="172" t="s">
        <v>873</v>
      </c>
    </row>
    <row r="256" spans="1:19" ht="13.5" thickBot="1" x14ac:dyDescent="0.25">
      <c r="A256" s="2" t="s">
        <v>295</v>
      </c>
      <c r="B256" s="1" t="s">
        <v>294</v>
      </c>
      <c r="C256" s="2" t="s">
        <v>29</v>
      </c>
      <c r="D256" s="2" t="s">
        <v>1824</v>
      </c>
      <c r="E256" s="6">
        <v>45000</v>
      </c>
      <c r="F256" s="6">
        <v>80000</v>
      </c>
      <c r="G256" s="4">
        <v>40</v>
      </c>
      <c r="H256" s="172" t="s">
        <v>872</v>
      </c>
      <c r="I256" s="172" t="s">
        <v>872</v>
      </c>
      <c r="J256" s="172" t="s">
        <v>872</v>
      </c>
      <c r="K256" s="172" t="s">
        <v>873</v>
      </c>
      <c r="L256" s="172" t="s">
        <v>872</v>
      </c>
      <c r="M256" s="172" t="s">
        <v>872</v>
      </c>
      <c r="N256" s="172" t="s">
        <v>872</v>
      </c>
      <c r="O256" s="172" t="s">
        <v>872</v>
      </c>
      <c r="P256" s="172" t="s">
        <v>872</v>
      </c>
      <c r="Q256" s="172" t="s">
        <v>873</v>
      </c>
      <c r="R256" s="172" t="s">
        <v>873</v>
      </c>
      <c r="S256" s="172" t="s">
        <v>873</v>
      </c>
    </row>
    <row r="257" spans="1:19" ht="13.5" thickBot="1" x14ac:dyDescent="0.25">
      <c r="A257" s="2" t="s">
        <v>301</v>
      </c>
      <c r="B257" s="1" t="s">
        <v>300</v>
      </c>
      <c r="C257" s="2" t="s">
        <v>29</v>
      </c>
      <c r="D257" s="2" t="s">
        <v>1824</v>
      </c>
      <c r="E257" s="6">
        <v>48253</v>
      </c>
      <c r="F257" s="6">
        <v>50168</v>
      </c>
      <c r="G257" s="4">
        <v>29</v>
      </c>
      <c r="H257" s="172" t="s">
        <v>873</v>
      </c>
      <c r="I257" s="172" t="s">
        <v>873</v>
      </c>
      <c r="J257" s="172" t="s">
        <v>873</v>
      </c>
      <c r="K257" s="172" t="s">
        <v>873</v>
      </c>
      <c r="L257" s="172" t="s">
        <v>873</v>
      </c>
      <c r="M257" s="172" t="s">
        <v>872</v>
      </c>
      <c r="N257" s="172" t="s">
        <v>872</v>
      </c>
      <c r="O257" s="172" t="s">
        <v>873</v>
      </c>
      <c r="P257" s="172" t="s">
        <v>872</v>
      </c>
      <c r="Q257" s="172" t="s">
        <v>873</v>
      </c>
      <c r="R257" s="172" t="s">
        <v>873</v>
      </c>
      <c r="S257" s="172" t="s">
        <v>873</v>
      </c>
    </row>
    <row r="258" spans="1:19" ht="13.5" thickBot="1" x14ac:dyDescent="0.25">
      <c r="A258" s="2" t="s">
        <v>305</v>
      </c>
      <c r="B258" s="1" t="s">
        <v>304</v>
      </c>
      <c r="C258" s="2" t="s">
        <v>29</v>
      </c>
      <c r="D258" s="2" t="s">
        <v>1823</v>
      </c>
      <c r="E258" s="6">
        <v>54825</v>
      </c>
      <c r="F258" s="6">
        <v>58994</v>
      </c>
      <c r="G258" s="4">
        <v>40</v>
      </c>
      <c r="H258" s="172" t="s">
        <v>872</v>
      </c>
      <c r="I258" s="172" t="s">
        <v>872</v>
      </c>
      <c r="J258" s="172" t="s">
        <v>873</v>
      </c>
      <c r="K258" s="172" t="s">
        <v>872</v>
      </c>
      <c r="L258" s="172" t="s">
        <v>872</v>
      </c>
      <c r="M258" s="172" t="s">
        <v>872</v>
      </c>
      <c r="N258" s="172" t="s">
        <v>872</v>
      </c>
      <c r="O258" s="172" t="s">
        <v>872</v>
      </c>
      <c r="P258" s="172" t="s">
        <v>872</v>
      </c>
      <c r="Q258" s="172" t="s">
        <v>872</v>
      </c>
      <c r="R258" s="172" t="s">
        <v>873</v>
      </c>
      <c r="S258" s="172" t="s">
        <v>873</v>
      </c>
    </row>
    <row r="259" spans="1:19" ht="13.5" thickBot="1" x14ac:dyDescent="0.25">
      <c r="A259" s="2" t="s">
        <v>307</v>
      </c>
      <c r="B259" s="1" t="s">
        <v>306</v>
      </c>
      <c r="C259" s="2" t="s">
        <v>29</v>
      </c>
      <c r="D259" s="2" t="s">
        <v>1824</v>
      </c>
      <c r="E259" s="6">
        <v>45000</v>
      </c>
      <c r="F259" s="6">
        <v>45000</v>
      </c>
      <c r="G259" s="4">
        <v>45</v>
      </c>
      <c r="H259" s="172" t="s">
        <v>872</v>
      </c>
      <c r="I259" s="172" t="s">
        <v>873</v>
      </c>
      <c r="J259" s="172" t="s">
        <v>873</v>
      </c>
      <c r="K259" s="172" t="s">
        <v>873</v>
      </c>
      <c r="L259" s="172" t="s">
        <v>873</v>
      </c>
      <c r="M259" s="172" t="s">
        <v>873</v>
      </c>
      <c r="N259" s="172" t="s">
        <v>873</v>
      </c>
      <c r="O259" s="172" t="s">
        <v>873</v>
      </c>
      <c r="P259" s="172" t="s">
        <v>873</v>
      </c>
      <c r="Q259" s="172" t="s">
        <v>873</v>
      </c>
      <c r="R259" s="172" t="s">
        <v>873</v>
      </c>
      <c r="S259" s="172" t="s">
        <v>873</v>
      </c>
    </row>
    <row r="260" spans="1:19" ht="13.5" thickBot="1" x14ac:dyDescent="0.25">
      <c r="A260" s="2" t="s">
        <v>325</v>
      </c>
      <c r="B260" s="1" t="s">
        <v>324</v>
      </c>
      <c r="C260" s="2" t="s">
        <v>29</v>
      </c>
      <c r="D260" s="2" t="s">
        <v>1823</v>
      </c>
      <c r="E260" s="6">
        <v>54000</v>
      </c>
      <c r="F260" s="6">
        <v>54000</v>
      </c>
      <c r="G260" s="4">
        <v>40</v>
      </c>
      <c r="H260" s="172" t="s">
        <v>872</v>
      </c>
      <c r="I260" s="172" t="s">
        <v>872</v>
      </c>
      <c r="J260" s="172" t="s">
        <v>872</v>
      </c>
      <c r="K260" s="172" t="s">
        <v>873</v>
      </c>
      <c r="L260" s="172" t="s">
        <v>872</v>
      </c>
      <c r="M260" s="172" t="s">
        <v>872</v>
      </c>
      <c r="N260" s="172" t="s">
        <v>872</v>
      </c>
      <c r="O260" s="172" t="s">
        <v>873</v>
      </c>
      <c r="P260" s="172" t="s">
        <v>872</v>
      </c>
      <c r="Q260" s="172" t="s">
        <v>873</v>
      </c>
      <c r="R260" s="172" t="s">
        <v>873</v>
      </c>
      <c r="S260" s="172" t="s">
        <v>873</v>
      </c>
    </row>
    <row r="261" spans="1:19" ht="13.5" thickBot="1" x14ac:dyDescent="0.25">
      <c r="A261" s="2" t="s">
        <v>333</v>
      </c>
      <c r="B261" s="1" t="s">
        <v>332</v>
      </c>
      <c r="C261" s="2" t="s">
        <v>29</v>
      </c>
      <c r="D261" s="2" t="s">
        <v>1823</v>
      </c>
      <c r="E261" s="6">
        <v>60000</v>
      </c>
      <c r="F261" s="6">
        <v>80000</v>
      </c>
      <c r="G261" s="4">
        <v>40</v>
      </c>
      <c r="H261" s="172" t="s">
        <v>873</v>
      </c>
      <c r="I261" s="172" t="s">
        <v>873</v>
      </c>
      <c r="J261" s="172" t="s">
        <v>873</v>
      </c>
      <c r="K261" s="172" t="s">
        <v>872</v>
      </c>
      <c r="L261" s="172" t="s">
        <v>872</v>
      </c>
      <c r="M261" s="172" t="s">
        <v>872</v>
      </c>
      <c r="N261" s="172" t="s">
        <v>872</v>
      </c>
      <c r="O261" s="172" t="s">
        <v>873</v>
      </c>
      <c r="P261" s="172" t="s">
        <v>872</v>
      </c>
      <c r="Q261" s="172" t="s">
        <v>872</v>
      </c>
      <c r="R261" s="172" t="s">
        <v>872</v>
      </c>
      <c r="S261" s="172" t="s">
        <v>873</v>
      </c>
    </row>
    <row r="262" spans="1:19" ht="13.5" thickBot="1" x14ac:dyDescent="0.25">
      <c r="A262" s="2" t="s">
        <v>343</v>
      </c>
      <c r="B262" s="1" t="s">
        <v>342</v>
      </c>
      <c r="C262" s="2" t="s">
        <v>29</v>
      </c>
      <c r="D262" s="2" t="s">
        <v>1823</v>
      </c>
      <c r="E262" s="6">
        <v>75941</v>
      </c>
      <c r="F262" s="6">
        <v>75941</v>
      </c>
      <c r="G262" s="4">
        <v>40</v>
      </c>
      <c r="H262" s="172" t="s">
        <v>872</v>
      </c>
      <c r="I262" s="172" t="s">
        <v>872</v>
      </c>
      <c r="J262" s="172" t="s">
        <v>872</v>
      </c>
      <c r="K262" s="172" t="s">
        <v>872</v>
      </c>
      <c r="L262" s="172" t="s">
        <v>873</v>
      </c>
      <c r="M262" s="172" t="s">
        <v>872</v>
      </c>
      <c r="N262" s="172" t="s">
        <v>872</v>
      </c>
      <c r="O262" s="172" t="s">
        <v>872</v>
      </c>
      <c r="P262" s="172" t="s">
        <v>872</v>
      </c>
      <c r="Q262" s="172" t="s">
        <v>872</v>
      </c>
      <c r="R262" s="172" t="s">
        <v>872</v>
      </c>
      <c r="S262" s="172" t="s">
        <v>873</v>
      </c>
    </row>
    <row r="263" spans="1:19" ht="13.5" thickBot="1" x14ac:dyDescent="0.25">
      <c r="A263" s="2" t="s">
        <v>345</v>
      </c>
      <c r="B263" s="1" t="s">
        <v>344</v>
      </c>
      <c r="C263" s="2" t="s">
        <v>29</v>
      </c>
      <c r="D263" s="2" t="s">
        <v>1823</v>
      </c>
      <c r="E263" s="6">
        <v>45000</v>
      </c>
      <c r="F263" s="6">
        <v>68000</v>
      </c>
      <c r="G263" s="4">
        <v>40</v>
      </c>
      <c r="H263" s="172" t="s">
        <v>872</v>
      </c>
      <c r="I263" s="172" t="s">
        <v>872</v>
      </c>
      <c r="J263" s="172" t="s">
        <v>872</v>
      </c>
      <c r="K263" s="172" t="s">
        <v>873</v>
      </c>
      <c r="L263" s="172" t="s">
        <v>872</v>
      </c>
      <c r="M263" s="172" t="s">
        <v>872</v>
      </c>
      <c r="N263" s="172" t="s">
        <v>872</v>
      </c>
      <c r="O263" s="172" t="s">
        <v>872</v>
      </c>
      <c r="P263" s="172" t="s">
        <v>872</v>
      </c>
      <c r="Q263" s="172" t="s">
        <v>873</v>
      </c>
      <c r="R263" s="172" t="s">
        <v>873</v>
      </c>
      <c r="S263" s="172" t="s">
        <v>873</v>
      </c>
    </row>
    <row r="264" spans="1:19" ht="13.5" thickBot="1" x14ac:dyDescent="0.25">
      <c r="A264" s="2" t="s">
        <v>351</v>
      </c>
      <c r="B264" s="1" t="s">
        <v>350</v>
      </c>
      <c r="C264" s="2" t="s">
        <v>29</v>
      </c>
      <c r="D264" s="2" t="s">
        <v>1823</v>
      </c>
      <c r="E264" s="6">
        <v>55000</v>
      </c>
      <c r="F264" s="6">
        <v>60000</v>
      </c>
      <c r="G264" s="4">
        <v>38</v>
      </c>
      <c r="H264" s="172" t="s">
        <v>872</v>
      </c>
      <c r="I264" s="172" t="s">
        <v>872</v>
      </c>
      <c r="J264" s="172" t="s">
        <v>872</v>
      </c>
      <c r="K264" s="172" t="s">
        <v>872</v>
      </c>
      <c r="L264" s="172" t="s">
        <v>872</v>
      </c>
      <c r="M264" s="172" t="s">
        <v>872</v>
      </c>
      <c r="N264" s="172" t="s">
        <v>872</v>
      </c>
      <c r="O264" s="172" t="s">
        <v>872</v>
      </c>
      <c r="P264" s="172" t="s">
        <v>872</v>
      </c>
      <c r="Q264" s="172" t="s">
        <v>872</v>
      </c>
      <c r="R264" s="172" t="s">
        <v>873</v>
      </c>
      <c r="S264" s="172" t="s">
        <v>872</v>
      </c>
    </row>
    <row r="265" spans="1:19" ht="13.5" thickBot="1" x14ac:dyDescent="0.25">
      <c r="A265" s="2" t="s">
        <v>353</v>
      </c>
      <c r="B265" s="1" t="s">
        <v>352</v>
      </c>
      <c r="C265" s="2" t="s">
        <v>29</v>
      </c>
      <c r="D265" s="2" t="s">
        <v>1823</v>
      </c>
      <c r="E265" s="6">
        <v>25000</v>
      </c>
      <c r="F265" s="6">
        <v>50000</v>
      </c>
      <c r="G265" s="4">
        <v>35</v>
      </c>
      <c r="H265" s="172" t="s">
        <v>873</v>
      </c>
      <c r="I265" s="172" t="s">
        <v>873</v>
      </c>
      <c r="J265" s="172" t="s">
        <v>873</v>
      </c>
      <c r="K265" s="172" t="s">
        <v>872</v>
      </c>
      <c r="L265" s="172" t="s">
        <v>872</v>
      </c>
      <c r="M265" s="172" t="s">
        <v>872</v>
      </c>
      <c r="N265" s="172" t="s">
        <v>872</v>
      </c>
      <c r="O265" s="172" t="s">
        <v>872</v>
      </c>
      <c r="P265" s="172" t="s">
        <v>872</v>
      </c>
      <c r="Q265" s="172" t="s">
        <v>873</v>
      </c>
      <c r="R265" s="172" t="s">
        <v>873</v>
      </c>
      <c r="S265" s="172" t="s">
        <v>873</v>
      </c>
    </row>
    <row r="266" spans="1:19" ht="13.5" thickBot="1" x14ac:dyDescent="0.25">
      <c r="A266" s="2" t="s">
        <v>355</v>
      </c>
      <c r="B266" s="1" t="s">
        <v>354</v>
      </c>
      <c r="C266" s="2" t="s">
        <v>29</v>
      </c>
      <c r="D266" s="2" t="s">
        <v>1823</v>
      </c>
      <c r="E266" s="6">
        <v>60000</v>
      </c>
      <c r="F266" s="6">
        <v>60000</v>
      </c>
      <c r="G266" s="4">
        <v>40</v>
      </c>
      <c r="H266" s="172" t="s">
        <v>872</v>
      </c>
      <c r="I266" s="172" t="s">
        <v>872</v>
      </c>
      <c r="J266" s="172" t="s">
        <v>873</v>
      </c>
      <c r="K266" s="172" t="s">
        <v>872</v>
      </c>
      <c r="L266" s="172" t="s">
        <v>873</v>
      </c>
      <c r="M266" s="172" t="s">
        <v>872</v>
      </c>
      <c r="N266" s="172" t="s">
        <v>872</v>
      </c>
      <c r="O266" s="172" t="s">
        <v>872</v>
      </c>
      <c r="P266" s="172" t="s">
        <v>872</v>
      </c>
      <c r="Q266" s="172" t="s">
        <v>872</v>
      </c>
      <c r="R266" s="172" t="s">
        <v>873</v>
      </c>
      <c r="S266" s="172" t="s">
        <v>873</v>
      </c>
    </row>
    <row r="267" spans="1:19" ht="13.5" thickBot="1" x14ac:dyDescent="0.25">
      <c r="A267" s="2" t="s">
        <v>361</v>
      </c>
      <c r="B267" s="1" t="s">
        <v>360</v>
      </c>
      <c r="C267" s="2" t="s">
        <v>29</v>
      </c>
      <c r="D267" s="2" t="s">
        <v>1824</v>
      </c>
      <c r="E267" s="6">
        <v>50000</v>
      </c>
      <c r="F267" s="6">
        <v>50000</v>
      </c>
      <c r="G267" s="4">
        <v>40</v>
      </c>
      <c r="H267" s="172" t="s">
        <v>872</v>
      </c>
      <c r="I267" s="172" t="s">
        <v>872</v>
      </c>
      <c r="J267" s="172" t="s">
        <v>873</v>
      </c>
      <c r="K267" s="172" t="s">
        <v>872</v>
      </c>
      <c r="L267" s="172" t="s">
        <v>872</v>
      </c>
      <c r="M267" s="172" t="s">
        <v>872</v>
      </c>
      <c r="N267" s="172" t="s">
        <v>872</v>
      </c>
      <c r="O267" s="172" t="s">
        <v>872</v>
      </c>
      <c r="P267" s="172" t="s">
        <v>872</v>
      </c>
      <c r="Q267" s="172" t="s">
        <v>872</v>
      </c>
      <c r="R267" s="172" t="s">
        <v>872</v>
      </c>
      <c r="S267" s="172" t="s">
        <v>873</v>
      </c>
    </row>
    <row r="268" spans="1:19" ht="13.5" thickBot="1" x14ac:dyDescent="0.25">
      <c r="A268" s="2" t="s">
        <v>363</v>
      </c>
      <c r="B268" s="1" t="s">
        <v>362</v>
      </c>
      <c r="C268" s="2" t="s">
        <v>29</v>
      </c>
      <c r="D268" s="2" t="s">
        <v>1823</v>
      </c>
      <c r="E268" s="6">
        <v>40000</v>
      </c>
      <c r="F268" s="6">
        <v>50000</v>
      </c>
      <c r="G268" s="4">
        <v>40</v>
      </c>
      <c r="H268" s="172" t="s">
        <v>872</v>
      </c>
      <c r="I268" s="172" t="s">
        <v>872</v>
      </c>
      <c r="J268" s="172" t="s">
        <v>872</v>
      </c>
      <c r="K268" s="172" t="s">
        <v>872</v>
      </c>
      <c r="L268" s="172" t="s">
        <v>872</v>
      </c>
      <c r="M268" s="172" t="s">
        <v>872</v>
      </c>
      <c r="N268" s="172" t="s">
        <v>872</v>
      </c>
      <c r="O268" s="172" t="s">
        <v>873</v>
      </c>
      <c r="P268" s="172" t="s">
        <v>872</v>
      </c>
      <c r="Q268" s="172" t="s">
        <v>872</v>
      </c>
      <c r="R268" s="172" t="s">
        <v>872</v>
      </c>
      <c r="S268" s="172" t="s">
        <v>873</v>
      </c>
    </row>
    <row r="269" spans="1:19" ht="13.5" thickBot="1" x14ac:dyDescent="0.25">
      <c r="A269" s="2" t="s">
        <v>371</v>
      </c>
      <c r="B269" s="1" t="s">
        <v>370</v>
      </c>
      <c r="C269" s="2" t="s">
        <v>29</v>
      </c>
      <c r="D269" s="2" t="s">
        <v>1823</v>
      </c>
      <c r="E269" s="6">
        <v>48000</v>
      </c>
      <c r="F269" s="6">
        <v>61075</v>
      </c>
      <c r="G269" s="4">
        <v>38</v>
      </c>
      <c r="H269" s="172" t="s">
        <v>872</v>
      </c>
      <c r="I269" s="172" t="s">
        <v>872</v>
      </c>
      <c r="J269" s="172" t="s">
        <v>872</v>
      </c>
      <c r="K269" s="172" t="s">
        <v>872</v>
      </c>
      <c r="L269" s="172" t="s">
        <v>872</v>
      </c>
      <c r="M269" s="172" t="s">
        <v>872</v>
      </c>
      <c r="N269" s="172" t="s">
        <v>872</v>
      </c>
      <c r="O269" s="172" t="s">
        <v>872</v>
      </c>
      <c r="P269" s="172" t="s">
        <v>872</v>
      </c>
      <c r="Q269" s="172" t="s">
        <v>872</v>
      </c>
      <c r="R269" s="172" t="s">
        <v>873</v>
      </c>
      <c r="S269" s="172" t="s">
        <v>873</v>
      </c>
    </row>
    <row r="270" spans="1:19" ht="13.5" thickBot="1" x14ac:dyDescent="0.25">
      <c r="A270" s="2" t="s">
        <v>375</v>
      </c>
      <c r="B270" s="1" t="s">
        <v>374</v>
      </c>
      <c r="C270" s="2" t="s">
        <v>29</v>
      </c>
      <c r="D270" s="2" t="s">
        <v>1823</v>
      </c>
      <c r="E270" s="6">
        <v>45000</v>
      </c>
      <c r="F270" s="6">
        <v>52000</v>
      </c>
      <c r="G270" s="77">
        <v>40</v>
      </c>
      <c r="H270" s="172" t="s">
        <v>873</v>
      </c>
      <c r="I270" s="172" t="s">
        <v>873</v>
      </c>
      <c r="J270" s="172" t="s">
        <v>873</v>
      </c>
      <c r="K270" s="172" t="s">
        <v>873</v>
      </c>
      <c r="L270" s="172" t="s">
        <v>873</v>
      </c>
      <c r="M270" s="172" t="s">
        <v>872</v>
      </c>
      <c r="N270" s="172" t="s">
        <v>872</v>
      </c>
      <c r="O270" s="172" t="s">
        <v>872</v>
      </c>
      <c r="P270" s="172" t="s">
        <v>872</v>
      </c>
      <c r="Q270" s="172" t="s">
        <v>873</v>
      </c>
      <c r="R270" s="172" t="s">
        <v>873</v>
      </c>
      <c r="S270" s="172" t="s">
        <v>873</v>
      </c>
    </row>
    <row r="271" spans="1:19" ht="13.5" thickBot="1" x14ac:dyDescent="0.25">
      <c r="A271" s="2" t="s">
        <v>383</v>
      </c>
      <c r="B271" s="1" t="s">
        <v>382</v>
      </c>
      <c r="C271" s="2" t="s">
        <v>29</v>
      </c>
      <c r="D271" s="2" t="s">
        <v>1823</v>
      </c>
      <c r="E271" s="6">
        <v>58240</v>
      </c>
      <c r="F271" s="6">
        <v>60500</v>
      </c>
      <c r="G271" s="4">
        <v>34</v>
      </c>
      <c r="H271" s="172" t="s">
        <v>872</v>
      </c>
      <c r="I271" s="172" t="s">
        <v>872</v>
      </c>
      <c r="J271" s="172" t="s">
        <v>872</v>
      </c>
      <c r="K271" s="172" t="s">
        <v>872</v>
      </c>
      <c r="L271" s="172" t="s">
        <v>872</v>
      </c>
      <c r="M271" s="172" t="s">
        <v>872</v>
      </c>
      <c r="N271" s="172" t="s">
        <v>872</v>
      </c>
      <c r="O271" s="172" t="s">
        <v>872</v>
      </c>
      <c r="P271" s="172" t="s">
        <v>872</v>
      </c>
      <c r="Q271" s="172" t="s">
        <v>873</v>
      </c>
      <c r="R271" s="172" t="s">
        <v>872</v>
      </c>
      <c r="S271" s="172" t="s">
        <v>872</v>
      </c>
    </row>
    <row r="272" spans="1:19" ht="13.5" thickBot="1" x14ac:dyDescent="0.25">
      <c r="A272" s="2" t="s">
        <v>385</v>
      </c>
      <c r="B272" s="1" t="s">
        <v>384</v>
      </c>
      <c r="C272" s="2" t="s">
        <v>29</v>
      </c>
      <c r="D272" s="2" t="s">
        <v>1824</v>
      </c>
      <c r="E272" s="6">
        <v>57685</v>
      </c>
      <c r="F272" s="6">
        <v>74989</v>
      </c>
      <c r="G272" s="4">
        <v>40</v>
      </c>
      <c r="H272" s="172" t="s">
        <v>872</v>
      </c>
      <c r="I272" s="172" t="s">
        <v>872</v>
      </c>
      <c r="J272" s="172" t="s">
        <v>873</v>
      </c>
      <c r="K272" s="172" t="s">
        <v>872</v>
      </c>
      <c r="L272" s="172" t="s">
        <v>872</v>
      </c>
      <c r="M272" s="172" t="s">
        <v>872</v>
      </c>
      <c r="N272" s="172" t="s">
        <v>872</v>
      </c>
      <c r="O272" s="172" t="s">
        <v>872</v>
      </c>
      <c r="P272" s="172" t="s">
        <v>872</v>
      </c>
      <c r="Q272" s="172" t="s">
        <v>873</v>
      </c>
      <c r="R272" s="172" t="s">
        <v>872</v>
      </c>
      <c r="S272" s="172" t="s">
        <v>872</v>
      </c>
    </row>
    <row r="273" spans="1:19" ht="13.5" thickBot="1" x14ac:dyDescent="0.25">
      <c r="A273" s="2" t="s">
        <v>399</v>
      </c>
      <c r="B273" s="1" t="s">
        <v>398</v>
      </c>
      <c r="C273" s="2" t="s">
        <v>29</v>
      </c>
      <c r="D273" s="2" t="s">
        <v>1823</v>
      </c>
      <c r="E273" s="6">
        <v>69170</v>
      </c>
      <c r="F273" s="6">
        <v>69170</v>
      </c>
      <c r="G273" s="4">
        <v>40</v>
      </c>
      <c r="H273" s="172" t="s">
        <v>872</v>
      </c>
      <c r="I273" s="172" t="s">
        <v>872</v>
      </c>
      <c r="J273" s="172" t="s">
        <v>872</v>
      </c>
      <c r="K273" s="172" t="s">
        <v>872</v>
      </c>
      <c r="L273" s="172" t="s">
        <v>872</v>
      </c>
      <c r="M273" s="172" t="s">
        <v>872</v>
      </c>
      <c r="N273" s="172" t="s">
        <v>872</v>
      </c>
      <c r="O273" s="172" t="s">
        <v>872</v>
      </c>
      <c r="P273" s="172" t="s">
        <v>872</v>
      </c>
      <c r="Q273" s="172" t="s">
        <v>872</v>
      </c>
      <c r="R273" s="172" t="s">
        <v>873</v>
      </c>
      <c r="S273" s="172" t="s">
        <v>872</v>
      </c>
    </row>
    <row r="274" spans="1:19" ht="13.5" thickBot="1" x14ac:dyDescent="0.25">
      <c r="A274" s="2" t="s">
        <v>405</v>
      </c>
      <c r="B274" s="1" t="s">
        <v>404</v>
      </c>
      <c r="C274" s="2" t="s">
        <v>29</v>
      </c>
      <c r="D274" s="2" t="s">
        <v>1824</v>
      </c>
      <c r="E274" s="6">
        <v>54038</v>
      </c>
      <c r="F274" s="6">
        <v>54974</v>
      </c>
      <c r="G274" s="4">
        <v>40</v>
      </c>
      <c r="H274" s="172" t="s">
        <v>872</v>
      </c>
      <c r="I274" s="172" t="s">
        <v>872</v>
      </c>
      <c r="J274" s="172" t="s">
        <v>872</v>
      </c>
      <c r="K274" s="172" t="s">
        <v>872</v>
      </c>
      <c r="L274" s="172" t="s">
        <v>872</v>
      </c>
      <c r="M274" s="172" t="s">
        <v>872</v>
      </c>
      <c r="N274" s="172" t="s">
        <v>872</v>
      </c>
      <c r="O274" s="172" t="s">
        <v>872</v>
      </c>
      <c r="P274" s="172" t="s">
        <v>872</v>
      </c>
      <c r="Q274" s="172" t="s">
        <v>873</v>
      </c>
      <c r="R274" s="172" t="s">
        <v>873</v>
      </c>
      <c r="S274" s="172" t="s">
        <v>872</v>
      </c>
    </row>
    <row r="275" spans="1:19" ht="13.5" thickBot="1" x14ac:dyDescent="0.25">
      <c r="A275" s="2" t="s">
        <v>419</v>
      </c>
      <c r="B275" s="1" t="s">
        <v>418</v>
      </c>
      <c r="C275" s="2" t="s">
        <v>29</v>
      </c>
      <c r="D275" s="2" t="s">
        <v>1823</v>
      </c>
      <c r="E275" s="6">
        <v>52000</v>
      </c>
      <c r="F275" s="6">
        <v>56000</v>
      </c>
      <c r="G275" s="4">
        <v>40</v>
      </c>
      <c r="H275" s="172" t="s">
        <v>872</v>
      </c>
      <c r="I275" s="172" t="s">
        <v>872</v>
      </c>
      <c r="J275" s="172" t="s">
        <v>872</v>
      </c>
      <c r="K275" s="172" t="s">
        <v>872</v>
      </c>
      <c r="L275" s="172" t="s">
        <v>872</v>
      </c>
      <c r="M275" s="172" t="s">
        <v>872</v>
      </c>
      <c r="N275" s="172" t="s">
        <v>872</v>
      </c>
      <c r="O275" s="172" t="s">
        <v>872</v>
      </c>
      <c r="P275" s="172" t="s">
        <v>872</v>
      </c>
      <c r="Q275" s="172" t="s">
        <v>872</v>
      </c>
      <c r="R275" s="172" t="s">
        <v>872</v>
      </c>
      <c r="S275" s="172" t="s">
        <v>873</v>
      </c>
    </row>
    <row r="276" spans="1:19" ht="13.5" thickBot="1" x14ac:dyDescent="0.25">
      <c r="A276" s="2" t="s">
        <v>437</v>
      </c>
      <c r="B276" s="1" t="s">
        <v>436</v>
      </c>
      <c r="C276" s="2" t="s">
        <v>29</v>
      </c>
      <c r="D276" s="2" t="s">
        <v>1824</v>
      </c>
      <c r="E276" s="169" t="s">
        <v>16</v>
      </c>
      <c r="F276" s="169" t="s">
        <v>16</v>
      </c>
      <c r="G276" s="169" t="s">
        <v>16</v>
      </c>
      <c r="H276" s="172" t="s">
        <v>873</v>
      </c>
      <c r="I276" s="172" t="s">
        <v>873</v>
      </c>
      <c r="J276" s="172" t="s">
        <v>873</v>
      </c>
      <c r="K276" s="172" t="s">
        <v>873</v>
      </c>
      <c r="L276" s="172" t="s">
        <v>873</v>
      </c>
      <c r="M276" s="172" t="s">
        <v>873</v>
      </c>
      <c r="N276" s="172" t="s">
        <v>873</v>
      </c>
      <c r="O276" s="172" t="s">
        <v>872</v>
      </c>
      <c r="P276" s="172" t="s">
        <v>873</v>
      </c>
      <c r="Q276" s="172" t="s">
        <v>872</v>
      </c>
      <c r="R276" s="172" t="s">
        <v>873</v>
      </c>
      <c r="S276" s="172" t="s">
        <v>873</v>
      </c>
    </row>
    <row r="277" spans="1:19" ht="13.5" thickBot="1" x14ac:dyDescent="0.25">
      <c r="A277" s="2" t="s">
        <v>453</v>
      </c>
      <c r="B277" s="1" t="s">
        <v>452</v>
      </c>
      <c r="C277" s="2" t="s">
        <v>29</v>
      </c>
      <c r="D277" s="2" t="s">
        <v>1823</v>
      </c>
      <c r="E277" s="6">
        <v>65000</v>
      </c>
      <c r="F277" s="6">
        <v>80000</v>
      </c>
      <c r="G277" s="4">
        <v>40</v>
      </c>
      <c r="H277" s="172" t="s">
        <v>872</v>
      </c>
      <c r="I277" s="172" t="s">
        <v>873</v>
      </c>
      <c r="J277" s="172" t="s">
        <v>873</v>
      </c>
      <c r="K277" s="172" t="s">
        <v>872</v>
      </c>
      <c r="L277" s="172" t="s">
        <v>873</v>
      </c>
      <c r="M277" s="172" t="s">
        <v>872</v>
      </c>
      <c r="N277" s="172" t="s">
        <v>872</v>
      </c>
      <c r="O277" s="172" t="s">
        <v>872</v>
      </c>
      <c r="P277" s="172" t="s">
        <v>872</v>
      </c>
      <c r="Q277" s="172" t="s">
        <v>872</v>
      </c>
      <c r="R277" s="172" t="s">
        <v>873</v>
      </c>
      <c r="S277" s="172" t="s">
        <v>873</v>
      </c>
    </row>
    <row r="278" spans="1:19" ht="13.5" thickBot="1" x14ac:dyDescent="0.25">
      <c r="A278" s="2" t="s">
        <v>467</v>
      </c>
      <c r="B278" s="1" t="s">
        <v>466</v>
      </c>
      <c r="C278" s="2" t="s">
        <v>29</v>
      </c>
      <c r="D278" s="2" t="s">
        <v>1823</v>
      </c>
      <c r="E278" s="6">
        <v>55000</v>
      </c>
      <c r="F278" s="6">
        <v>72000</v>
      </c>
      <c r="G278" s="4">
        <v>40</v>
      </c>
      <c r="H278" s="172" t="s">
        <v>872</v>
      </c>
      <c r="I278" s="172" t="s">
        <v>872</v>
      </c>
      <c r="J278" s="172" t="s">
        <v>872</v>
      </c>
      <c r="K278" s="172" t="s">
        <v>873</v>
      </c>
      <c r="L278" s="172" t="s">
        <v>872</v>
      </c>
      <c r="M278" s="172" t="s">
        <v>872</v>
      </c>
      <c r="N278" s="172" t="s">
        <v>872</v>
      </c>
      <c r="O278" s="172" t="s">
        <v>872</v>
      </c>
      <c r="P278" s="172" t="s">
        <v>872</v>
      </c>
      <c r="Q278" s="172" t="s">
        <v>872</v>
      </c>
      <c r="R278" s="172" t="s">
        <v>873</v>
      </c>
      <c r="S278" s="172" t="s">
        <v>873</v>
      </c>
    </row>
    <row r="279" spans="1:19" ht="13.5" thickBot="1" x14ac:dyDescent="0.25">
      <c r="A279" s="2" t="s">
        <v>474</v>
      </c>
      <c r="B279" s="1" t="s">
        <v>473</v>
      </c>
      <c r="C279" s="2" t="s">
        <v>29</v>
      </c>
      <c r="D279" s="2" t="s">
        <v>1823</v>
      </c>
      <c r="E279" s="6">
        <v>39000</v>
      </c>
      <c r="F279" s="6">
        <v>60840</v>
      </c>
      <c r="G279" s="4">
        <v>40</v>
      </c>
      <c r="H279" s="172" t="s">
        <v>872</v>
      </c>
      <c r="I279" s="172" t="s">
        <v>872</v>
      </c>
      <c r="J279" s="172" t="s">
        <v>872</v>
      </c>
      <c r="K279" s="172" t="s">
        <v>872</v>
      </c>
      <c r="L279" s="172" t="s">
        <v>872</v>
      </c>
      <c r="M279" s="172" t="s">
        <v>872</v>
      </c>
      <c r="N279" s="172" t="s">
        <v>872</v>
      </c>
      <c r="O279" s="172" t="s">
        <v>873</v>
      </c>
      <c r="P279" s="172" t="s">
        <v>872</v>
      </c>
      <c r="Q279" s="172" t="s">
        <v>872</v>
      </c>
      <c r="R279" s="172" t="s">
        <v>872</v>
      </c>
      <c r="S279" s="172" t="s">
        <v>873</v>
      </c>
    </row>
    <row r="280" spans="1:19" ht="13.5" thickBot="1" x14ac:dyDescent="0.25">
      <c r="A280" s="2" t="s">
        <v>488</v>
      </c>
      <c r="B280" s="1" t="s">
        <v>487</v>
      </c>
      <c r="C280" s="2" t="s">
        <v>29</v>
      </c>
      <c r="D280" s="2" t="s">
        <v>1823</v>
      </c>
      <c r="E280" s="6">
        <v>55000</v>
      </c>
      <c r="F280" s="6">
        <v>65000</v>
      </c>
      <c r="G280" s="4">
        <v>40</v>
      </c>
      <c r="H280" s="172" t="s">
        <v>872</v>
      </c>
      <c r="I280" s="172" t="s">
        <v>872</v>
      </c>
      <c r="J280" s="172" t="s">
        <v>872</v>
      </c>
      <c r="K280" s="172" t="s">
        <v>872</v>
      </c>
      <c r="L280" s="172" t="s">
        <v>872</v>
      </c>
      <c r="M280" s="172" t="s">
        <v>873</v>
      </c>
      <c r="N280" s="172" t="s">
        <v>872</v>
      </c>
      <c r="O280" s="172" t="s">
        <v>872</v>
      </c>
      <c r="P280" s="172" t="s">
        <v>872</v>
      </c>
      <c r="Q280" s="172" t="s">
        <v>872</v>
      </c>
      <c r="R280" s="172" t="s">
        <v>872</v>
      </c>
      <c r="S280" s="172" t="s">
        <v>873</v>
      </c>
    </row>
    <row r="281" spans="1:19" ht="13.5" thickBot="1" x14ac:dyDescent="0.25">
      <c r="A281" s="2" t="s">
        <v>498</v>
      </c>
      <c r="B281" s="1" t="s">
        <v>497</v>
      </c>
      <c r="C281" s="2" t="s">
        <v>29</v>
      </c>
      <c r="D281" s="2" t="s">
        <v>1823</v>
      </c>
      <c r="E281" s="6">
        <v>56000</v>
      </c>
      <c r="F281" s="6">
        <v>70000</v>
      </c>
      <c r="G281" s="4">
        <v>40</v>
      </c>
      <c r="H281" s="172" t="s">
        <v>872</v>
      </c>
      <c r="I281" s="172" t="s">
        <v>872</v>
      </c>
      <c r="J281" s="172" t="s">
        <v>872</v>
      </c>
      <c r="K281" s="172" t="s">
        <v>872</v>
      </c>
      <c r="L281" s="172" t="s">
        <v>873</v>
      </c>
      <c r="M281" s="172" t="s">
        <v>872</v>
      </c>
      <c r="N281" s="172" t="s">
        <v>872</v>
      </c>
      <c r="O281" s="172" t="s">
        <v>873</v>
      </c>
      <c r="P281" s="172" t="s">
        <v>872</v>
      </c>
      <c r="Q281" s="172" t="s">
        <v>872</v>
      </c>
      <c r="R281" s="172" t="s">
        <v>873</v>
      </c>
      <c r="S281" s="172" t="s">
        <v>873</v>
      </c>
    </row>
    <row r="282" spans="1:19" ht="13.5" thickBot="1" x14ac:dyDescent="0.25">
      <c r="A282" s="2" t="s">
        <v>502</v>
      </c>
      <c r="B282" s="1" t="s">
        <v>501</v>
      </c>
      <c r="C282" s="2" t="s">
        <v>29</v>
      </c>
      <c r="D282" s="2" t="s">
        <v>1823</v>
      </c>
      <c r="E282" s="6">
        <v>55800</v>
      </c>
      <c r="F282" s="6">
        <v>75600</v>
      </c>
      <c r="G282" s="4">
        <v>40</v>
      </c>
      <c r="H282" s="172" t="s">
        <v>872</v>
      </c>
      <c r="I282" s="172" t="s">
        <v>872</v>
      </c>
      <c r="J282" s="172" t="s">
        <v>872</v>
      </c>
      <c r="K282" s="172" t="s">
        <v>872</v>
      </c>
      <c r="L282" s="172" t="s">
        <v>872</v>
      </c>
      <c r="M282" s="172" t="s">
        <v>872</v>
      </c>
      <c r="N282" s="172" t="s">
        <v>872</v>
      </c>
      <c r="O282" s="172" t="s">
        <v>872</v>
      </c>
      <c r="P282" s="172" t="s">
        <v>872</v>
      </c>
      <c r="Q282" s="172" t="s">
        <v>872</v>
      </c>
      <c r="R282" s="172" t="s">
        <v>872</v>
      </c>
      <c r="S282" s="172" t="s">
        <v>873</v>
      </c>
    </row>
    <row r="283" spans="1:19" ht="13.5" thickBot="1" x14ac:dyDescent="0.25">
      <c r="A283" s="2" t="s">
        <v>514</v>
      </c>
      <c r="B283" s="1" t="s">
        <v>513</v>
      </c>
      <c r="C283" s="2" t="s">
        <v>29</v>
      </c>
      <c r="D283" s="2" t="s">
        <v>1823</v>
      </c>
      <c r="E283" s="6">
        <v>47838</v>
      </c>
      <c r="F283" s="6">
        <v>57406</v>
      </c>
      <c r="G283" s="4">
        <v>40</v>
      </c>
      <c r="H283" s="172" t="s">
        <v>872</v>
      </c>
      <c r="I283" s="172" t="s">
        <v>872</v>
      </c>
      <c r="J283" s="172" t="s">
        <v>872</v>
      </c>
      <c r="K283" s="172" t="s">
        <v>872</v>
      </c>
      <c r="L283" s="172" t="s">
        <v>873</v>
      </c>
      <c r="M283" s="172" t="s">
        <v>872</v>
      </c>
      <c r="N283" s="172" t="s">
        <v>872</v>
      </c>
      <c r="O283" s="172" t="s">
        <v>872</v>
      </c>
      <c r="P283" s="172" t="s">
        <v>872</v>
      </c>
      <c r="Q283" s="172" t="s">
        <v>872</v>
      </c>
      <c r="R283" s="172" t="s">
        <v>873</v>
      </c>
      <c r="S283" s="172" t="s">
        <v>872</v>
      </c>
    </row>
    <row r="284" spans="1:19" ht="13.5" thickBot="1" x14ac:dyDescent="0.25">
      <c r="A284" s="2" t="s">
        <v>518</v>
      </c>
      <c r="B284" s="1" t="s">
        <v>517</v>
      </c>
      <c r="C284" s="2" t="s">
        <v>29</v>
      </c>
      <c r="D284" s="2" t="s">
        <v>1823</v>
      </c>
      <c r="E284" s="6">
        <v>52500</v>
      </c>
      <c r="F284" s="6">
        <v>62000</v>
      </c>
      <c r="G284" s="4">
        <v>40</v>
      </c>
      <c r="H284" s="172" t="s">
        <v>872</v>
      </c>
      <c r="I284" s="172" t="s">
        <v>872</v>
      </c>
      <c r="J284" s="172" t="s">
        <v>872</v>
      </c>
      <c r="K284" s="172" t="s">
        <v>872</v>
      </c>
      <c r="L284" s="172" t="s">
        <v>872</v>
      </c>
      <c r="M284" s="172" t="s">
        <v>872</v>
      </c>
      <c r="N284" s="172" t="s">
        <v>872</v>
      </c>
      <c r="O284" s="172" t="s">
        <v>872</v>
      </c>
      <c r="P284" s="172" t="s">
        <v>872</v>
      </c>
      <c r="Q284" s="172" t="s">
        <v>872</v>
      </c>
      <c r="R284" s="172" t="s">
        <v>872</v>
      </c>
      <c r="S284" s="172" t="s">
        <v>873</v>
      </c>
    </row>
    <row r="285" spans="1:19" ht="13.5" thickBot="1" x14ac:dyDescent="0.25">
      <c r="A285" s="2" t="s">
        <v>520</v>
      </c>
      <c r="B285" s="1" t="s">
        <v>519</v>
      </c>
      <c r="C285" s="2" t="s">
        <v>29</v>
      </c>
      <c r="D285" s="2" t="s">
        <v>1823</v>
      </c>
      <c r="E285" s="6">
        <v>60000</v>
      </c>
      <c r="F285" s="6">
        <v>82000</v>
      </c>
      <c r="G285" s="4">
        <v>38</v>
      </c>
      <c r="H285" s="172" t="s">
        <v>872</v>
      </c>
      <c r="I285" s="172" t="s">
        <v>872</v>
      </c>
      <c r="J285" s="172" t="s">
        <v>872</v>
      </c>
      <c r="K285" s="172" t="s">
        <v>873</v>
      </c>
      <c r="L285" s="172" t="s">
        <v>872</v>
      </c>
      <c r="M285" s="172" t="s">
        <v>872</v>
      </c>
      <c r="N285" s="172" t="s">
        <v>872</v>
      </c>
      <c r="O285" s="172" t="s">
        <v>872</v>
      </c>
      <c r="P285" s="172" t="s">
        <v>872</v>
      </c>
      <c r="Q285" s="172" t="s">
        <v>873</v>
      </c>
      <c r="R285" s="172" t="s">
        <v>873</v>
      </c>
      <c r="S285" s="172" t="s">
        <v>873</v>
      </c>
    </row>
    <row r="286" spans="1:19" ht="13.5" thickBot="1" x14ac:dyDescent="0.25">
      <c r="A286" s="2" t="s">
        <v>524</v>
      </c>
      <c r="B286" s="1" t="s">
        <v>523</v>
      </c>
      <c r="C286" s="2" t="s">
        <v>29</v>
      </c>
      <c r="D286" s="2" t="s">
        <v>973</v>
      </c>
      <c r="E286" s="6">
        <v>42000</v>
      </c>
      <c r="F286" s="6">
        <v>43000</v>
      </c>
      <c r="G286" s="4">
        <v>40</v>
      </c>
      <c r="H286" s="172" t="s">
        <v>872</v>
      </c>
      <c r="I286" s="172" t="s">
        <v>872</v>
      </c>
      <c r="J286" s="172" t="s">
        <v>872</v>
      </c>
      <c r="K286" s="172" t="s">
        <v>873</v>
      </c>
      <c r="L286" s="172" t="s">
        <v>872</v>
      </c>
      <c r="M286" s="172" t="s">
        <v>873</v>
      </c>
      <c r="N286" s="172" t="s">
        <v>872</v>
      </c>
      <c r="O286" s="172" t="s">
        <v>872</v>
      </c>
      <c r="P286" s="172" t="s">
        <v>872</v>
      </c>
      <c r="Q286" s="172" t="s">
        <v>873</v>
      </c>
      <c r="R286" s="172" t="s">
        <v>873</v>
      </c>
      <c r="S286" s="172" t="s">
        <v>873</v>
      </c>
    </row>
    <row r="287" spans="1:19" ht="13.5" thickBot="1" x14ac:dyDescent="0.25">
      <c r="A287" s="2" t="s">
        <v>534</v>
      </c>
      <c r="B287" s="1" t="s">
        <v>533</v>
      </c>
      <c r="C287" s="2" t="s">
        <v>29</v>
      </c>
      <c r="D287" s="2" t="s">
        <v>1823</v>
      </c>
      <c r="E287" s="6">
        <v>103072</v>
      </c>
      <c r="F287" s="6">
        <v>103072</v>
      </c>
      <c r="G287" s="4">
        <v>35</v>
      </c>
      <c r="H287" s="172" t="s">
        <v>872</v>
      </c>
      <c r="I287" s="172" t="s">
        <v>872</v>
      </c>
      <c r="J287" s="172" t="s">
        <v>873</v>
      </c>
      <c r="K287" s="172" t="s">
        <v>872</v>
      </c>
      <c r="L287" s="172" t="s">
        <v>872</v>
      </c>
      <c r="M287" s="172" t="s">
        <v>872</v>
      </c>
      <c r="N287" s="172" t="s">
        <v>872</v>
      </c>
      <c r="O287" s="172" t="s">
        <v>872</v>
      </c>
      <c r="P287" s="172" t="s">
        <v>872</v>
      </c>
      <c r="Q287" s="172" t="s">
        <v>873</v>
      </c>
      <c r="R287" s="172" t="s">
        <v>872</v>
      </c>
      <c r="S287" s="172" t="s">
        <v>872</v>
      </c>
    </row>
    <row r="288" spans="1:19" ht="13.5" thickBot="1" x14ac:dyDescent="0.25">
      <c r="A288" s="2" t="s">
        <v>548</v>
      </c>
      <c r="B288" s="1" t="s">
        <v>547</v>
      </c>
      <c r="C288" s="2" t="s">
        <v>29</v>
      </c>
      <c r="D288" s="2" t="s">
        <v>1823</v>
      </c>
      <c r="E288" s="6">
        <v>4500</v>
      </c>
      <c r="F288" s="6">
        <v>75000</v>
      </c>
      <c r="G288" s="4">
        <v>38</v>
      </c>
      <c r="H288" s="172" t="s">
        <v>872</v>
      </c>
      <c r="I288" s="172" t="s">
        <v>872</v>
      </c>
      <c r="J288" s="172" t="s">
        <v>873</v>
      </c>
      <c r="K288" s="172" t="s">
        <v>872</v>
      </c>
      <c r="L288" s="172" t="s">
        <v>872</v>
      </c>
      <c r="M288" s="172" t="s">
        <v>872</v>
      </c>
      <c r="N288" s="172" t="s">
        <v>872</v>
      </c>
      <c r="O288" s="172" t="s">
        <v>873</v>
      </c>
      <c r="P288" s="172" t="s">
        <v>872</v>
      </c>
      <c r="Q288" s="172" t="s">
        <v>873</v>
      </c>
      <c r="R288" s="172" t="s">
        <v>873</v>
      </c>
      <c r="S288" s="172" t="s">
        <v>873</v>
      </c>
    </row>
    <row r="289" spans="1:19" ht="13.5" thickBot="1" x14ac:dyDescent="0.25">
      <c r="A289" s="2" t="s">
        <v>564</v>
      </c>
      <c r="B289" s="1" t="s">
        <v>563</v>
      </c>
      <c r="C289" s="2" t="s">
        <v>29</v>
      </c>
      <c r="D289" s="2" t="s">
        <v>1823</v>
      </c>
      <c r="E289" s="6">
        <v>33000</v>
      </c>
      <c r="F289" s="6">
        <v>40000</v>
      </c>
      <c r="G289" s="4">
        <v>40</v>
      </c>
      <c r="H289" s="172" t="s">
        <v>873</v>
      </c>
      <c r="I289" s="172" t="s">
        <v>873</v>
      </c>
      <c r="J289" s="172" t="s">
        <v>873</v>
      </c>
      <c r="K289" s="172" t="s">
        <v>873</v>
      </c>
      <c r="L289" s="172" t="s">
        <v>873</v>
      </c>
      <c r="M289" s="172" t="s">
        <v>872</v>
      </c>
      <c r="N289" s="172" t="s">
        <v>872</v>
      </c>
      <c r="O289" s="172" t="s">
        <v>872</v>
      </c>
      <c r="P289" s="172" t="s">
        <v>872</v>
      </c>
      <c r="Q289" s="172" t="s">
        <v>873</v>
      </c>
      <c r="R289" s="172" t="s">
        <v>873</v>
      </c>
      <c r="S289" s="172" t="s">
        <v>873</v>
      </c>
    </row>
    <row r="290" spans="1:19" ht="13.5" thickBot="1" x14ac:dyDescent="0.25">
      <c r="A290" s="2" t="s">
        <v>574</v>
      </c>
      <c r="B290" s="1" t="s">
        <v>573</v>
      </c>
      <c r="C290" s="2" t="s">
        <v>29</v>
      </c>
      <c r="D290" s="2" t="s">
        <v>1823</v>
      </c>
      <c r="E290" s="169" t="s">
        <v>16</v>
      </c>
      <c r="F290" s="6">
        <v>80967</v>
      </c>
      <c r="G290" s="4">
        <v>40</v>
      </c>
      <c r="H290" s="172" t="s">
        <v>872</v>
      </c>
      <c r="I290" s="172" t="s">
        <v>872</v>
      </c>
      <c r="J290" s="172" t="s">
        <v>872</v>
      </c>
      <c r="K290" s="172" t="s">
        <v>873</v>
      </c>
      <c r="L290" s="172" t="s">
        <v>872</v>
      </c>
      <c r="M290" s="172" t="s">
        <v>873</v>
      </c>
      <c r="N290" s="172" t="s">
        <v>872</v>
      </c>
      <c r="O290" s="172" t="s">
        <v>872</v>
      </c>
      <c r="P290" s="172" t="s">
        <v>872</v>
      </c>
      <c r="Q290" s="172" t="s">
        <v>872</v>
      </c>
      <c r="R290" s="172" t="s">
        <v>873</v>
      </c>
      <c r="S290" s="172" t="s">
        <v>873</v>
      </c>
    </row>
    <row r="291" spans="1:19" ht="13.5" thickBot="1" x14ac:dyDescent="0.25">
      <c r="A291" s="2" t="s">
        <v>576</v>
      </c>
      <c r="B291" s="1" t="s">
        <v>575</v>
      </c>
      <c r="C291" s="2" t="s">
        <v>29</v>
      </c>
      <c r="D291" s="2" t="s">
        <v>1823</v>
      </c>
      <c r="E291" s="6">
        <v>67866</v>
      </c>
      <c r="F291" s="6">
        <v>67866</v>
      </c>
      <c r="G291" s="4">
        <v>40</v>
      </c>
      <c r="H291" s="172" t="s">
        <v>872</v>
      </c>
      <c r="I291" s="172" t="s">
        <v>872</v>
      </c>
      <c r="J291" s="172" t="s">
        <v>872</v>
      </c>
      <c r="K291" s="172" t="s">
        <v>872</v>
      </c>
      <c r="L291" s="172" t="s">
        <v>872</v>
      </c>
      <c r="M291" s="172" t="s">
        <v>872</v>
      </c>
      <c r="N291" s="172" t="s">
        <v>872</v>
      </c>
      <c r="O291" s="172" t="s">
        <v>873</v>
      </c>
      <c r="P291" s="172" t="s">
        <v>872</v>
      </c>
      <c r="Q291" s="172" t="s">
        <v>873</v>
      </c>
      <c r="R291" s="172" t="s">
        <v>872</v>
      </c>
      <c r="S291" s="172" t="s">
        <v>873</v>
      </c>
    </row>
    <row r="292" spans="1:19" ht="13.5" thickBot="1" x14ac:dyDescent="0.25">
      <c r="A292" s="2" t="s">
        <v>580</v>
      </c>
      <c r="B292" s="1" t="s">
        <v>579</v>
      </c>
      <c r="C292" s="2" t="s">
        <v>29</v>
      </c>
      <c r="D292" s="2" t="s">
        <v>1823</v>
      </c>
      <c r="E292" s="6">
        <v>75000</v>
      </c>
      <c r="F292" s="6">
        <v>95000</v>
      </c>
      <c r="G292" s="4">
        <v>40</v>
      </c>
      <c r="H292" s="172" t="s">
        <v>872</v>
      </c>
      <c r="I292" s="172" t="s">
        <v>872</v>
      </c>
      <c r="J292" s="172" t="s">
        <v>872</v>
      </c>
      <c r="K292" s="172" t="s">
        <v>872</v>
      </c>
      <c r="L292" s="172" t="s">
        <v>872</v>
      </c>
      <c r="M292" s="172" t="s">
        <v>872</v>
      </c>
      <c r="N292" s="172" t="s">
        <v>872</v>
      </c>
      <c r="O292" s="172" t="s">
        <v>873</v>
      </c>
      <c r="P292" s="172" t="s">
        <v>872</v>
      </c>
      <c r="Q292" s="172" t="s">
        <v>873</v>
      </c>
      <c r="R292" s="172" t="s">
        <v>873</v>
      </c>
      <c r="S292" s="172" t="s">
        <v>873</v>
      </c>
    </row>
    <row r="293" spans="1:19" ht="13.5" thickBot="1" x14ac:dyDescent="0.25">
      <c r="A293" s="2" t="s">
        <v>588</v>
      </c>
      <c r="B293" s="1" t="s">
        <v>587</v>
      </c>
      <c r="C293" s="2" t="s">
        <v>29</v>
      </c>
      <c r="D293" s="2" t="s">
        <v>1823</v>
      </c>
      <c r="E293" s="6">
        <v>67000</v>
      </c>
      <c r="F293" s="6">
        <v>70000</v>
      </c>
      <c r="G293" s="4">
        <v>45</v>
      </c>
      <c r="H293" s="172" t="s">
        <v>872</v>
      </c>
      <c r="I293" s="172" t="s">
        <v>872</v>
      </c>
      <c r="J293" s="172" t="s">
        <v>872</v>
      </c>
      <c r="K293" s="172" t="s">
        <v>872</v>
      </c>
      <c r="L293" s="172" t="s">
        <v>872</v>
      </c>
      <c r="M293" s="172" t="s">
        <v>872</v>
      </c>
      <c r="N293" s="172" t="s">
        <v>872</v>
      </c>
      <c r="O293" s="172" t="s">
        <v>872</v>
      </c>
      <c r="P293" s="172" t="s">
        <v>872</v>
      </c>
      <c r="Q293" s="172" t="s">
        <v>872</v>
      </c>
      <c r="R293" s="172" t="s">
        <v>872</v>
      </c>
      <c r="S293" s="172" t="s">
        <v>872</v>
      </c>
    </row>
    <row r="294" spans="1:19" ht="13.5" thickBot="1" x14ac:dyDescent="0.25">
      <c r="A294" s="2" t="s">
        <v>600</v>
      </c>
      <c r="B294" s="1" t="s">
        <v>599</v>
      </c>
      <c r="C294" s="2" t="s">
        <v>29</v>
      </c>
      <c r="D294" s="2" t="s">
        <v>1823</v>
      </c>
      <c r="E294" s="6">
        <v>68000</v>
      </c>
      <c r="F294" s="6">
        <v>81500</v>
      </c>
      <c r="G294" s="4">
        <v>40</v>
      </c>
      <c r="H294" s="172" t="s">
        <v>872</v>
      </c>
      <c r="I294" s="172" t="s">
        <v>872</v>
      </c>
      <c r="J294" s="172" t="s">
        <v>872</v>
      </c>
      <c r="K294" s="172" t="s">
        <v>872</v>
      </c>
      <c r="L294" s="172" t="s">
        <v>872</v>
      </c>
      <c r="M294" s="172" t="s">
        <v>873</v>
      </c>
      <c r="N294" s="172" t="s">
        <v>872</v>
      </c>
      <c r="O294" s="172" t="s">
        <v>872</v>
      </c>
      <c r="P294" s="172" t="s">
        <v>872</v>
      </c>
      <c r="Q294" s="172" t="s">
        <v>872</v>
      </c>
      <c r="R294" s="172" t="s">
        <v>872</v>
      </c>
      <c r="S294" s="172" t="s">
        <v>872</v>
      </c>
    </row>
    <row r="295" spans="1:19" ht="13.5" thickBot="1" x14ac:dyDescent="0.25">
      <c r="A295" s="2" t="s">
        <v>616</v>
      </c>
      <c r="B295" s="1" t="s">
        <v>615</v>
      </c>
      <c r="C295" s="2" t="s">
        <v>29</v>
      </c>
      <c r="D295" s="2" t="s">
        <v>1824</v>
      </c>
      <c r="E295" s="6">
        <v>46228</v>
      </c>
      <c r="F295" s="6">
        <v>46228</v>
      </c>
      <c r="G295" s="4">
        <v>40</v>
      </c>
      <c r="H295" s="172" t="s">
        <v>872</v>
      </c>
      <c r="I295" s="172" t="s">
        <v>873</v>
      </c>
      <c r="J295" s="172" t="s">
        <v>873</v>
      </c>
      <c r="K295" s="172" t="s">
        <v>873</v>
      </c>
      <c r="L295" s="172" t="s">
        <v>873</v>
      </c>
      <c r="M295" s="172" t="s">
        <v>872</v>
      </c>
      <c r="N295" s="172" t="s">
        <v>872</v>
      </c>
      <c r="O295" s="172" t="s">
        <v>872</v>
      </c>
      <c r="P295" s="172" t="s">
        <v>872</v>
      </c>
      <c r="Q295" s="172" t="s">
        <v>873</v>
      </c>
      <c r="R295" s="172" t="s">
        <v>873</v>
      </c>
      <c r="S295" s="172" t="s">
        <v>873</v>
      </c>
    </row>
    <row r="296" spans="1:19" ht="13.5" thickBot="1" x14ac:dyDescent="0.25">
      <c r="A296" s="2" t="s">
        <v>618</v>
      </c>
      <c r="B296" s="1" t="s">
        <v>617</v>
      </c>
      <c r="C296" s="2" t="s">
        <v>29</v>
      </c>
      <c r="D296" s="2" t="s">
        <v>1823</v>
      </c>
      <c r="E296" s="6">
        <v>38000</v>
      </c>
      <c r="F296" s="6">
        <v>59401</v>
      </c>
      <c r="G296" s="77">
        <v>40</v>
      </c>
      <c r="H296" s="172" t="s">
        <v>872</v>
      </c>
      <c r="I296" s="172" t="s">
        <v>873</v>
      </c>
      <c r="J296" s="172" t="s">
        <v>873</v>
      </c>
      <c r="K296" s="172" t="s">
        <v>873</v>
      </c>
      <c r="L296" s="172" t="s">
        <v>873</v>
      </c>
      <c r="M296" s="172" t="s">
        <v>872</v>
      </c>
      <c r="N296" s="172" t="s">
        <v>872</v>
      </c>
      <c r="O296" s="172" t="s">
        <v>873</v>
      </c>
      <c r="P296" s="172" t="s">
        <v>872</v>
      </c>
      <c r="Q296" s="172" t="s">
        <v>873</v>
      </c>
      <c r="R296" s="172" t="s">
        <v>873</v>
      </c>
      <c r="S296" s="172" t="s">
        <v>872</v>
      </c>
    </row>
    <row r="297" spans="1:19" ht="13.5" thickBot="1" x14ac:dyDescent="0.25">
      <c r="A297" s="2" t="s">
        <v>622</v>
      </c>
      <c r="B297" s="1" t="s">
        <v>621</v>
      </c>
      <c r="C297" s="2" t="s">
        <v>29</v>
      </c>
      <c r="D297" s="2" t="s">
        <v>1824</v>
      </c>
      <c r="E297" s="6">
        <v>58500</v>
      </c>
      <c r="F297" s="6">
        <v>65000</v>
      </c>
      <c r="G297" s="4">
        <v>40</v>
      </c>
      <c r="H297" s="172" t="s">
        <v>873</v>
      </c>
      <c r="I297" s="172" t="s">
        <v>873</v>
      </c>
      <c r="J297" s="172" t="s">
        <v>873</v>
      </c>
      <c r="K297" s="172" t="s">
        <v>873</v>
      </c>
      <c r="L297" s="172" t="s">
        <v>873</v>
      </c>
      <c r="M297" s="172" t="s">
        <v>872</v>
      </c>
      <c r="N297" s="172" t="s">
        <v>872</v>
      </c>
      <c r="O297" s="172" t="s">
        <v>872</v>
      </c>
      <c r="P297" s="172" t="s">
        <v>872</v>
      </c>
      <c r="Q297" s="172" t="s">
        <v>873</v>
      </c>
      <c r="R297" s="172" t="s">
        <v>873</v>
      </c>
      <c r="S297" s="172" t="s">
        <v>873</v>
      </c>
    </row>
    <row r="298" spans="1:19" ht="13.5" thickBot="1" x14ac:dyDescent="0.25">
      <c r="A298" s="2" t="s">
        <v>658</v>
      </c>
      <c r="B298" s="1" t="s">
        <v>657</v>
      </c>
      <c r="C298" s="2" t="s">
        <v>29</v>
      </c>
      <c r="D298" s="78" t="s">
        <v>1824</v>
      </c>
      <c r="E298" s="6">
        <v>46000</v>
      </c>
      <c r="F298" s="6">
        <v>63000</v>
      </c>
      <c r="G298" s="4">
        <v>40</v>
      </c>
      <c r="H298" s="172" t="s">
        <v>872</v>
      </c>
      <c r="I298" s="172" t="s">
        <v>872</v>
      </c>
      <c r="J298" s="172" t="s">
        <v>872</v>
      </c>
      <c r="K298" s="172" t="s">
        <v>872</v>
      </c>
      <c r="L298" s="172" t="s">
        <v>872</v>
      </c>
      <c r="M298" s="172" t="s">
        <v>872</v>
      </c>
      <c r="N298" s="172" t="s">
        <v>872</v>
      </c>
      <c r="O298" s="172" t="s">
        <v>872</v>
      </c>
      <c r="P298" s="172" t="s">
        <v>872</v>
      </c>
      <c r="Q298" s="172" t="s">
        <v>872</v>
      </c>
      <c r="R298" s="172" t="s">
        <v>872</v>
      </c>
      <c r="S298" s="172" t="s">
        <v>872</v>
      </c>
    </row>
    <row r="299" spans="1:19" ht="13.5" thickBot="1" x14ac:dyDescent="0.25">
      <c r="A299" s="2" t="s">
        <v>686</v>
      </c>
      <c r="B299" s="1" t="s">
        <v>685</v>
      </c>
      <c r="C299" s="2" t="s">
        <v>29</v>
      </c>
      <c r="D299" s="2" t="s">
        <v>1823</v>
      </c>
      <c r="E299" s="6">
        <v>56000</v>
      </c>
      <c r="F299" s="6">
        <v>87687</v>
      </c>
      <c r="G299" s="4">
        <v>40</v>
      </c>
      <c r="H299" s="172" t="s">
        <v>872</v>
      </c>
      <c r="I299" s="172" t="s">
        <v>872</v>
      </c>
      <c r="J299" s="172" t="s">
        <v>873</v>
      </c>
      <c r="K299" s="172" t="s">
        <v>873</v>
      </c>
      <c r="L299" s="172" t="s">
        <v>873</v>
      </c>
      <c r="M299" s="172" t="s">
        <v>872</v>
      </c>
      <c r="N299" s="172" t="s">
        <v>872</v>
      </c>
      <c r="O299" s="172" t="s">
        <v>872</v>
      </c>
      <c r="P299" s="172" t="s">
        <v>872</v>
      </c>
      <c r="Q299" s="172" t="s">
        <v>872</v>
      </c>
      <c r="R299" s="172" t="s">
        <v>873</v>
      </c>
      <c r="S299" s="172" t="s">
        <v>872</v>
      </c>
    </row>
    <row r="300" spans="1:19" ht="13.5" thickBot="1" x14ac:dyDescent="0.25">
      <c r="A300" s="2" t="s">
        <v>728</v>
      </c>
      <c r="B300" s="1" t="s">
        <v>727</v>
      </c>
      <c r="C300" s="2" t="s">
        <v>29</v>
      </c>
      <c r="D300" s="2" t="s">
        <v>1823</v>
      </c>
      <c r="E300" s="6">
        <v>65000</v>
      </c>
      <c r="F300" s="6">
        <v>80000</v>
      </c>
      <c r="G300" s="4">
        <v>40</v>
      </c>
      <c r="H300" s="172" t="s">
        <v>872</v>
      </c>
      <c r="I300" s="172" t="s">
        <v>872</v>
      </c>
      <c r="J300" s="172" t="s">
        <v>873</v>
      </c>
      <c r="K300" s="172" t="s">
        <v>872</v>
      </c>
      <c r="L300" s="172" t="s">
        <v>872</v>
      </c>
      <c r="M300" s="172" t="s">
        <v>872</v>
      </c>
      <c r="N300" s="172" t="s">
        <v>872</v>
      </c>
      <c r="O300" s="172" t="s">
        <v>872</v>
      </c>
      <c r="P300" s="172" t="s">
        <v>872</v>
      </c>
      <c r="Q300" s="172" t="s">
        <v>872</v>
      </c>
      <c r="R300" s="172" t="s">
        <v>872</v>
      </c>
      <c r="S300" s="172" t="s">
        <v>873</v>
      </c>
    </row>
    <row r="301" spans="1:19" ht="13.5" thickBot="1" x14ac:dyDescent="0.25">
      <c r="A301" s="2" t="s">
        <v>730</v>
      </c>
      <c r="B301" s="1" t="s">
        <v>729</v>
      </c>
      <c r="C301" s="2" t="s">
        <v>29</v>
      </c>
      <c r="D301" s="2" t="s">
        <v>1823</v>
      </c>
      <c r="E301" s="6">
        <v>77250</v>
      </c>
      <c r="F301" s="169" t="s">
        <v>16</v>
      </c>
      <c r="G301" s="4">
        <v>40</v>
      </c>
      <c r="H301" s="172" t="s">
        <v>872</v>
      </c>
      <c r="I301" s="172" t="s">
        <v>873</v>
      </c>
      <c r="J301" s="172" t="s">
        <v>873</v>
      </c>
      <c r="K301" s="172" t="s">
        <v>872</v>
      </c>
      <c r="L301" s="172" t="s">
        <v>872</v>
      </c>
      <c r="M301" s="172" t="s">
        <v>872</v>
      </c>
      <c r="N301" s="172" t="s">
        <v>872</v>
      </c>
      <c r="O301" s="172" t="s">
        <v>872</v>
      </c>
      <c r="P301" s="172" t="s">
        <v>872</v>
      </c>
      <c r="Q301" s="172" t="s">
        <v>873</v>
      </c>
      <c r="R301" s="172" t="s">
        <v>872</v>
      </c>
      <c r="S301" s="172" t="s">
        <v>873</v>
      </c>
    </row>
    <row r="302" spans="1:19" ht="13.5" thickBot="1" x14ac:dyDescent="0.25">
      <c r="A302" s="2" t="s">
        <v>736</v>
      </c>
      <c r="B302" s="1" t="s">
        <v>735</v>
      </c>
      <c r="C302" s="2" t="s">
        <v>29</v>
      </c>
      <c r="D302" s="2" t="s">
        <v>1823</v>
      </c>
      <c r="E302" s="6">
        <v>50000</v>
      </c>
      <c r="F302" s="6">
        <v>65555</v>
      </c>
      <c r="G302" s="4">
        <v>40</v>
      </c>
      <c r="H302" s="172" t="s">
        <v>872</v>
      </c>
      <c r="I302" s="172" t="s">
        <v>872</v>
      </c>
      <c r="J302" s="172" t="s">
        <v>872</v>
      </c>
      <c r="K302" s="172" t="s">
        <v>872</v>
      </c>
      <c r="L302" s="172" t="s">
        <v>873</v>
      </c>
      <c r="M302" s="172" t="s">
        <v>872</v>
      </c>
      <c r="N302" s="172" t="s">
        <v>872</v>
      </c>
      <c r="O302" s="172" t="s">
        <v>873</v>
      </c>
      <c r="P302" s="172" t="s">
        <v>872</v>
      </c>
      <c r="Q302" s="172" t="s">
        <v>872</v>
      </c>
      <c r="R302" s="172" t="s">
        <v>872</v>
      </c>
      <c r="S302" s="172" t="s">
        <v>873</v>
      </c>
    </row>
    <row r="303" spans="1:19" ht="13.5" thickBot="1" x14ac:dyDescent="0.25">
      <c r="A303" s="2" t="s">
        <v>755</v>
      </c>
      <c r="B303" s="1" t="s">
        <v>754</v>
      </c>
      <c r="C303" s="2" t="s">
        <v>29</v>
      </c>
      <c r="D303" s="2" t="s">
        <v>1823</v>
      </c>
      <c r="E303" s="6">
        <v>65000</v>
      </c>
      <c r="F303" s="6">
        <v>65000</v>
      </c>
      <c r="G303" s="4">
        <v>40</v>
      </c>
      <c r="H303" s="172" t="s">
        <v>872</v>
      </c>
      <c r="I303" s="172" t="s">
        <v>872</v>
      </c>
      <c r="J303" s="172" t="s">
        <v>872</v>
      </c>
      <c r="K303" s="172" t="s">
        <v>872</v>
      </c>
      <c r="L303" s="172" t="s">
        <v>872</v>
      </c>
      <c r="M303" s="172" t="s">
        <v>872</v>
      </c>
      <c r="N303" s="172" t="s">
        <v>872</v>
      </c>
      <c r="O303" s="172" t="s">
        <v>872</v>
      </c>
      <c r="P303" s="172" t="s">
        <v>872</v>
      </c>
      <c r="Q303" s="172" t="s">
        <v>873</v>
      </c>
      <c r="R303" s="172" t="s">
        <v>872</v>
      </c>
      <c r="S303" s="172" t="s">
        <v>873</v>
      </c>
    </row>
    <row r="304" spans="1:19" ht="13.5" thickBot="1" x14ac:dyDescent="0.25">
      <c r="A304" s="2" t="s">
        <v>767</v>
      </c>
      <c r="B304" s="1" t="s">
        <v>766</v>
      </c>
      <c r="C304" s="2" t="s">
        <v>29</v>
      </c>
      <c r="D304" s="2" t="s">
        <v>1823</v>
      </c>
      <c r="E304" s="6">
        <v>41982</v>
      </c>
      <c r="F304" s="6">
        <v>85224</v>
      </c>
      <c r="G304" s="4">
        <v>40</v>
      </c>
      <c r="H304" s="172" t="s">
        <v>872</v>
      </c>
      <c r="I304" s="172" t="s">
        <v>872</v>
      </c>
      <c r="J304" s="172" t="s">
        <v>872</v>
      </c>
      <c r="K304" s="172" t="s">
        <v>872</v>
      </c>
      <c r="L304" s="172" t="s">
        <v>872</v>
      </c>
      <c r="M304" s="172" t="s">
        <v>872</v>
      </c>
      <c r="N304" s="172" t="s">
        <v>873</v>
      </c>
      <c r="O304" s="172" t="s">
        <v>872</v>
      </c>
      <c r="P304" s="172" t="s">
        <v>873</v>
      </c>
      <c r="Q304" s="172" t="s">
        <v>872</v>
      </c>
      <c r="R304" s="172" t="s">
        <v>872</v>
      </c>
      <c r="S304" s="172" t="s">
        <v>872</v>
      </c>
    </row>
    <row r="305" spans="1:19" ht="13.5" thickBot="1" x14ac:dyDescent="0.25">
      <c r="A305" s="2" t="s">
        <v>771</v>
      </c>
      <c r="B305" s="1" t="s">
        <v>770</v>
      </c>
      <c r="C305" s="2" t="s">
        <v>29</v>
      </c>
      <c r="D305" s="2" t="s">
        <v>1823</v>
      </c>
      <c r="E305" s="6">
        <v>46000</v>
      </c>
      <c r="F305" s="6">
        <v>51000</v>
      </c>
      <c r="G305" s="4">
        <v>40</v>
      </c>
      <c r="H305" s="172" t="s">
        <v>872</v>
      </c>
      <c r="I305" s="172" t="s">
        <v>872</v>
      </c>
      <c r="J305" s="172" t="s">
        <v>872</v>
      </c>
      <c r="K305" s="172" t="s">
        <v>872</v>
      </c>
      <c r="L305" s="172" t="s">
        <v>872</v>
      </c>
      <c r="M305" s="172" t="s">
        <v>872</v>
      </c>
      <c r="N305" s="172" t="s">
        <v>872</v>
      </c>
      <c r="O305" s="172" t="s">
        <v>873</v>
      </c>
      <c r="P305" s="172" t="s">
        <v>872</v>
      </c>
      <c r="Q305" s="172" t="s">
        <v>873</v>
      </c>
      <c r="R305" s="172" t="s">
        <v>872</v>
      </c>
      <c r="S305" s="172" t="s">
        <v>873</v>
      </c>
    </row>
    <row r="306" spans="1:19" ht="13.5" thickBot="1" x14ac:dyDescent="0.25">
      <c r="A306" s="2" t="s">
        <v>791</v>
      </c>
      <c r="B306" s="1" t="s">
        <v>790</v>
      </c>
      <c r="C306" s="2" t="s">
        <v>29</v>
      </c>
      <c r="D306" s="2" t="s">
        <v>1823</v>
      </c>
      <c r="E306" s="6">
        <v>45000</v>
      </c>
      <c r="F306" s="6">
        <v>55000</v>
      </c>
      <c r="G306" s="4">
        <v>40</v>
      </c>
      <c r="H306" s="172" t="s">
        <v>872</v>
      </c>
      <c r="I306" s="172" t="s">
        <v>872</v>
      </c>
      <c r="J306" s="172" t="s">
        <v>873</v>
      </c>
      <c r="K306" s="172" t="s">
        <v>873</v>
      </c>
      <c r="L306" s="172" t="s">
        <v>872</v>
      </c>
      <c r="M306" s="172" t="s">
        <v>872</v>
      </c>
      <c r="N306" s="172" t="s">
        <v>872</v>
      </c>
      <c r="O306" s="172" t="s">
        <v>873</v>
      </c>
      <c r="P306" s="172" t="s">
        <v>872</v>
      </c>
      <c r="Q306" s="172" t="s">
        <v>873</v>
      </c>
      <c r="R306" s="172" t="s">
        <v>873</v>
      </c>
      <c r="S306" s="172" t="s">
        <v>873</v>
      </c>
    </row>
    <row r="307" spans="1:19" ht="13.5" thickBot="1" x14ac:dyDescent="0.25">
      <c r="A307" s="2" t="s">
        <v>813</v>
      </c>
      <c r="B307" s="1" t="s">
        <v>812</v>
      </c>
      <c r="C307" s="2" t="s">
        <v>29</v>
      </c>
      <c r="D307" s="2" t="s">
        <v>1823</v>
      </c>
      <c r="E307" s="6">
        <v>60000</v>
      </c>
      <c r="F307" s="6">
        <v>65000</v>
      </c>
      <c r="G307" s="4">
        <v>38</v>
      </c>
      <c r="H307" s="172" t="s">
        <v>872</v>
      </c>
      <c r="I307" s="172" t="s">
        <v>872</v>
      </c>
      <c r="J307" s="172" t="s">
        <v>872</v>
      </c>
      <c r="K307" s="172" t="s">
        <v>872</v>
      </c>
      <c r="L307" s="172" t="s">
        <v>872</v>
      </c>
      <c r="M307" s="172" t="s">
        <v>872</v>
      </c>
      <c r="N307" s="172" t="s">
        <v>872</v>
      </c>
      <c r="O307" s="172" t="s">
        <v>873</v>
      </c>
      <c r="P307" s="172" t="s">
        <v>872</v>
      </c>
      <c r="Q307" s="172" t="s">
        <v>872</v>
      </c>
      <c r="R307" s="172" t="s">
        <v>873</v>
      </c>
      <c r="S307" s="172" t="s">
        <v>873</v>
      </c>
    </row>
    <row r="308" spans="1:19" ht="13.5" thickBot="1" x14ac:dyDescent="0.25">
      <c r="A308" s="2" t="s">
        <v>839</v>
      </c>
      <c r="B308" s="1" t="s">
        <v>838</v>
      </c>
      <c r="C308" s="2" t="s">
        <v>29</v>
      </c>
      <c r="D308" s="2" t="s">
        <v>1823</v>
      </c>
      <c r="E308" s="6">
        <v>53159</v>
      </c>
      <c r="F308" s="6">
        <v>66449</v>
      </c>
      <c r="G308" s="4">
        <v>40</v>
      </c>
      <c r="H308" s="172" t="s">
        <v>872</v>
      </c>
      <c r="I308" s="172" t="s">
        <v>872</v>
      </c>
      <c r="J308" s="172" t="s">
        <v>872</v>
      </c>
      <c r="K308" s="172" t="s">
        <v>872</v>
      </c>
      <c r="L308" s="172" t="s">
        <v>872</v>
      </c>
      <c r="M308" s="172" t="s">
        <v>872</v>
      </c>
      <c r="N308" s="172" t="s">
        <v>872</v>
      </c>
      <c r="O308" s="172" t="s">
        <v>872</v>
      </c>
      <c r="P308" s="172" t="s">
        <v>872</v>
      </c>
      <c r="Q308" s="172" t="s">
        <v>872</v>
      </c>
      <c r="R308" s="172" t="s">
        <v>872</v>
      </c>
      <c r="S308" s="172" t="s">
        <v>873</v>
      </c>
    </row>
    <row r="309" spans="1:19" ht="13.5" thickBot="1" x14ac:dyDescent="0.25">
      <c r="A309" s="2" t="s">
        <v>44</v>
      </c>
      <c r="B309" s="1" t="s">
        <v>43</v>
      </c>
      <c r="C309" s="2" t="s">
        <v>45</v>
      </c>
      <c r="D309" s="2" t="s">
        <v>1823</v>
      </c>
      <c r="E309" s="6">
        <v>65000</v>
      </c>
      <c r="F309" s="6">
        <v>75000</v>
      </c>
      <c r="G309" s="4">
        <v>35</v>
      </c>
      <c r="H309" s="172" t="s">
        <v>872</v>
      </c>
      <c r="I309" s="172" t="s">
        <v>872</v>
      </c>
      <c r="J309" s="172" t="s">
        <v>872</v>
      </c>
      <c r="K309" s="172" t="s">
        <v>872</v>
      </c>
      <c r="L309" s="172" t="s">
        <v>872</v>
      </c>
      <c r="M309" s="172" t="s">
        <v>872</v>
      </c>
      <c r="N309" s="172" t="s">
        <v>872</v>
      </c>
      <c r="O309" s="172" t="s">
        <v>872</v>
      </c>
      <c r="P309" s="172" t="s">
        <v>872</v>
      </c>
      <c r="Q309" s="172" t="s">
        <v>872</v>
      </c>
      <c r="R309" s="172" t="s">
        <v>872</v>
      </c>
      <c r="S309" s="172" t="s">
        <v>873</v>
      </c>
    </row>
    <row r="310" spans="1:19" ht="13.5" thickBot="1" x14ac:dyDescent="0.25">
      <c r="A310" s="2" t="s">
        <v>47</v>
      </c>
      <c r="B310" s="1" t="s">
        <v>46</v>
      </c>
      <c r="C310" s="2" t="s">
        <v>45</v>
      </c>
      <c r="D310" s="2" t="s">
        <v>1823</v>
      </c>
      <c r="E310" s="6">
        <v>49509</v>
      </c>
      <c r="F310" s="6">
        <v>69313</v>
      </c>
      <c r="G310" s="4">
        <v>40</v>
      </c>
      <c r="H310" s="172" t="s">
        <v>872</v>
      </c>
      <c r="I310" s="172" t="s">
        <v>872</v>
      </c>
      <c r="J310" s="172" t="s">
        <v>872</v>
      </c>
      <c r="K310" s="172" t="s">
        <v>872</v>
      </c>
      <c r="L310" s="172" t="s">
        <v>872</v>
      </c>
      <c r="M310" s="172" t="s">
        <v>872</v>
      </c>
      <c r="N310" s="172" t="s">
        <v>872</v>
      </c>
      <c r="O310" s="172" t="s">
        <v>872</v>
      </c>
      <c r="P310" s="172" t="s">
        <v>872</v>
      </c>
      <c r="Q310" s="172" t="s">
        <v>872</v>
      </c>
      <c r="R310" s="172" t="s">
        <v>872</v>
      </c>
      <c r="S310" s="172" t="s">
        <v>873</v>
      </c>
    </row>
    <row r="311" spans="1:19" ht="13.5" thickBot="1" x14ac:dyDescent="0.25">
      <c r="A311" s="2" t="s">
        <v>55</v>
      </c>
      <c r="B311" s="1" t="s">
        <v>54</v>
      </c>
      <c r="C311" s="2" t="s">
        <v>45</v>
      </c>
      <c r="D311" s="2" t="s">
        <v>1823</v>
      </c>
      <c r="E311" s="6">
        <v>74921</v>
      </c>
      <c r="F311" s="6">
        <v>74921</v>
      </c>
      <c r="G311" s="4">
        <v>40</v>
      </c>
      <c r="H311" s="172" t="s">
        <v>872</v>
      </c>
      <c r="I311" s="172" t="s">
        <v>872</v>
      </c>
      <c r="J311" s="172" t="s">
        <v>872</v>
      </c>
      <c r="K311" s="172" t="s">
        <v>872</v>
      </c>
      <c r="L311" s="172" t="s">
        <v>872</v>
      </c>
      <c r="M311" s="172" t="s">
        <v>872</v>
      </c>
      <c r="N311" s="172" t="s">
        <v>872</v>
      </c>
      <c r="O311" s="172" t="s">
        <v>872</v>
      </c>
      <c r="P311" s="172" t="s">
        <v>872</v>
      </c>
      <c r="Q311" s="172" t="s">
        <v>873</v>
      </c>
      <c r="R311" s="172" t="s">
        <v>873</v>
      </c>
      <c r="S311" s="172" t="s">
        <v>873</v>
      </c>
    </row>
    <row r="312" spans="1:19" ht="13.5" thickBot="1" x14ac:dyDescent="0.25">
      <c r="A312" s="2" t="s">
        <v>80</v>
      </c>
      <c r="B312" s="1" t="s">
        <v>79</v>
      </c>
      <c r="C312" s="2" t="s">
        <v>45</v>
      </c>
      <c r="D312" s="2" t="s">
        <v>1823</v>
      </c>
      <c r="E312" s="6">
        <v>86000</v>
      </c>
      <c r="F312" s="6">
        <v>93995</v>
      </c>
      <c r="G312" s="4">
        <v>40</v>
      </c>
      <c r="H312" s="172" t="s">
        <v>872</v>
      </c>
      <c r="I312" s="172" t="s">
        <v>872</v>
      </c>
      <c r="J312" s="172" t="s">
        <v>872</v>
      </c>
      <c r="K312" s="172" t="s">
        <v>872</v>
      </c>
      <c r="L312" s="172" t="s">
        <v>872</v>
      </c>
      <c r="M312" s="172" t="s">
        <v>872</v>
      </c>
      <c r="N312" s="172" t="s">
        <v>872</v>
      </c>
      <c r="O312" s="172" t="s">
        <v>872</v>
      </c>
      <c r="P312" s="172" t="s">
        <v>872</v>
      </c>
      <c r="Q312" s="172" t="s">
        <v>873</v>
      </c>
      <c r="R312" s="172" t="s">
        <v>872</v>
      </c>
      <c r="S312" s="172" t="s">
        <v>873</v>
      </c>
    </row>
    <row r="313" spans="1:19" ht="13.5" thickBot="1" x14ac:dyDescent="0.25">
      <c r="A313" s="2" t="s">
        <v>92</v>
      </c>
      <c r="B313" s="1" t="s">
        <v>91</v>
      </c>
      <c r="C313" s="2" t="s">
        <v>45</v>
      </c>
      <c r="D313" s="2" t="s">
        <v>1823</v>
      </c>
      <c r="E313" s="6">
        <v>76000</v>
      </c>
      <c r="F313" s="6">
        <v>85000</v>
      </c>
      <c r="G313" s="4">
        <v>40</v>
      </c>
      <c r="H313" s="172" t="s">
        <v>872</v>
      </c>
      <c r="I313" s="172" t="s">
        <v>872</v>
      </c>
      <c r="J313" s="172" t="s">
        <v>872</v>
      </c>
      <c r="K313" s="172" t="s">
        <v>872</v>
      </c>
      <c r="L313" s="172" t="s">
        <v>872</v>
      </c>
      <c r="M313" s="172" t="s">
        <v>872</v>
      </c>
      <c r="N313" s="172" t="s">
        <v>872</v>
      </c>
      <c r="O313" s="172" t="s">
        <v>872</v>
      </c>
      <c r="P313" s="172" t="s">
        <v>872</v>
      </c>
      <c r="Q313" s="172" t="s">
        <v>872</v>
      </c>
      <c r="R313" s="172" t="s">
        <v>872</v>
      </c>
      <c r="S313" s="172" t="s">
        <v>873</v>
      </c>
    </row>
    <row r="314" spans="1:19" ht="13.5" thickBot="1" x14ac:dyDescent="0.25">
      <c r="A314" s="2" t="s">
        <v>114</v>
      </c>
      <c r="B314" s="1" t="s">
        <v>113</v>
      </c>
      <c r="C314" s="2" t="s">
        <v>45</v>
      </c>
      <c r="D314" s="2" t="s">
        <v>1823</v>
      </c>
      <c r="E314" s="6">
        <v>108479</v>
      </c>
      <c r="F314" s="6">
        <v>108479</v>
      </c>
      <c r="G314" s="4">
        <v>38</v>
      </c>
      <c r="H314" s="172" t="s">
        <v>872</v>
      </c>
      <c r="I314" s="172" t="s">
        <v>872</v>
      </c>
      <c r="J314" s="172" t="s">
        <v>872</v>
      </c>
      <c r="K314" s="172" t="s">
        <v>872</v>
      </c>
      <c r="L314" s="172" t="s">
        <v>872</v>
      </c>
      <c r="M314" s="172" t="s">
        <v>872</v>
      </c>
      <c r="N314" s="172" t="s">
        <v>872</v>
      </c>
      <c r="O314" s="172" t="s">
        <v>872</v>
      </c>
      <c r="P314" s="172" t="s">
        <v>872</v>
      </c>
      <c r="Q314" s="172" t="s">
        <v>872</v>
      </c>
      <c r="R314" s="172" t="s">
        <v>872</v>
      </c>
      <c r="S314" s="172" t="s">
        <v>873</v>
      </c>
    </row>
    <row r="315" spans="1:19" ht="13.5" thickBot="1" x14ac:dyDescent="0.25">
      <c r="A315" s="2" t="s">
        <v>120</v>
      </c>
      <c r="B315" s="1" t="s">
        <v>119</v>
      </c>
      <c r="C315" s="2" t="s">
        <v>45</v>
      </c>
      <c r="D315" s="2" t="s">
        <v>1823</v>
      </c>
      <c r="E315" s="6">
        <v>74675</v>
      </c>
      <c r="F315" s="6">
        <v>76915</v>
      </c>
      <c r="G315" s="4">
        <v>40</v>
      </c>
      <c r="H315" s="172" t="s">
        <v>872</v>
      </c>
      <c r="I315" s="172" t="s">
        <v>872</v>
      </c>
      <c r="J315" s="172" t="s">
        <v>872</v>
      </c>
      <c r="K315" s="172" t="s">
        <v>873</v>
      </c>
      <c r="L315" s="172" t="s">
        <v>872</v>
      </c>
      <c r="M315" s="172" t="s">
        <v>873</v>
      </c>
      <c r="N315" s="172" t="s">
        <v>873</v>
      </c>
      <c r="O315" s="172" t="s">
        <v>873</v>
      </c>
      <c r="P315" s="172" t="s">
        <v>872</v>
      </c>
      <c r="Q315" s="172" t="s">
        <v>872</v>
      </c>
      <c r="R315" s="172" t="s">
        <v>873</v>
      </c>
      <c r="S315" s="172" t="s">
        <v>873</v>
      </c>
    </row>
    <row r="316" spans="1:19" ht="13.5" thickBot="1" x14ac:dyDescent="0.25">
      <c r="A316" s="2" t="s">
        <v>130</v>
      </c>
      <c r="B316" s="1" t="s">
        <v>129</v>
      </c>
      <c r="C316" s="2" t="s">
        <v>45</v>
      </c>
      <c r="D316" s="2" t="s">
        <v>1823</v>
      </c>
      <c r="E316" s="6">
        <v>72979</v>
      </c>
      <c r="F316" s="6">
        <v>94467</v>
      </c>
      <c r="G316" s="4">
        <v>40</v>
      </c>
      <c r="H316" s="172" t="s">
        <v>872</v>
      </c>
      <c r="I316" s="172" t="s">
        <v>872</v>
      </c>
      <c r="J316" s="172" t="s">
        <v>872</v>
      </c>
      <c r="K316" s="172" t="s">
        <v>872</v>
      </c>
      <c r="L316" s="172" t="s">
        <v>873</v>
      </c>
      <c r="M316" s="172" t="s">
        <v>872</v>
      </c>
      <c r="N316" s="172" t="s">
        <v>872</v>
      </c>
      <c r="O316" s="172" t="s">
        <v>872</v>
      </c>
      <c r="P316" s="172" t="s">
        <v>872</v>
      </c>
      <c r="Q316" s="172" t="s">
        <v>872</v>
      </c>
      <c r="R316" s="172" t="s">
        <v>872</v>
      </c>
      <c r="S316" s="172" t="s">
        <v>873</v>
      </c>
    </row>
    <row r="317" spans="1:19" ht="13.5" thickBot="1" x14ac:dyDescent="0.25">
      <c r="A317" s="2" t="s">
        <v>142</v>
      </c>
      <c r="B317" s="1" t="s">
        <v>141</v>
      </c>
      <c r="C317" s="2" t="s">
        <v>45</v>
      </c>
      <c r="D317" s="2" t="s">
        <v>1823</v>
      </c>
      <c r="E317" s="6">
        <v>61880</v>
      </c>
      <c r="F317" s="6">
        <v>61880</v>
      </c>
      <c r="G317" s="4">
        <v>40</v>
      </c>
      <c r="H317" s="172" t="s">
        <v>872</v>
      </c>
      <c r="I317" s="172" t="s">
        <v>872</v>
      </c>
      <c r="J317" s="172" t="s">
        <v>872</v>
      </c>
      <c r="K317" s="172" t="s">
        <v>872</v>
      </c>
      <c r="L317" s="172" t="s">
        <v>872</v>
      </c>
      <c r="M317" s="172" t="s">
        <v>872</v>
      </c>
      <c r="N317" s="172" t="s">
        <v>872</v>
      </c>
      <c r="O317" s="172" t="s">
        <v>873</v>
      </c>
      <c r="P317" s="172" t="s">
        <v>872</v>
      </c>
      <c r="Q317" s="172" t="s">
        <v>872</v>
      </c>
      <c r="R317" s="172" t="s">
        <v>873</v>
      </c>
      <c r="S317" s="172" t="s">
        <v>872</v>
      </c>
    </row>
    <row r="318" spans="1:19" ht="13.5" thickBot="1" x14ac:dyDescent="0.25">
      <c r="A318" s="2" t="s">
        <v>158</v>
      </c>
      <c r="B318" s="1" t="s">
        <v>157</v>
      </c>
      <c r="C318" s="2" t="s">
        <v>45</v>
      </c>
      <c r="D318" s="2" t="s">
        <v>1823</v>
      </c>
      <c r="E318" s="6">
        <v>55161</v>
      </c>
      <c r="F318" s="6">
        <v>55161</v>
      </c>
      <c r="G318" s="4">
        <v>55</v>
      </c>
      <c r="H318" s="172" t="s">
        <v>872</v>
      </c>
      <c r="I318" s="172" t="s">
        <v>872</v>
      </c>
      <c r="J318" s="172" t="s">
        <v>872</v>
      </c>
      <c r="K318" s="172" t="s">
        <v>872</v>
      </c>
      <c r="L318" s="172" t="s">
        <v>872</v>
      </c>
      <c r="M318" s="172" t="s">
        <v>872</v>
      </c>
      <c r="N318" s="172" t="s">
        <v>872</v>
      </c>
      <c r="O318" s="172" t="s">
        <v>872</v>
      </c>
      <c r="P318" s="172" t="s">
        <v>872</v>
      </c>
      <c r="Q318" s="172" t="s">
        <v>873</v>
      </c>
      <c r="R318" s="172" t="s">
        <v>873</v>
      </c>
      <c r="S318" s="172" t="s">
        <v>873</v>
      </c>
    </row>
    <row r="319" spans="1:19" ht="13.5" thickBot="1" x14ac:dyDescent="0.25">
      <c r="A319" s="2" t="s">
        <v>178</v>
      </c>
      <c r="B319" s="1" t="s">
        <v>177</v>
      </c>
      <c r="C319" s="2" t="s">
        <v>45</v>
      </c>
      <c r="D319" s="2" t="s">
        <v>1823</v>
      </c>
      <c r="E319" s="6">
        <v>72500</v>
      </c>
      <c r="F319" s="6">
        <v>97600</v>
      </c>
      <c r="G319" s="4">
        <v>38</v>
      </c>
      <c r="H319" s="172" t="s">
        <v>872</v>
      </c>
      <c r="I319" s="172" t="s">
        <v>872</v>
      </c>
      <c r="J319" s="172" t="s">
        <v>872</v>
      </c>
      <c r="K319" s="172" t="s">
        <v>872</v>
      </c>
      <c r="L319" s="172" t="s">
        <v>872</v>
      </c>
      <c r="M319" s="172" t="s">
        <v>872</v>
      </c>
      <c r="N319" s="172" t="s">
        <v>872</v>
      </c>
      <c r="O319" s="172" t="s">
        <v>872</v>
      </c>
      <c r="P319" s="172" t="s">
        <v>872</v>
      </c>
      <c r="Q319" s="172" t="s">
        <v>872</v>
      </c>
      <c r="R319" s="172" t="s">
        <v>872</v>
      </c>
      <c r="S319" s="172" t="s">
        <v>872</v>
      </c>
    </row>
    <row r="320" spans="1:19" ht="13.5" thickBot="1" x14ac:dyDescent="0.25">
      <c r="A320" s="2" t="s">
        <v>182</v>
      </c>
      <c r="B320" s="1" t="s">
        <v>181</v>
      </c>
      <c r="C320" s="2" t="s">
        <v>45</v>
      </c>
      <c r="D320" s="2" t="s">
        <v>1823</v>
      </c>
      <c r="E320" s="6">
        <v>65000</v>
      </c>
      <c r="F320" s="6">
        <v>88000</v>
      </c>
      <c r="G320" s="4">
        <v>40</v>
      </c>
      <c r="H320" s="172" t="s">
        <v>872</v>
      </c>
      <c r="I320" s="172" t="s">
        <v>872</v>
      </c>
      <c r="J320" s="172" t="s">
        <v>872</v>
      </c>
      <c r="K320" s="172" t="s">
        <v>872</v>
      </c>
      <c r="L320" s="172" t="s">
        <v>873</v>
      </c>
      <c r="M320" s="172" t="s">
        <v>872</v>
      </c>
      <c r="N320" s="172" t="s">
        <v>872</v>
      </c>
      <c r="O320" s="172" t="s">
        <v>872</v>
      </c>
      <c r="P320" s="172" t="s">
        <v>872</v>
      </c>
      <c r="Q320" s="172" t="s">
        <v>873</v>
      </c>
      <c r="R320" s="172" t="s">
        <v>872</v>
      </c>
      <c r="S320" s="172" t="s">
        <v>873</v>
      </c>
    </row>
    <row r="321" spans="1:19" ht="13.5" thickBot="1" x14ac:dyDescent="0.25">
      <c r="A321" s="2" t="s">
        <v>196</v>
      </c>
      <c r="B321" s="1" t="s">
        <v>195</v>
      </c>
      <c r="C321" s="2" t="s">
        <v>45</v>
      </c>
      <c r="D321" s="2" t="s">
        <v>1823</v>
      </c>
      <c r="E321" s="6">
        <v>65000</v>
      </c>
      <c r="F321" s="6">
        <v>75000</v>
      </c>
      <c r="G321" s="4">
        <v>38</v>
      </c>
      <c r="H321" s="172" t="s">
        <v>872</v>
      </c>
      <c r="I321" s="172" t="s">
        <v>872</v>
      </c>
      <c r="J321" s="172" t="s">
        <v>872</v>
      </c>
      <c r="K321" s="172" t="s">
        <v>872</v>
      </c>
      <c r="L321" s="172" t="s">
        <v>872</v>
      </c>
      <c r="M321" s="172" t="s">
        <v>872</v>
      </c>
      <c r="N321" s="172" t="s">
        <v>872</v>
      </c>
      <c r="O321" s="172" t="s">
        <v>873</v>
      </c>
      <c r="P321" s="172" t="s">
        <v>872</v>
      </c>
      <c r="Q321" s="172" t="s">
        <v>872</v>
      </c>
      <c r="R321" s="172" t="s">
        <v>872</v>
      </c>
      <c r="S321" s="172" t="s">
        <v>873</v>
      </c>
    </row>
    <row r="322" spans="1:19" ht="13.5" thickBot="1" x14ac:dyDescent="0.25">
      <c r="A322" s="2" t="s">
        <v>198</v>
      </c>
      <c r="B322" s="1" t="s">
        <v>197</v>
      </c>
      <c r="C322" s="2" t="s">
        <v>45</v>
      </c>
      <c r="D322" s="2" t="s">
        <v>1823</v>
      </c>
      <c r="E322" s="6">
        <v>48000</v>
      </c>
      <c r="F322" s="6">
        <v>56000</v>
      </c>
      <c r="G322" s="4">
        <v>40</v>
      </c>
      <c r="H322" s="172" t="s">
        <v>872</v>
      </c>
      <c r="I322" s="172" t="s">
        <v>872</v>
      </c>
      <c r="J322" s="172" t="s">
        <v>872</v>
      </c>
      <c r="K322" s="172" t="s">
        <v>873</v>
      </c>
      <c r="L322" s="172" t="s">
        <v>872</v>
      </c>
      <c r="M322" s="172" t="s">
        <v>872</v>
      </c>
      <c r="N322" s="172" t="s">
        <v>872</v>
      </c>
      <c r="O322" s="172" t="s">
        <v>873</v>
      </c>
      <c r="P322" s="172" t="s">
        <v>872</v>
      </c>
      <c r="Q322" s="172" t="s">
        <v>873</v>
      </c>
      <c r="R322" s="172" t="s">
        <v>873</v>
      </c>
      <c r="S322" s="172" t="s">
        <v>873</v>
      </c>
    </row>
    <row r="323" spans="1:19" ht="13.5" thickBot="1" x14ac:dyDescent="0.25">
      <c r="A323" s="2" t="s">
        <v>208</v>
      </c>
      <c r="B323" s="1" t="s">
        <v>207</v>
      </c>
      <c r="C323" s="2" t="s">
        <v>45</v>
      </c>
      <c r="D323" s="2" t="s">
        <v>1823</v>
      </c>
      <c r="E323" s="6">
        <v>69264</v>
      </c>
      <c r="F323" s="6">
        <v>101941</v>
      </c>
      <c r="G323" s="4">
        <v>40</v>
      </c>
      <c r="H323" s="172" t="s">
        <v>872</v>
      </c>
      <c r="I323" s="172" t="s">
        <v>872</v>
      </c>
      <c r="J323" s="172" t="s">
        <v>872</v>
      </c>
      <c r="K323" s="172" t="s">
        <v>872</v>
      </c>
      <c r="L323" s="172" t="s">
        <v>872</v>
      </c>
      <c r="M323" s="172" t="s">
        <v>872</v>
      </c>
      <c r="N323" s="172" t="s">
        <v>872</v>
      </c>
      <c r="O323" s="172" t="s">
        <v>872</v>
      </c>
      <c r="P323" s="172" t="s">
        <v>872</v>
      </c>
      <c r="Q323" s="172" t="s">
        <v>872</v>
      </c>
      <c r="R323" s="172" t="s">
        <v>872</v>
      </c>
      <c r="S323" s="172" t="s">
        <v>873</v>
      </c>
    </row>
    <row r="324" spans="1:19" ht="13.5" thickBot="1" x14ac:dyDescent="0.25">
      <c r="A324" s="2" t="s">
        <v>227</v>
      </c>
      <c r="B324" s="1" t="s">
        <v>226</v>
      </c>
      <c r="C324" s="2" t="s">
        <v>45</v>
      </c>
      <c r="D324" s="2" t="s">
        <v>1823</v>
      </c>
      <c r="E324" s="6">
        <v>67821</v>
      </c>
      <c r="F324" s="6">
        <v>88171</v>
      </c>
      <c r="G324" s="4">
        <v>40</v>
      </c>
      <c r="H324" s="172" t="s">
        <v>872</v>
      </c>
      <c r="I324" s="172" t="s">
        <v>872</v>
      </c>
      <c r="J324" s="172" t="s">
        <v>872</v>
      </c>
      <c r="K324" s="172" t="s">
        <v>872</v>
      </c>
      <c r="L324" s="172" t="s">
        <v>873</v>
      </c>
      <c r="M324" s="172" t="s">
        <v>872</v>
      </c>
      <c r="N324" s="172" t="s">
        <v>872</v>
      </c>
      <c r="O324" s="172" t="s">
        <v>872</v>
      </c>
      <c r="P324" s="172" t="s">
        <v>872</v>
      </c>
      <c r="Q324" s="172" t="s">
        <v>872</v>
      </c>
      <c r="R324" s="172" t="s">
        <v>872</v>
      </c>
      <c r="S324" s="172" t="s">
        <v>872</v>
      </c>
    </row>
    <row r="325" spans="1:19" ht="13.5" thickBot="1" x14ac:dyDescent="0.25">
      <c r="A325" s="2" t="s">
        <v>239</v>
      </c>
      <c r="B325" s="1" t="s">
        <v>238</v>
      </c>
      <c r="C325" s="2" t="s">
        <v>45</v>
      </c>
      <c r="D325" s="2" t="s">
        <v>1823</v>
      </c>
      <c r="E325" s="6">
        <v>61048</v>
      </c>
      <c r="F325" s="6">
        <v>61048</v>
      </c>
      <c r="G325" s="4">
        <v>40</v>
      </c>
      <c r="H325" s="172" t="s">
        <v>872</v>
      </c>
      <c r="I325" s="172" t="s">
        <v>872</v>
      </c>
      <c r="J325" s="172" t="s">
        <v>872</v>
      </c>
      <c r="K325" s="172" t="s">
        <v>872</v>
      </c>
      <c r="L325" s="172" t="s">
        <v>872</v>
      </c>
      <c r="M325" s="172" t="s">
        <v>872</v>
      </c>
      <c r="N325" s="172" t="s">
        <v>872</v>
      </c>
      <c r="O325" s="172" t="s">
        <v>872</v>
      </c>
      <c r="P325" s="172" t="s">
        <v>872</v>
      </c>
      <c r="Q325" s="172" t="s">
        <v>873</v>
      </c>
      <c r="R325" s="172" t="s">
        <v>873</v>
      </c>
      <c r="S325" s="172" t="s">
        <v>873</v>
      </c>
    </row>
    <row r="326" spans="1:19" ht="13.5" thickBot="1" x14ac:dyDescent="0.25">
      <c r="A326" s="2" t="s">
        <v>251</v>
      </c>
      <c r="B326" s="1" t="s">
        <v>250</v>
      </c>
      <c r="C326" s="2" t="s">
        <v>45</v>
      </c>
      <c r="D326" s="2" t="s">
        <v>1823</v>
      </c>
      <c r="E326" s="6">
        <v>81286</v>
      </c>
      <c r="F326" s="6">
        <v>113805</v>
      </c>
      <c r="G326" s="4">
        <v>45</v>
      </c>
      <c r="H326" s="172" t="s">
        <v>872</v>
      </c>
      <c r="I326" s="172" t="s">
        <v>872</v>
      </c>
      <c r="J326" s="172" t="s">
        <v>873</v>
      </c>
      <c r="K326" s="172" t="s">
        <v>872</v>
      </c>
      <c r="L326" s="172" t="s">
        <v>873</v>
      </c>
      <c r="M326" s="172" t="s">
        <v>872</v>
      </c>
      <c r="N326" s="172" t="s">
        <v>872</v>
      </c>
      <c r="O326" s="172" t="s">
        <v>873</v>
      </c>
      <c r="P326" s="172" t="s">
        <v>872</v>
      </c>
      <c r="Q326" s="172" t="s">
        <v>872</v>
      </c>
      <c r="R326" s="172" t="s">
        <v>872</v>
      </c>
      <c r="S326" s="172" t="s">
        <v>872</v>
      </c>
    </row>
    <row r="327" spans="1:19" ht="13.5" thickBot="1" x14ac:dyDescent="0.25">
      <c r="A327" s="2" t="s">
        <v>253</v>
      </c>
      <c r="B327" s="1" t="s">
        <v>252</v>
      </c>
      <c r="C327" s="2" t="s">
        <v>45</v>
      </c>
      <c r="D327" s="2" t="s">
        <v>1823</v>
      </c>
      <c r="E327" s="6">
        <v>65094</v>
      </c>
      <c r="F327" s="6">
        <v>88853</v>
      </c>
      <c r="G327" s="4">
        <v>40</v>
      </c>
      <c r="H327" s="172" t="s">
        <v>872</v>
      </c>
      <c r="I327" s="172" t="s">
        <v>872</v>
      </c>
      <c r="J327" s="172" t="s">
        <v>872</v>
      </c>
      <c r="K327" s="172" t="s">
        <v>872</v>
      </c>
      <c r="L327" s="172" t="s">
        <v>872</v>
      </c>
      <c r="M327" s="172" t="s">
        <v>872</v>
      </c>
      <c r="N327" s="172" t="s">
        <v>872</v>
      </c>
      <c r="O327" s="172" t="s">
        <v>872</v>
      </c>
      <c r="P327" s="172" t="s">
        <v>872</v>
      </c>
      <c r="Q327" s="172" t="s">
        <v>872</v>
      </c>
      <c r="R327" s="172" t="s">
        <v>872</v>
      </c>
      <c r="S327" s="172" t="s">
        <v>872</v>
      </c>
    </row>
    <row r="328" spans="1:19" ht="13.5" thickBot="1" x14ac:dyDescent="0.25">
      <c r="A328" s="2" t="s">
        <v>313</v>
      </c>
      <c r="B328" s="1" t="s">
        <v>312</v>
      </c>
      <c r="C328" s="2" t="s">
        <v>45</v>
      </c>
      <c r="D328" s="2" t="s">
        <v>1823</v>
      </c>
      <c r="E328" s="169" t="s">
        <v>16</v>
      </c>
      <c r="F328" s="6">
        <v>65418</v>
      </c>
      <c r="G328" s="4">
        <v>40</v>
      </c>
      <c r="H328" s="172" t="s">
        <v>872</v>
      </c>
      <c r="I328" s="172" t="s">
        <v>873</v>
      </c>
      <c r="J328" s="172" t="s">
        <v>872</v>
      </c>
      <c r="K328" s="172" t="s">
        <v>872</v>
      </c>
      <c r="L328" s="172" t="s">
        <v>872</v>
      </c>
      <c r="M328" s="172" t="s">
        <v>872</v>
      </c>
      <c r="N328" s="172" t="s">
        <v>872</v>
      </c>
      <c r="O328" s="172" t="s">
        <v>872</v>
      </c>
      <c r="P328" s="172" t="s">
        <v>872</v>
      </c>
      <c r="Q328" s="172" t="s">
        <v>872</v>
      </c>
      <c r="R328" s="172" t="s">
        <v>873</v>
      </c>
      <c r="S328" s="172" t="s">
        <v>872</v>
      </c>
    </row>
    <row r="329" spans="1:19" ht="13.5" thickBot="1" x14ac:dyDescent="0.25">
      <c r="A329" s="2" t="s">
        <v>321</v>
      </c>
      <c r="B329" s="1" t="s">
        <v>320</v>
      </c>
      <c r="C329" s="2" t="s">
        <v>45</v>
      </c>
      <c r="D329" s="2" t="s">
        <v>1823</v>
      </c>
      <c r="E329" s="6">
        <v>65000</v>
      </c>
      <c r="F329" s="6">
        <v>78000</v>
      </c>
      <c r="G329" s="4">
        <v>40</v>
      </c>
      <c r="H329" s="172" t="s">
        <v>872</v>
      </c>
      <c r="I329" s="172" t="s">
        <v>872</v>
      </c>
      <c r="J329" s="172" t="s">
        <v>873</v>
      </c>
      <c r="K329" s="172" t="s">
        <v>872</v>
      </c>
      <c r="L329" s="172" t="s">
        <v>872</v>
      </c>
      <c r="M329" s="172" t="s">
        <v>872</v>
      </c>
      <c r="N329" s="172" t="s">
        <v>872</v>
      </c>
      <c r="O329" s="172" t="s">
        <v>872</v>
      </c>
      <c r="P329" s="172" t="s">
        <v>872</v>
      </c>
      <c r="Q329" s="172" t="s">
        <v>872</v>
      </c>
      <c r="R329" s="172" t="s">
        <v>872</v>
      </c>
      <c r="S329" s="172" t="s">
        <v>872</v>
      </c>
    </row>
    <row r="330" spans="1:19" ht="13.5" thickBot="1" x14ac:dyDescent="0.25">
      <c r="A330" s="2" t="s">
        <v>341</v>
      </c>
      <c r="B330" s="1" t="s">
        <v>340</v>
      </c>
      <c r="C330" s="2" t="s">
        <v>45</v>
      </c>
      <c r="D330" s="2" t="s">
        <v>1823</v>
      </c>
      <c r="E330" s="6">
        <v>70000</v>
      </c>
      <c r="F330" s="6">
        <v>94000</v>
      </c>
      <c r="G330" s="4">
        <v>40</v>
      </c>
      <c r="H330" s="172" t="s">
        <v>872</v>
      </c>
      <c r="I330" s="172" t="s">
        <v>872</v>
      </c>
      <c r="J330" s="172" t="s">
        <v>872</v>
      </c>
      <c r="K330" s="172" t="s">
        <v>872</v>
      </c>
      <c r="L330" s="172" t="s">
        <v>872</v>
      </c>
      <c r="M330" s="172" t="s">
        <v>872</v>
      </c>
      <c r="N330" s="172" t="s">
        <v>872</v>
      </c>
      <c r="O330" s="172" t="s">
        <v>872</v>
      </c>
      <c r="P330" s="172" t="s">
        <v>872</v>
      </c>
      <c r="Q330" s="172" t="s">
        <v>873</v>
      </c>
      <c r="R330" s="172" t="s">
        <v>872</v>
      </c>
      <c r="S330" s="172" t="s">
        <v>872</v>
      </c>
    </row>
    <row r="331" spans="1:19" ht="13.5" thickBot="1" x14ac:dyDescent="0.25">
      <c r="A331" s="2" t="s">
        <v>401</v>
      </c>
      <c r="B331" s="1" t="s">
        <v>400</v>
      </c>
      <c r="C331" s="2" t="s">
        <v>45</v>
      </c>
      <c r="D331" s="2" t="s">
        <v>1823</v>
      </c>
      <c r="E331" s="6">
        <v>50000</v>
      </c>
      <c r="F331" s="6">
        <v>60000</v>
      </c>
      <c r="G331" s="4">
        <v>40</v>
      </c>
      <c r="H331" s="172" t="s">
        <v>872</v>
      </c>
      <c r="I331" s="172" t="s">
        <v>872</v>
      </c>
      <c r="J331" s="172" t="s">
        <v>872</v>
      </c>
      <c r="K331" s="172" t="s">
        <v>873</v>
      </c>
      <c r="L331" s="172" t="s">
        <v>872</v>
      </c>
      <c r="M331" s="172" t="s">
        <v>872</v>
      </c>
      <c r="N331" s="172" t="s">
        <v>872</v>
      </c>
      <c r="O331" s="172" t="s">
        <v>872</v>
      </c>
      <c r="P331" s="172" t="s">
        <v>872</v>
      </c>
      <c r="Q331" s="172" t="s">
        <v>873</v>
      </c>
      <c r="R331" s="172" t="s">
        <v>873</v>
      </c>
      <c r="S331" s="172" t="s">
        <v>872</v>
      </c>
    </row>
    <row r="332" spans="1:19" ht="13.5" thickBot="1" x14ac:dyDescent="0.25">
      <c r="A332" s="2" t="s">
        <v>445</v>
      </c>
      <c r="B332" s="1" t="s">
        <v>444</v>
      </c>
      <c r="C332" s="2" t="s">
        <v>45</v>
      </c>
      <c r="D332" s="2" t="s">
        <v>1823</v>
      </c>
      <c r="E332" s="6">
        <v>55809</v>
      </c>
      <c r="F332" s="6">
        <v>64077</v>
      </c>
      <c r="G332" s="4">
        <v>38</v>
      </c>
      <c r="H332" s="172" t="s">
        <v>872</v>
      </c>
      <c r="I332" s="172" t="s">
        <v>872</v>
      </c>
      <c r="J332" s="172" t="s">
        <v>872</v>
      </c>
      <c r="K332" s="172" t="s">
        <v>872</v>
      </c>
      <c r="L332" s="172" t="s">
        <v>873</v>
      </c>
      <c r="M332" s="172" t="s">
        <v>872</v>
      </c>
      <c r="N332" s="172" t="s">
        <v>872</v>
      </c>
      <c r="O332" s="172" t="s">
        <v>872</v>
      </c>
      <c r="P332" s="172" t="s">
        <v>872</v>
      </c>
      <c r="Q332" s="172" t="s">
        <v>873</v>
      </c>
      <c r="R332" s="172" t="s">
        <v>872</v>
      </c>
      <c r="S332" s="172" t="s">
        <v>873</v>
      </c>
    </row>
    <row r="333" spans="1:19" ht="13.5" thickBot="1" x14ac:dyDescent="0.25">
      <c r="A333" s="2" t="s">
        <v>451</v>
      </c>
      <c r="B333" s="1" t="s">
        <v>450</v>
      </c>
      <c r="C333" s="2" t="s">
        <v>45</v>
      </c>
      <c r="D333" s="2" t="s">
        <v>1825</v>
      </c>
      <c r="E333" s="6">
        <v>60000</v>
      </c>
      <c r="F333" s="6">
        <v>65000</v>
      </c>
      <c r="G333" s="4">
        <v>40</v>
      </c>
      <c r="H333" s="172" t="s">
        <v>872</v>
      </c>
      <c r="I333" s="172" t="s">
        <v>872</v>
      </c>
      <c r="J333" s="172" t="s">
        <v>872</v>
      </c>
      <c r="K333" s="172" t="s">
        <v>872</v>
      </c>
      <c r="L333" s="172" t="s">
        <v>872</v>
      </c>
      <c r="M333" s="172" t="s">
        <v>872</v>
      </c>
      <c r="N333" s="172" t="s">
        <v>872</v>
      </c>
      <c r="O333" s="172" t="s">
        <v>872</v>
      </c>
      <c r="P333" s="172" t="s">
        <v>872</v>
      </c>
      <c r="Q333" s="172" t="s">
        <v>872</v>
      </c>
      <c r="R333" s="172" t="s">
        <v>872</v>
      </c>
      <c r="S333" s="172" t="s">
        <v>872</v>
      </c>
    </row>
    <row r="334" spans="1:19" ht="13.5" thickBot="1" x14ac:dyDescent="0.25">
      <c r="A334" s="2" t="s">
        <v>463</v>
      </c>
      <c r="B334" s="1" t="s">
        <v>462</v>
      </c>
      <c r="C334" s="2" t="s">
        <v>45</v>
      </c>
      <c r="D334" s="2" t="s">
        <v>1823</v>
      </c>
      <c r="E334" s="6">
        <v>62725</v>
      </c>
      <c r="F334" s="6">
        <v>73710</v>
      </c>
      <c r="G334" s="77">
        <v>40</v>
      </c>
      <c r="H334" s="172" t="s">
        <v>872</v>
      </c>
      <c r="I334" s="172" t="s">
        <v>872</v>
      </c>
      <c r="J334" s="172" t="s">
        <v>872</v>
      </c>
      <c r="K334" s="172" t="s">
        <v>872</v>
      </c>
      <c r="L334" s="172" t="s">
        <v>872</v>
      </c>
      <c r="M334" s="172" t="s">
        <v>872</v>
      </c>
      <c r="N334" s="172" t="s">
        <v>872</v>
      </c>
      <c r="O334" s="172" t="s">
        <v>872</v>
      </c>
      <c r="P334" s="172" t="s">
        <v>872</v>
      </c>
      <c r="Q334" s="172" t="s">
        <v>872</v>
      </c>
      <c r="R334" s="172" t="s">
        <v>872</v>
      </c>
      <c r="S334" s="172" t="s">
        <v>873</v>
      </c>
    </row>
    <row r="335" spans="1:19" ht="13.5" thickBot="1" x14ac:dyDescent="0.25">
      <c r="A335" s="2" t="s">
        <v>480</v>
      </c>
      <c r="B335" s="1" t="s">
        <v>479</v>
      </c>
      <c r="C335" s="2" t="s">
        <v>45</v>
      </c>
      <c r="D335" s="2" t="s">
        <v>1823</v>
      </c>
      <c r="E335" s="6">
        <v>84545</v>
      </c>
      <c r="F335" s="6">
        <v>93929</v>
      </c>
      <c r="G335" s="4">
        <v>38</v>
      </c>
      <c r="H335" s="172" t="s">
        <v>872</v>
      </c>
      <c r="I335" s="172" t="s">
        <v>872</v>
      </c>
      <c r="J335" s="172" t="s">
        <v>872</v>
      </c>
      <c r="K335" s="172" t="s">
        <v>872</v>
      </c>
      <c r="L335" s="172" t="s">
        <v>872</v>
      </c>
      <c r="M335" s="172" t="s">
        <v>872</v>
      </c>
      <c r="N335" s="172" t="s">
        <v>872</v>
      </c>
      <c r="O335" s="172" t="s">
        <v>872</v>
      </c>
      <c r="P335" s="172" t="s">
        <v>872</v>
      </c>
      <c r="Q335" s="172" t="s">
        <v>872</v>
      </c>
      <c r="R335" s="172" t="s">
        <v>872</v>
      </c>
      <c r="S335" s="172" t="s">
        <v>872</v>
      </c>
    </row>
    <row r="336" spans="1:19" ht="13.5" thickBot="1" x14ac:dyDescent="0.25">
      <c r="A336" s="2" t="s">
        <v>500</v>
      </c>
      <c r="B336" s="1" t="s">
        <v>499</v>
      </c>
      <c r="C336" s="2" t="s">
        <v>45</v>
      </c>
      <c r="D336" s="2" t="s">
        <v>1823</v>
      </c>
      <c r="E336" s="6">
        <v>61000</v>
      </c>
      <c r="F336" s="6">
        <v>62000</v>
      </c>
      <c r="G336" s="4">
        <v>45</v>
      </c>
      <c r="H336" s="172" t="s">
        <v>872</v>
      </c>
      <c r="I336" s="172" t="s">
        <v>873</v>
      </c>
      <c r="J336" s="172" t="s">
        <v>873</v>
      </c>
      <c r="K336" s="172" t="s">
        <v>872</v>
      </c>
      <c r="L336" s="172" t="s">
        <v>872</v>
      </c>
      <c r="M336" s="172" t="s">
        <v>872</v>
      </c>
      <c r="N336" s="172" t="s">
        <v>872</v>
      </c>
      <c r="O336" s="172" t="s">
        <v>872</v>
      </c>
      <c r="P336" s="172" t="s">
        <v>872</v>
      </c>
      <c r="Q336" s="172" t="s">
        <v>872</v>
      </c>
      <c r="R336" s="172" t="s">
        <v>872</v>
      </c>
      <c r="S336" s="172" t="s">
        <v>872</v>
      </c>
    </row>
    <row r="337" spans="1:19" ht="13.5" thickBot="1" x14ac:dyDescent="0.25">
      <c r="A337" s="2" t="s">
        <v>556</v>
      </c>
      <c r="B337" s="1" t="s">
        <v>555</v>
      </c>
      <c r="C337" s="2" t="s">
        <v>45</v>
      </c>
      <c r="D337" s="2" t="s">
        <v>1823</v>
      </c>
      <c r="E337" s="6">
        <v>85000</v>
      </c>
      <c r="F337" s="6">
        <v>92000</v>
      </c>
      <c r="G337" s="4">
        <v>38</v>
      </c>
      <c r="H337" s="172" t="s">
        <v>872</v>
      </c>
      <c r="I337" s="172" t="s">
        <v>872</v>
      </c>
      <c r="J337" s="172" t="s">
        <v>872</v>
      </c>
      <c r="K337" s="172" t="s">
        <v>872</v>
      </c>
      <c r="L337" s="172" t="s">
        <v>872</v>
      </c>
      <c r="M337" s="172" t="s">
        <v>872</v>
      </c>
      <c r="N337" s="172" t="s">
        <v>872</v>
      </c>
      <c r="O337" s="172" t="s">
        <v>872</v>
      </c>
      <c r="P337" s="172" t="s">
        <v>872</v>
      </c>
      <c r="Q337" s="172" t="s">
        <v>872</v>
      </c>
      <c r="R337" s="172" t="s">
        <v>872</v>
      </c>
      <c r="S337" s="172" t="s">
        <v>872</v>
      </c>
    </row>
    <row r="338" spans="1:19" ht="13.5" thickBot="1" x14ac:dyDescent="0.25">
      <c r="A338" s="2" t="s">
        <v>562</v>
      </c>
      <c r="B338" s="1" t="s">
        <v>561</v>
      </c>
      <c r="C338" s="2" t="s">
        <v>45</v>
      </c>
      <c r="D338" s="2" t="s">
        <v>1823</v>
      </c>
      <c r="E338" s="6">
        <v>60000</v>
      </c>
      <c r="F338" s="6">
        <v>65000</v>
      </c>
      <c r="G338" s="4">
        <v>36</v>
      </c>
      <c r="H338" s="172" t="s">
        <v>872</v>
      </c>
      <c r="I338" s="172" t="s">
        <v>872</v>
      </c>
      <c r="J338" s="172" t="s">
        <v>872</v>
      </c>
      <c r="K338" s="172" t="s">
        <v>872</v>
      </c>
      <c r="L338" s="172" t="s">
        <v>873</v>
      </c>
      <c r="M338" s="172" t="s">
        <v>872</v>
      </c>
      <c r="N338" s="172" t="s">
        <v>872</v>
      </c>
      <c r="O338" s="172" t="s">
        <v>872</v>
      </c>
      <c r="P338" s="172" t="s">
        <v>872</v>
      </c>
      <c r="Q338" s="172" t="s">
        <v>872</v>
      </c>
      <c r="R338" s="172" t="s">
        <v>872</v>
      </c>
      <c r="S338" s="172" t="s">
        <v>872</v>
      </c>
    </row>
    <row r="339" spans="1:19" ht="13.5" thickBot="1" x14ac:dyDescent="0.25">
      <c r="A339" s="2" t="s">
        <v>568</v>
      </c>
      <c r="B339" s="1" t="s">
        <v>567</v>
      </c>
      <c r="C339" s="2" t="s">
        <v>45</v>
      </c>
      <c r="D339" s="2" t="s">
        <v>1823</v>
      </c>
      <c r="E339" s="6">
        <v>80000</v>
      </c>
      <c r="F339" s="6">
        <v>93000</v>
      </c>
      <c r="G339" s="4">
        <v>38</v>
      </c>
      <c r="H339" s="172" t="s">
        <v>872</v>
      </c>
      <c r="I339" s="172" t="s">
        <v>872</v>
      </c>
      <c r="J339" s="172" t="s">
        <v>873</v>
      </c>
      <c r="K339" s="172" t="s">
        <v>872</v>
      </c>
      <c r="L339" s="172" t="s">
        <v>872</v>
      </c>
      <c r="M339" s="172" t="s">
        <v>872</v>
      </c>
      <c r="N339" s="172" t="s">
        <v>872</v>
      </c>
      <c r="O339" s="172" t="s">
        <v>872</v>
      </c>
      <c r="P339" s="172" t="s">
        <v>872</v>
      </c>
      <c r="Q339" s="172" t="s">
        <v>873</v>
      </c>
      <c r="R339" s="172" t="s">
        <v>872</v>
      </c>
      <c r="S339" s="172" t="s">
        <v>873</v>
      </c>
    </row>
    <row r="340" spans="1:19" ht="13.5" thickBot="1" x14ac:dyDescent="0.25">
      <c r="A340" s="2" t="s">
        <v>598</v>
      </c>
      <c r="B340" s="1" t="s">
        <v>597</v>
      </c>
      <c r="C340" s="2" t="s">
        <v>45</v>
      </c>
      <c r="D340" s="2" t="s">
        <v>1823</v>
      </c>
      <c r="E340" s="6">
        <v>70000</v>
      </c>
      <c r="F340" s="6">
        <v>75000</v>
      </c>
      <c r="G340" s="4">
        <v>40</v>
      </c>
      <c r="H340" s="172" t="s">
        <v>872</v>
      </c>
      <c r="I340" s="172" t="s">
        <v>872</v>
      </c>
      <c r="J340" s="172" t="s">
        <v>872</v>
      </c>
      <c r="K340" s="172" t="s">
        <v>872</v>
      </c>
      <c r="L340" s="172" t="s">
        <v>872</v>
      </c>
      <c r="M340" s="172" t="s">
        <v>872</v>
      </c>
      <c r="N340" s="172" t="s">
        <v>872</v>
      </c>
      <c r="O340" s="172" t="s">
        <v>872</v>
      </c>
      <c r="P340" s="172" t="s">
        <v>872</v>
      </c>
      <c r="Q340" s="172" t="s">
        <v>872</v>
      </c>
      <c r="R340" s="172" t="s">
        <v>872</v>
      </c>
      <c r="S340" s="172" t="s">
        <v>872</v>
      </c>
    </row>
    <row r="341" spans="1:19" ht="13.5" thickBot="1" x14ac:dyDescent="0.25">
      <c r="A341" s="2" t="s">
        <v>608</v>
      </c>
      <c r="B341" s="1" t="s">
        <v>607</v>
      </c>
      <c r="C341" s="2" t="s">
        <v>45</v>
      </c>
      <c r="D341" s="2" t="s">
        <v>1823</v>
      </c>
      <c r="E341" s="6">
        <v>89810</v>
      </c>
      <c r="F341" s="6">
        <v>132878</v>
      </c>
      <c r="G341" s="4">
        <v>40</v>
      </c>
      <c r="H341" s="172" t="s">
        <v>872</v>
      </c>
      <c r="I341" s="172" t="s">
        <v>872</v>
      </c>
      <c r="J341" s="172" t="s">
        <v>872</v>
      </c>
      <c r="K341" s="172" t="s">
        <v>872</v>
      </c>
      <c r="L341" s="172" t="s">
        <v>872</v>
      </c>
      <c r="M341" s="172" t="s">
        <v>872</v>
      </c>
      <c r="N341" s="172" t="s">
        <v>872</v>
      </c>
      <c r="O341" s="172" t="s">
        <v>872</v>
      </c>
      <c r="P341" s="172" t="s">
        <v>872</v>
      </c>
      <c r="Q341" s="172" t="s">
        <v>872</v>
      </c>
      <c r="R341" s="172" t="s">
        <v>872</v>
      </c>
      <c r="S341" s="172" t="s">
        <v>873</v>
      </c>
    </row>
    <row r="342" spans="1:19" ht="13.5" thickBot="1" x14ac:dyDescent="0.25">
      <c r="A342" s="2" t="s">
        <v>636</v>
      </c>
      <c r="B342" s="1" t="s">
        <v>635</v>
      </c>
      <c r="C342" s="2" t="s">
        <v>45</v>
      </c>
      <c r="D342" s="2" t="s">
        <v>1823</v>
      </c>
      <c r="E342" s="6">
        <v>76000</v>
      </c>
      <c r="F342" s="6">
        <v>95695</v>
      </c>
      <c r="G342" s="4">
        <v>40</v>
      </c>
      <c r="H342" s="172" t="s">
        <v>872</v>
      </c>
      <c r="I342" s="172" t="s">
        <v>872</v>
      </c>
      <c r="J342" s="172" t="s">
        <v>872</v>
      </c>
      <c r="K342" s="172" t="s">
        <v>873</v>
      </c>
      <c r="L342" s="172" t="s">
        <v>872</v>
      </c>
      <c r="M342" s="172" t="s">
        <v>872</v>
      </c>
      <c r="N342" s="172" t="s">
        <v>872</v>
      </c>
      <c r="O342" s="172" t="s">
        <v>873</v>
      </c>
      <c r="P342" s="172" t="s">
        <v>872</v>
      </c>
      <c r="Q342" s="172" t="s">
        <v>872</v>
      </c>
      <c r="R342" s="172" t="s">
        <v>872</v>
      </c>
      <c r="S342" s="172" t="s">
        <v>872</v>
      </c>
    </row>
    <row r="343" spans="1:19" ht="13.5" thickBot="1" x14ac:dyDescent="0.25">
      <c r="A343" s="2" t="s">
        <v>662</v>
      </c>
      <c r="B343" s="1" t="s">
        <v>661</v>
      </c>
      <c r="C343" s="2" t="s">
        <v>45</v>
      </c>
      <c r="D343" s="2" t="s">
        <v>1823</v>
      </c>
      <c r="E343" s="6">
        <v>80000</v>
      </c>
      <c r="F343" s="6">
        <v>85000</v>
      </c>
      <c r="G343" s="4">
        <v>40</v>
      </c>
      <c r="H343" s="172" t="s">
        <v>872</v>
      </c>
      <c r="I343" s="172" t="s">
        <v>872</v>
      </c>
      <c r="J343" s="172" t="s">
        <v>872</v>
      </c>
      <c r="K343" s="172" t="s">
        <v>872</v>
      </c>
      <c r="L343" s="172" t="s">
        <v>873</v>
      </c>
      <c r="M343" s="172" t="s">
        <v>872</v>
      </c>
      <c r="N343" s="172" t="s">
        <v>872</v>
      </c>
      <c r="O343" s="172" t="s">
        <v>872</v>
      </c>
      <c r="P343" s="172" t="s">
        <v>872</v>
      </c>
      <c r="Q343" s="172" t="s">
        <v>872</v>
      </c>
      <c r="R343" s="172" t="s">
        <v>872</v>
      </c>
      <c r="S343" s="172" t="s">
        <v>873</v>
      </c>
    </row>
    <row r="344" spans="1:19" ht="13.5" thickBot="1" x14ac:dyDescent="0.25">
      <c r="A344" s="2" t="s">
        <v>664</v>
      </c>
      <c r="B344" s="1" t="s">
        <v>663</v>
      </c>
      <c r="C344" s="2" t="s">
        <v>45</v>
      </c>
      <c r="D344" s="2" t="s">
        <v>1823</v>
      </c>
      <c r="E344" s="6">
        <v>62000</v>
      </c>
      <c r="F344" s="6">
        <v>75000</v>
      </c>
      <c r="G344" s="4">
        <v>40</v>
      </c>
      <c r="H344" s="172" t="s">
        <v>872</v>
      </c>
      <c r="I344" s="172" t="s">
        <v>872</v>
      </c>
      <c r="J344" s="172" t="s">
        <v>872</v>
      </c>
      <c r="K344" s="172" t="s">
        <v>872</v>
      </c>
      <c r="L344" s="172" t="s">
        <v>872</v>
      </c>
      <c r="M344" s="172" t="s">
        <v>872</v>
      </c>
      <c r="N344" s="172" t="s">
        <v>872</v>
      </c>
      <c r="O344" s="172" t="s">
        <v>872</v>
      </c>
      <c r="P344" s="172" t="s">
        <v>872</v>
      </c>
      <c r="Q344" s="172" t="s">
        <v>872</v>
      </c>
      <c r="R344" s="172" t="s">
        <v>872</v>
      </c>
      <c r="S344" s="172" t="s">
        <v>873</v>
      </c>
    </row>
    <row r="345" spans="1:19" ht="13.5" thickBot="1" x14ac:dyDescent="0.25">
      <c r="A345" s="2" t="s">
        <v>668</v>
      </c>
      <c r="B345" s="1" t="s">
        <v>667</v>
      </c>
      <c r="C345" s="2" t="s">
        <v>45</v>
      </c>
      <c r="D345" s="2" t="s">
        <v>1823</v>
      </c>
      <c r="E345" s="6">
        <v>76757</v>
      </c>
      <c r="F345" s="6">
        <v>89331</v>
      </c>
      <c r="G345" s="4">
        <v>40</v>
      </c>
      <c r="H345" s="172" t="s">
        <v>872</v>
      </c>
      <c r="I345" s="172" t="s">
        <v>872</v>
      </c>
      <c r="J345" s="172" t="s">
        <v>872</v>
      </c>
      <c r="K345" s="172" t="s">
        <v>872</v>
      </c>
      <c r="L345" s="172" t="s">
        <v>872</v>
      </c>
      <c r="M345" s="172" t="s">
        <v>872</v>
      </c>
      <c r="N345" s="172" t="s">
        <v>872</v>
      </c>
      <c r="O345" s="172" t="s">
        <v>872</v>
      </c>
      <c r="P345" s="172" t="s">
        <v>872</v>
      </c>
      <c r="Q345" s="172" t="s">
        <v>872</v>
      </c>
      <c r="R345" s="172" t="s">
        <v>872</v>
      </c>
      <c r="S345" s="172" t="s">
        <v>873</v>
      </c>
    </row>
    <row r="346" spans="1:19" ht="13.5" thickBot="1" x14ac:dyDescent="0.25">
      <c r="A346" s="2" t="s">
        <v>688</v>
      </c>
      <c r="B346" s="1" t="s">
        <v>687</v>
      </c>
      <c r="C346" s="2" t="s">
        <v>45</v>
      </c>
      <c r="D346" s="2" t="s">
        <v>1823</v>
      </c>
      <c r="E346" s="6">
        <v>79700</v>
      </c>
      <c r="F346" s="6">
        <v>127500</v>
      </c>
      <c r="G346" s="4">
        <v>40</v>
      </c>
      <c r="H346" s="172" t="s">
        <v>872</v>
      </c>
      <c r="I346" s="172" t="s">
        <v>872</v>
      </c>
      <c r="J346" s="172" t="s">
        <v>872</v>
      </c>
      <c r="K346" s="172" t="s">
        <v>872</v>
      </c>
      <c r="L346" s="172" t="s">
        <v>872</v>
      </c>
      <c r="M346" s="172" t="s">
        <v>872</v>
      </c>
      <c r="N346" s="172" t="s">
        <v>872</v>
      </c>
      <c r="O346" s="172" t="s">
        <v>873</v>
      </c>
      <c r="P346" s="172" t="s">
        <v>872</v>
      </c>
      <c r="Q346" s="172" t="s">
        <v>872</v>
      </c>
      <c r="R346" s="172" t="s">
        <v>872</v>
      </c>
      <c r="S346" s="172" t="s">
        <v>873</v>
      </c>
    </row>
    <row r="347" spans="1:19" ht="13.5" thickBot="1" x14ac:dyDescent="0.25">
      <c r="A347" s="2" t="s">
        <v>712</v>
      </c>
      <c r="B347" s="1" t="s">
        <v>711</v>
      </c>
      <c r="C347" s="2" t="s">
        <v>45</v>
      </c>
      <c r="D347" s="2" t="s">
        <v>1823</v>
      </c>
      <c r="E347" s="6">
        <v>71250</v>
      </c>
      <c r="F347" s="6">
        <v>84493</v>
      </c>
      <c r="G347" s="4">
        <v>45</v>
      </c>
      <c r="H347" s="172" t="s">
        <v>872</v>
      </c>
      <c r="I347" s="172" t="s">
        <v>872</v>
      </c>
      <c r="J347" s="172" t="s">
        <v>872</v>
      </c>
      <c r="K347" s="172" t="s">
        <v>872</v>
      </c>
      <c r="L347" s="172" t="s">
        <v>872</v>
      </c>
      <c r="M347" s="172" t="s">
        <v>872</v>
      </c>
      <c r="N347" s="172" t="s">
        <v>872</v>
      </c>
      <c r="O347" s="172" t="s">
        <v>872</v>
      </c>
      <c r="P347" s="172" t="s">
        <v>872</v>
      </c>
      <c r="Q347" s="172" t="s">
        <v>873</v>
      </c>
      <c r="R347" s="172" t="s">
        <v>872</v>
      </c>
      <c r="S347" s="172" t="s">
        <v>872</v>
      </c>
    </row>
    <row r="348" spans="1:19" ht="13.5" thickBot="1" x14ac:dyDescent="0.25">
      <c r="A348" s="2" t="s">
        <v>722</v>
      </c>
      <c r="B348" s="1" t="s">
        <v>721</v>
      </c>
      <c r="C348" s="2" t="s">
        <v>45</v>
      </c>
      <c r="D348" s="2" t="s">
        <v>1823</v>
      </c>
      <c r="E348" s="6">
        <v>55000</v>
      </c>
      <c r="F348" s="6">
        <v>55000</v>
      </c>
      <c r="G348" s="4">
        <v>40</v>
      </c>
      <c r="H348" s="172" t="s">
        <v>872</v>
      </c>
      <c r="I348" s="172" t="s">
        <v>872</v>
      </c>
      <c r="J348" s="172" t="s">
        <v>872</v>
      </c>
      <c r="K348" s="172" t="s">
        <v>873</v>
      </c>
      <c r="L348" s="172" t="s">
        <v>872</v>
      </c>
      <c r="M348" s="172" t="s">
        <v>872</v>
      </c>
      <c r="N348" s="172" t="s">
        <v>872</v>
      </c>
      <c r="O348" s="172" t="s">
        <v>872</v>
      </c>
      <c r="P348" s="172" t="s">
        <v>872</v>
      </c>
      <c r="Q348" s="172" t="s">
        <v>872</v>
      </c>
      <c r="R348" s="172" t="s">
        <v>873</v>
      </c>
      <c r="S348" s="172" t="s">
        <v>873</v>
      </c>
    </row>
    <row r="349" spans="1:19" ht="13.5" thickBot="1" x14ac:dyDescent="0.25">
      <c r="A349" s="2" t="s">
        <v>740</v>
      </c>
      <c r="B349" s="1" t="s">
        <v>739</v>
      </c>
      <c r="C349" s="2" t="s">
        <v>45</v>
      </c>
      <c r="D349" s="2" t="s">
        <v>1823</v>
      </c>
      <c r="E349" s="6">
        <v>66843</v>
      </c>
      <c r="F349" s="6">
        <v>70488</v>
      </c>
      <c r="G349" s="4">
        <v>35</v>
      </c>
      <c r="H349" s="172" t="s">
        <v>872</v>
      </c>
      <c r="I349" s="172" t="s">
        <v>872</v>
      </c>
      <c r="J349" s="172" t="s">
        <v>872</v>
      </c>
      <c r="K349" s="172" t="s">
        <v>872</v>
      </c>
      <c r="L349" s="172" t="s">
        <v>872</v>
      </c>
      <c r="M349" s="172" t="s">
        <v>872</v>
      </c>
      <c r="N349" s="172" t="s">
        <v>872</v>
      </c>
      <c r="O349" s="172" t="s">
        <v>872</v>
      </c>
      <c r="P349" s="172" t="s">
        <v>872</v>
      </c>
      <c r="Q349" s="172" t="s">
        <v>873</v>
      </c>
      <c r="R349" s="172" t="s">
        <v>873</v>
      </c>
      <c r="S349" s="172" t="s">
        <v>873</v>
      </c>
    </row>
    <row r="350" spans="1:19" ht="13.5" thickBot="1" x14ac:dyDescent="0.25">
      <c r="A350" s="2" t="s">
        <v>785</v>
      </c>
      <c r="B350" s="1" t="s">
        <v>784</v>
      </c>
      <c r="C350" s="2" t="s">
        <v>45</v>
      </c>
      <c r="D350" s="2" t="s">
        <v>1823</v>
      </c>
      <c r="E350" s="6">
        <v>82000</v>
      </c>
      <c r="F350" s="6">
        <v>90000</v>
      </c>
      <c r="G350" s="4">
        <v>40</v>
      </c>
      <c r="H350" s="172" t="s">
        <v>872</v>
      </c>
      <c r="I350" s="172" t="s">
        <v>872</v>
      </c>
      <c r="J350" s="172" t="s">
        <v>872</v>
      </c>
      <c r="K350" s="172" t="s">
        <v>872</v>
      </c>
      <c r="L350" s="172" t="s">
        <v>872</v>
      </c>
      <c r="M350" s="172" t="s">
        <v>872</v>
      </c>
      <c r="N350" s="172" t="s">
        <v>872</v>
      </c>
      <c r="O350" s="172" t="s">
        <v>872</v>
      </c>
      <c r="P350" s="172" t="s">
        <v>872</v>
      </c>
      <c r="Q350" s="172" t="s">
        <v>872</v>
      </c>
      <c r="R350" s="172" t="s">
        <v>872</v>
      </c>
      <c r="S350" s="172" t="s">
        <v>873</v>
      </c>
    </row>
    <row r="351" spans="1:19" ht="13.5" thickBot="1" x14ac:dyDescent="0.25">
      <c r="A351" s="2" t="s">
        <v>827</v>
      </c>
      <c r="B351" s="1" t="s">
        <v>826</v>
      </c>
      <c r="C351" s="2" t="s">
        <v>45</v>
      </c>
      <c r="D351" s="2" t="s">
        <v>1823</v>
      </c>
      <c r="E351" s="6">
        <v>75556</v>
      </c>
      <c r="F351" s="6">
        <v>75556</v>
      </c>
      <c r="G351" s="4">
        <v>40</v>
      </c>
      <c r="H351" s="172" t="s">
        <v>872</v>
      </c>
      <c r="I351" s="172" t="s">
        <v>872</v>
      </c>
      <c r="J351" s="172" t="s">
        <v>872</v>
      </c>
      <c r="K351" s="172" t="s">
        <v>872</v>
      </c>
      <c r="L351" s="172" t="s">
        <v>872</v>
      </c>
      <c r="M351" s="172" t="s">
        <v>872</v>
      </c>
      <c r="N351" s="172" t="s">
        <v>872</v>
      </c>
      <c r="O351" s="172" t="s">
        <v>872</v>
      </c>
      <c r="P351" s="172" t="s">
        <v>872</v>
      </c>
      <c r="Q351" s="172" t="s">
        <v>872</v>
      </c>
      <c r="R351" s="172" t="s">
        <v>873</v>
      </c>
      <c r="S351" s="172" t="s">
        <v>873</v>
      </c>
    </row>
    <row r="352" spans="1:19" ht="13.5" thickBot="1" x14ac:dyDescent="0.25">
      <c r="A352" s="2" t="s">
        <v>59</v>
      </c>
      <c r="B352" s="1" t="s">
        <v>58</v>
      </c>
      <c r="C352" s="2" t="s">
        <v>60</v>
      </c>
      <c r="D352" s="2" t="s">
        <v>1823</v>
      </c>
      <c r="E352" s="6">
        <v>125500</v>
      </c>
      <c r="F352" s="6">
        <v>179520</v>
      </c>
      <c r="G352" s="4">
        <v>50</v>
      </c>
      <c r="H352" s="172" t="s">
        <v>872</v>
      </c>
      <c r="I352" s="172" t="s">
        <v>872</v>
      </c>
      <c r="J352" s="172" t="s">
        <v>872</v>
      </c>
      <c r="K352" s="172" t="s">
        <v>872</v>
      </c>
      <c r="L352" s="172" t="s">
        <v>873</v>
      </c>
      <c r="M352" s="172" t="s">
        <v>872</v>
      </c>
      <c r="N352" s="172" t="s">
        <v>872</v>
      </c>
      <c r="O352" s="172" t="s">
        <v>873</v>
      </c>
      <c r="P352" s="172" t="s">
        <v>872</v>
      </c>
      <c r="Q352" s="172" t="s">
        <v>872</v>
      </c>
      <c r="R352" s="172" t="s">
        <v>872</v>
      </c>
      <c r="S352" s="172" t="s">
        <v>873</v>
      </c>
    </row>
    <row r="353" spans="1:19" ht="13.5" thickBot="1" x14ac:dyDescent="0.25">
      <c r="A353" s="2" t="s">
        <v>86</v>
      </c>
      <c r="B353" s="1" t="s">
        <v>85</v>
      </c>
      <c r="C353" s="2" t="s">
        <v>60</v>
      </c>
      <c r="D353" s="2" t="s">
        <v>1823</v>
      </c>
      <c r="E353" s="6">
        <v>87500</v>
      </c>
      <c r="F353" s="6">
        <v>87500</v>
      </c>
      <c r="G353" s="4">
        <v>40</v>
      </c>
      <c r="H353" s="172" t="s">
        <v>872</v>
      </c>
      <c r="I353" s="172" t="s">
        <v>872</v>
      </c>
      <c r="J353" s="172" t="s">
        <v>872</v>
      </c>
      <c r="K353" s="172" t="s">
        <v>872</v>
      </c>
      <c r="L353" s="172" t="s">
        <v>872</v>
      </c>
      <c r="M353" s="172" t="s">
        <v>872</v>
      </c>
      <c r="N353" s="172" t="s">
        <v>872</v>
      </c>
      <c r="O353" s="172" t="s">
        <v>872</v>
      </c>
      <c r="P353" s="172" t="s">
        <v>872</v>
      </c>
      <c r="Q353" s="172" t="s">
        <v>872</v>
      </c>
      <c r="R353" s="172" t="s">
        <v>873</v>
      </c>
      <c r="S353" s="172" t="s">
        <v>873</v>
      </c>
    </row>
    <row r="354" spans="1:19" ht="13.5" thickBot="1" x14ac:dyDescent="0.25">
      <c r="A354" s="2" t="s">
        <v>148</v>
      </c>
      <c r="B354" s="1" t="s">
        <v>147</v>
      </c>
      <c r="C354" s="2" t="s">
        <v>60</v>
      </c>
      <c r="D354" s="2" t="s">
        <v>1823</v>
      </c>
      <c r="E354" s="6">
        <v>90900</v>
      </c>
      <c r="F354" s="6">
        <v>140900</v>
      </c>
      <c r="G354" s="4">
        <v>37</v>
      </c>
      <c r="H354" s="172" t="s">
        <v>872</v>
      </c>
      <c r="I354" s="172" t="s">
        <v>872</v>
      </c>
      <c r="J354" s="172" t="s">
        <v>873</v>
      </c>
      <c r="K354" s="172" t="s">
        <v>872</v>
      </c>
      <c r="L354" s="172" t="s">
        <v>872</v>
      </c>
      <c r="M354" s="172" t="s">
        <v>872</v>
      </c>
      <c r="N354" s="172" t="s">
        <v>872</v>
      </c>
      <c r="O354" s="172" t="s">
        <v>872</v>
      </c>
      <c r="P354" s="172" t="s">
        <v>872</v>
      </c>
      <c r="Q354" s="172" t="s">
        <v>872</v>
      </c>
      <c r="R354" s="172" t="s">
        <v>872</v>
      </c>
      <c r="S354" s="172" t="s">
        <v>873</v>
      </c>
    </row>
    <row r="355" spans="1:19" ht="13.5" thickBot="1" x14ac:dyDescent="0.25">
      <c r="A355" s="2" t="s">
        <v>150</v>
      </c>
      <c r="B355" s="1" t="s">
        <v>149</v>
      </c>
      <c r="C355" s="2" t="s">
        <v>60</v>
      </c>
      <c r="D355" s="2" t="s">
        <v>1823</v>
      </c>
      <c r="E355" s="6">
        <v>100000</v>
      </c>
      <c r="F355" s="6">
        <v>125000</v>
      </c>
      <c r="G355" s="4">
        <v>40</v>
      </c>
      <c r="H355" s="172" t="s">
        <v>872</v>
      </c>
      <c r="I355" s="172" t="s">
        <v>872</v>
      </c>
      <c r="J355" s="172" t="s">
        <v>872</v>
      </c>
      <c r="K355" s="172" t="s">
        <v>872</v>
      </c>
      <c r="L355" s="172" t="s">
        <v>872</v>
      </c>
      <c r="M355" s="172" t="s">
        <v>872</v>
      </c>
      <c r="N355" s="172" t="s">
        <v>872</v>
      </c>
      <c r="O355" s="172" t="s">
        <v>872</v>
      </c>
      <c r="P355" s="172" t="s">
        <v>872</v>
      </c>
      <c r="Q355" s="172" t="s">
        <v>872</v>
      </c>
      <c r="R355" s="172" t="s">
        <v>872</v>
      </c>
      <c r="S355" s="172" t="s">
        <v>873</v>
      </c>
    </row>
    <row r="356" spans="1:19" ht="13.5" thickBot="1" x14ac:dyDescent="0.25">
      <c r="A356" s="2" t="s">
        <v>180</v>
      </c>
      <c r="B356" s="1" t="s">
        <v>179</v>
      </c>
      <c r="C356" s="2" t="s">
        <v>60</v>
      </c>
      <c r="D356" s="2" t="s">
        <v>1823</v>
      </c>
      <c r="E356" s="6">
        <v>61006</v>
      </c>
      <c r="F356" s="6">
        <v>73152</v>
      </c>
      <c r="G356" s="4">
        <v>40</v>
      </c>
      <c r="H356" s="172" t="s">
        <v>872</v>
      </c>
      <c r="I356" s="172" t="s">
        <v>872</v>
      </c>
      <c r="J356" s="172" t="s">
        <v>872</v>
      </c>
      <c r="K356" s="172" t="s">
        <v>872</v>
      </c>
      <c r="L356" s="172" t="s">
        <v>872</v>
      </c>
      <c r="M356" s="172" t="s">
        <v>872</v>
      </c>
      <c r="N356" s="172" t="s">
        <v>872</v>
      </c>
      <c r="O356" s="172" t="s">
        <v>872</v>
      </c>
      <c r="P356" s="172" t="s">
        <v>872</v>
      </c>
      <c r="Q356" s="172" t="s">
        <v>872</v>
      </c>
      <c r="R356" s="172" t="s">
        <v>873</v>
      </c>
      <c r="S356" s="172" t="s">
        <v>873</v>
      </c>
    </row>
    <row r="357" spans="1:19" ht="13.5" thickBot="1" x14ac:dyDescent="0.25">
      <c r="A357" s="2" t="s">
        <v>186</v>
      </c>
      <c r="B357" s="1" t="s">
        <v>185</v>
      </c>
      <c r="C357" s="2" t="s">
        <v>60</v>
      </c>
      <c r="D357" s="2" t="s">
        <v>1823</v>
      </c>
      <c r="E357" s="6">
        <v>114444</v>
      </c>
      <c r="F357" s="6">
        <v>142925</v>
      </c>
      <c r="G357" s="4">
        <v>45</v>
      </c>
      <c r="H357" s="172" t="s">
        <v>872</v>
      </c>
      <c r="I357" s="172" t="s">
        <v>872</v>
      </c>
      <c r="J357" s="172" t="s">
        <v>872</v>
      </c>
      <c r="K357" s="172" t="s">
        <v>872</v>
      </c>
      <c r="L357" s="172" t="s">
        <v>872</v>
      </c>
      <c r="M357" s="172" t="s">
        <v>872</v>
      </c>
      <c r="N357" s="172" t="s">
        <v>872</v>
      </c>
      <c r="O357" s="172" t="s">
        <v>873</v>
      </c>
      <c r="P357" s="172" t="s">
        <v>872</v>
      </c>
      <c r="Q357" s="172" t="s">
        <v>872</v>
      </c>
      <c r="R357" s="172" t="s">
        <v>872</v>
      </c>
      <c r="S357" s="172" t="s">
        <v>873</v>
      </c>
    </row>
    <row r="358" spans="1:19" ht="13.5" thickBot="1" x14ac:dyDescent="0.25">
      <c r="A358" s="2" t="s">
        <v>221</v>
      </c>
      <c r="B358" s="1" t="s">
        <v>220</v>
      </c>
      <c r="C358" s="2" t="s">
        <v>60</v>
      </c>
      <c r="D358" s="2" t="s">
        <v>1823</v>
      </c>
      <c r="E358" s="6">
        <v>67500</v>
      </c>
      <c r="F358" s="6">
        <v>80000</v>
      </c>
      <c r="G358" s="4">
        <v>45</v>
      </c>
      <c r="H358" s="172" t="s">
        <v>872</v>
      </c>
      <c r="I358" s="172" t="s">
        <v>872</v>
      </c>
      <c r="J358" s="172" t="s">
        <v>872</v>
      </c>
      <c r="K358" s="172" t="s">
        <v>872</v>
      </c>
      <c r="L358" s="172" t="s">
        <v>872</v>
      </c>
      <c r="M358" s="172" t="s">
        <v>872</v>
      </c>
      <c r="N358" s="172" t="s">
        <v>872</v>
      </c>
      <c r="O358" s="172" t="s">
        <v>872</v>
      </c>
      <c r="P358" s="172" t="s">
        <v>872</v>
      </c>
      <c r="Q358" s="172" t="s">
        <v>872</v>
      </c>
      <c r="R358" s="172" t="s">
        <v>872</v>
      </c>
      <c r="S358" s="172" t="s">
        <v>872</v>
      </c>
    </row>
    <row r="359" spans="1:19" ht="13.5" thickBot="1" x14ac:dyDescent="0.25">
      <c r="A359" s="2" t="s">
        <v>223</v>
      </c>
      <c r="B359" s="1" t="s">
        <v>222</v>
      </c>
      <c r="C359" s="2" t="s">
        <v>60</v>
      </c>
      <c r="D359" s="2" t="s">
        <v>1823</v>
      </c>
      <c r="E359" s="6">
        <v>90657</v>
      </c>
      <c r="F359" s="6">
        <v>114841</v>
      </c>
      <c r="G359" s="4">
        <v>40</v>
      </c>
      <c r="H359" s="172" t="s">
        <v>872</v>
      </c>
      <c r="I359" s="172" t="s">
        <v>872</v>
      </c>
      <c r="J359" s="172" t="s">
        <v>872</v>
      </c>
      <c r="K359" s="172" t="s">
        <v>872</v>
      </c>
      <c r="L359" s="172" t="s">
        <v>872</v>
      </c>
      <c r="M359" s="172" t="s">
        <v>872</v>
      </c>
      <c r="N359" s="172" t="s">
        <v>872</v>
      </c>
      <c r="O359" s="172" t="s">
        <v>872</v>
      </c>
      <c r="P359" s="172" t="s">
        <v>872</v>
      </c>
      <c r="Q359" s="172" t="s">
        <v>872</v>
      </c>
      <c r="R359" s="172" t="s">
        <v>873</v>
      </c>
      <c r="S359" s="172" t="s">
        <v>872</v>
      </c>
    </row>
    <row r="360" spans="1:19" ht="13.5" thickBot="1" x14ac:dyDescent="0.25">
      <c r="A360" s="2" t="s">
        <v>233</v>
      </c>
      <c r="B360" s="1" t="s">
        <v>232</v>
      </c>
      <c r="C360" s="2" t="s">
        <v>60</v>
      </c>
      <c r="D360" s="2" t="s">
        <v>1823</v>
      </c>
      <c r="E360" s="6">
        <v>128586</v>
      </c>
      <c r="F360" s="6">
        <v>188573</v>
      </c>
      <c r="G360" s="4">
        <v>40</v>
      </c>
      <c r="H360" s="172" t="s">
        <v>872</v>
      </c>
      <c r="I360" s="172" t="s">
        <v>872</v>
      </c>
      <c r="J360" s="172" t="s">
        <v>872</v>
      </c>
      <c r="K360" s="172" t="s">
        <v>872</v>
      </c>
      <c r="L360" s="172" t="s">
        <v>872</v>
      </c>
      <c r="M360" s="172" t="s">
        <v>872</v>
      </c>
      <c r="N360" s="172" t="s">
        <v>872</v>
      </c>
      <c r="O360" s="172" t="s">
        <v>872</v>
      </c>
      <c r="P360" s="172" t="s">
        <v>872</v>
      </c>
      <c r="Q360" s="172" t="s">
        <v>873</v>
      </c>
      <c r="R360" s="172" t="s">
        <v>873</v>
      </c>
      <c r="S360" s="172" t="s">
        <v>872</v>
      </c>
    </row>
    <row r="361" spans="1:19" ht="13.5" thickBot="1" x14ac:dyDescent="0.25">
      <c r="A361" s="2" t="s">
        <v>277</v>
      </c>
      <c r="B361" s="1" t="s">
        <v>276</v>
      </c>
      <c r="C361" s="2" t="s">
        <v>60</v>
      </c>
      <c r="D361" s="78" t="s">
        <v>1823</v>
      </c>
      <c r="E361" s="6">
        <v>89000</v>
      </c>
      <c r="F361" s="6">
        <v>108000</v>
      </c>
      <c r="G361" s="4">
        <v>40</v>
      </c>
      <c r="H361" s="172" t="s">
        <v>872</v>
      </c>
      <c r="I361" s="172" t="s">
        <v>872</v>
      </c>
      <c r="J361" s="172" t="s">
        <v>872</v>
      </c>
      <c r="K361" s="172" t="s">
        <v>872</v>
      </c>
      <c r="L361" s="172" t="s">
        <v>872</v>
      </c>
      <c r="M361" s="172" t="s">
        <v>872</v>
      </c>
      <c r="N361" s="172" t="s">
        <v>872</v>
      </c>
      <c r="O361" s="172" t="s">
        <v>872</v>
      </c>
      <c r="P361" s="172" t="s">
        <v>872</v>
      </c>
      <c r="Q361" s="172" t="s">
        <v>873</v>
      </c>
      <c r="R361" s="172" t="s">
        <v>872</v>
      </c>
      <c r="S361" s="172" t="s">
        <v>873</v>
      </c>
    </row>
    <row r="362" spans="1:19" ht="13.5" thickBot="1" x14ac:dyDescent="0.25">
      <c r="A362" s="2" t="s">
        <v>291</v>
      </c>
      <c r="B362" s="1" t="s">
        <v>290</v>
      </c>
      <c r="C362" s="2" t="s">
        <v>60</v>
      </c>
      <c r="D362" s="2" t="s">
        <v>1823</v>
      </c>
      <c r="E362" s="6">
        <v>91219</v>
      </c>
      <c r="F362" s="6">
        <v>106224</v>
      </c>
      <c r="G362" s="4">
        <v>60</v>
      </c>
      <c r="H362" s="172" t="s">
        <v>872</v>
      </c>
      <c r="I362" s="172" t="s">
        <v>872</v>
      </c>
      <c r="J362" s="172" t="s">
        <v>872</v>
      </c>
      <c r="K362" s="172" t="s">
        <v>872</v>
      </c>
      <c r="L362" s="172" t="s">
        <v>872</v>
      </c>
      <c r="M362" s="172" t="s">
        <v>872</v>
      </c>
      <c r="N362" s="172" t="s">
        <v>872</v>
      </c>
      <c r="O362" s="172" t="s">
        <v>873</v>
      </c>
      <c r="P362" s="172" t="s">
        <v>872</v>
      </c>
      <c r="Q362" s="172" t="s">
        <v>872</v>
      </c>
      <c r="R362" s="172" t="s">
        <v>872</v>
      </c>
      <c r="S362" s="172" t="s">
        <v>872</v>
      </c>
    </row>
    <row r="363" spans="1:19" ht="13.5" thickBot="1" x14ac:dyDescent="0.25">
      <c r="A363" s="2" t="s">
        <v>317</v>
      </c>
      <c r="B363" s="1" t="s">
        <v>316</v>
      </c>
      <c r="C363" s="2" t="s">
        <v>60</v>
      </c>
      <c r="D363" s="2" t="s">
        <v>1823</v>
      </c>
      <c r="E363" s="6">
        <v>97253</v>
      </c>
      <c r="F363" s="6">
        <v>97253</v>
      </c>
      <c r="G363" s="4">
        <v>40</v>
      </c>
      <c r="H363" s="172" t="s">
        <v>872</v>
      </c>
      <c r="I363" s="172" t="s">
        <v>872</v>
      </c>
      <c r="J363" s="172" t="s">
        <v>872</v>
      </c>
      <c r="K363" s="172" t="s">
        <v>872</v>
      </c>
      <c r="L363" s="172" t="s">
        <v>872</v>
      </c>
      <c r="M363" s="172" t="s">
        <v>872</v>
      </c>
      <c r="N363" s="172" t="s">
        <v>872</v>
      </c>
      <c r="O363" s="172" t="s">
        <v>873</v>
      </c>
      <c r="P363" s="172" t="s">
        <v>872</v>
      </c>
      <c r="Q363" s="172" t="s">
        <v>872</v>
      </c>
      <c r="R363" s="172" t="s">
        <v>872</v>
      </c>
      <c r="S363" s="172" t="s">
        <v>873</v>
      </c>
    </row>
    <row r="364" spans="1:19" ht="13.5" thickBot="1" x14ac:dyDescent="0.25">
      <c r="A364" s="2" t="s">
        <v>331</v>
      </c>
      <c r="B364" s="1" t="s">
        <v>330</v>
      </c>
      <c r="C364" s="2" t="s">
        <v>60</v>
      </c>
      <c r="D364" s="2" t="s">
        <v>1823</v>
      </c>
      <c r="E364" s="6">
        <v>92938</v>
      </c>
      <c r="F364" s="6">
        <v>120397</v>
      </c>
      <c r="G364" s="4">
        <v>40</v>
      </c>
      <c r="H364" s="172" t="s">
        <v>872</v>
      </c>
      <c r="I364" s="172" t="s">
        <v>872</v>
      </c>
      <c r="J364" s="172" t="s">
        <v>872</v>
      </c>
      <c r="K364" s="172" t="s">
        <v>872</v>
      </c>
      <c r="L364" s="172" t="s">
        <v>873</v>
      </c>
      <c r="M364" s="172" t="s">
        <v>873</v>
      </c>
      <c r="N364" s="172" t="s">
        <v>872</v>
      </c>
      <c r="O364" s="172" t="s">
        <v>872</v>
      </c>
      <c r="P364" s="172" t="s">
        <v>872</v>
      </c>
      <c r="Q364" s="172" t="s">
        <v>872</v>
      </c>
      <c r="R364" s="172" t="s">
        <v>872</v>
      </c>
      <c r="S364" s="172" t="s">
        <v>873</v>
      </c>
    </row>
    <row r="365" spans="1:19" ht="13.5" thickBot="1" x14ac:dyDescent="0.25">
      <c r="A365" s="2" t="s">
        <v>335</v>
      </c>
      <c r="B365" s="1" t="s">
        <v>334</v>
      </c>
      <c r="C365" s="2" t="s">
        <v>60</v>
      </c>
      <c r="D365" s="2" t="s">
        <v>1823</v>
      </c>
      <c r="E365" s="6">
        <v>109066</v>
      </c>
      <c r="F365" s="6">
        <v>138199</v>
      </c>
      <c r="G365" s="4">
        <v>40</v>
      </c>
      <c r="H365" s="172" t="s">
        <v>872</v>
      </c>
      <c r="I365" s="172" t="s">
        <v>872</v>
      </c>
      <c r="J365" s="172" t="s">
        <v>872</v>
      </c>
      <c r="K365" s="172" t="s">
        <v>872</v>
      </c>
      <c r="L365" s="172" t="s">
        <v>873</v>
      </c>
      <c r="M365" s="172" t="s">
        <v>872</v>
      </c>
      <c r="N365" s="172" t="s">
        <v>872</v>
      </c>
      <c r="O365" s="172" t="s">
        <v>872</v>
      </c>
      <c r="P365" s="172" t="s">
        <v>872</v>
      </c>
      <c r="Q365" s="172" t="s">
        <v>872</v>
      </c>
      <c r="R365" s="172" t="s">
        <v>872</v>
      </c>
      <c r="S365" s="172" t="s">
        <v>873</v>
      </c>
    </row>
    <row r="366" spans="1:19" ht="13.5" thickBot="1" x14ac:dyDescent="0.25">
      <c r="A366" s="2" t="s">
        <v>339</v>
      </c>
      <c r="B366" s="1" t="s">
        <v>338</v>
      </c>
      <c r="C366" s="2" t="s">
        <v>60</v>
      </c>
      <c r="D366" s="2" t="s">
        <v>1823</v>
      </c>
      <c r="E366" s="6">
        <v>1</v>
      </c>
      <c r="F366" s="6">
        <v>110000</v>
      </c>
      <c r="G366" s="4">
        <v>40</v>
      </c>
      <c r="H366" s="172" t="s">
        <v>872</v>
      </c>
      <c r="I366" s="172" t="s">
        <v>872</v>
      </c>
      <c r="J366" s="172" t="s">
        <v>872</v>
      </c>
      <c r="K366" s="172" t="s">
        <v>872</v>
      </c>
      <c r="L366" s="172" t="s">
        <v>873</v>
      </c>
      <c r="M366" s="172" t="s">
        <v>872</v>
      </c>
      <c r="N366" s="172" t="s">
        <v>872</v>
      </c>
      <c r="O366" s="172" t="s">
        <v>872</v>
      </c>
      <c r="P366" s="172" t="s">
        <v>872</v>
      </c>
      <c r="Q366" s="172" t="s">
        <v>872</v>
      </c>
      <c r="R366" s="172" t="s">
        <v>872</v>
      </c>
      <c r="S366" s="172" t="s">
        <v>873</v>
      </c>
    </row>
    <row r="367" spans="1:19" ht="13.5" thickBot="1" x14ac:dyDescent="0.25">
      <c r="A367" s="2" t="s">
        <v>367</v>
      </c>
      <c r="B367" s="1" t="s">
        <v>366</v>
      </c>
      <c r="C367" s="2" t="s">
        <v>60</v>
      </c>
      <c r="D367" s="2" t="s">
        <v>1823</v>
      </c>
      <c r="E367" s="6">
        <v>84915</v>
      </c>
      <c r="F367" s="6">
        <v>102396</v>
      </c>
      <c r="G367" s="4">
        <v>50</v>
      </c>
      <c r="H367" s="172" t="s">
        <v>872</v>
      </c>
      <c r="I367" s="172" t="s">
        <v>872</v>
      </c>
      <c r="J367" s="172" t="s">
        <v>873</v>
      </c>
      <c r="K367" s="172" t="s">
        <v>872</v>
      </c>
      <c r="L367" s="172" t="s">
        <v>872</v>
      </c>
      <c r="M367" s="172" t="s">
        <v>872</v>
      </c>
      <c r="N367" s="172" t="s">
        <v>872</v>
      </c>
      <c r="O367" s="172" t="s">
        <v>872</v>
      </c>
      <c r="P367" s="172" t="s">
        <v>872</v>
      </c>
      <c r="Q367" s="172" t="s">
        <v>872</v>
      </c>
      <c r="R367" s="172" t="s">
        <v>872</v>
      </c>
      <c r="S367" s="172" t="s">
        <v>872</v>
      </c>
    </row>
    <row r="368" spans="1:19" ht="13.5" thickBot="1" x14ac:dyDescent="0.25">
      <c r="A368" s="2" t="s">
        <v>389</v>
      </c>
      <c r="B368" s="1" t="s">
        <v>388</v>
      </c>
      <c r="C368" s="2" t="s">
        <v>60</v>
      </c>
      <c r="D368" s="2" t="s">
        <v>1823</v>
      </c>
      <c r="E368" s="6">
        <v>70096</v>
      </c>
      <c r="F368" s="6">
        <v>112133</v>
      </c>
      <c r="G368" s="4">
        <v>42</v>
      </c>
      <c r="H368" s="172" t="s">
        <v>872</v>
      </c>
      <c r="I368" s="172" t="s">
        <v>873</v>
      </c>
      <c r="J368" s="172" t="s">
        <v>873</v>
      </c>
      <c r="K368" s="172" t="s">
        <v>872</v>
      </c>
      <c r="L368" s="172" t="s">
        <v>872</v>
      </c>
      <c r="M368" s="172" t="s">
        <v>872</v>
      </c>
      <c r="N368" s="172" t="s">
        <v>872</v>
      </c>
      <c r="O368" s="172" t="s">
        <v>873</v>
      </c>
      <c r="P368" s="172" t="s">
        <v>872</v>
      </c>
      <c r="Q368" s="172" t="s">
        <v>872</v>
      </c>
      <c r="R368" s="172" t="s">
        <v>873</v>
      </c>
      <c r="S368" s="172" t="s">
        <v>873</v>
      </c>
    </row>
    <row r="369" spans="1:19" ht="13.5" thickBot="1" x14ac:dyDescent="0.25">
      <c r="A369" s="2" t="s">
        <v>409</v>
      </c>
      <c r="B369" s="1" t="s">
        <v>408</v>
      </c>
      <c r="C369" s="2" t="s">
        <v>60</v>
      </c>
      <c r="D369" s="2" t="s">
        <v>1823</v>
      </c>
      <c r="E369" s="6">
        <v>99500</v>
      </c>
      <c r="F369" s="6">
        <v>135000</v>
      </c>
      <c r="G369" s="4">
        <v>40</v>
      </c>
      <c r="H369" s="172" t="s">
        <v>872</v>
      </c>
      <c r="I369" s="172" t="s">
        <v>872</v>
      </c>
      <c r="J369" s="172" t="s">
        <v>872</v>
      </c>
      <c r="K369" s="172" t="s">
        <v>872</v>
      </c>
      <c r="L369" s="172" t="s">
        <v>872</v>
      </c>
      <c r="M369" s="172" t="s">
        <v>872</v>
      </c>
      <c r="N369" s="172" t="s">
        <v>872</v>
      </c>
      <c r="O369" s="172" t="s">
        <v>872</v>
      </c>
      <c r="P369" s="172" t="s">
        <v>872</v>
      </c>
      <c r="Q369" s="172" t="s">
        <v>872</v>
      </c>
      <c r="R369" s="172" t="s">
        <v>872</v>
      </c>
      <c r="S369" s="172" t="s">
        <v>873</v>
      </c>
    </row>
    <row r="370" spans="1:19" ht="13.5" thickBot="1" x14ac:dyDescent="0.25">
      <c r="A370" s="2" t="s">
        <v>417</v>
      </c>
      <c r="B370" s="1" t="s">
        <v>416</v>
      </c>
      <c r="C370" s="2" t="s">
        <v>60</v>
      </c>
      <c r="D370" s="2" t="s">
        <v>1823</v>
      </c>
      <c r="E370" s="6">
        <v>125000</v>
      </c>
      <c r="F370" s="6">
        <v>125000</v>
      </c>
      <c r="G370" s="4">
        <v>40</v>
      </c>
      <c r="H370" s="172" t="s">
        <v>872</v>
      </c>
      <c r="I370" s="172" t="s">
        <v>872</v>
      </c>
      <c r="J370" s="172" t="s">
        <v>872</v>
      </c>
      <c r="K370" s="172" t="s">
        <v>872</v>
      </c>
      <c r="L370" s="172" t="s">
        <v>872</v>
      </c>
      <c r="M370" s="172" t="s">
        <v>872</v>
      </c>
      <c r="N370" s="172" t="s">
        <v>872</v>
      </c>
      <c r="O370" s="172" t="s">
        <v>872</v>
      </c>
      <c r="P370" s="172" t="s">
        <v>872</v>
      </c>
      <c r="Q370" s="172" t="s">
        <v>873</v>
      </c>
      <c r="R370" s="172" t="s">
        <v>872</v>
      </c>
      <c r="S370" s="172" t="s">
        <v>873</v>
      </c>
    </row>
    <row r="371" spans="1:19" ht="13.5" thickBot="1" x14ac:dyDescent="0.25">
      <c r="A371" s="2" t="s">
        <v>421</v>
      </c>
      <c r="B371" s="1" t="s">
        <v>420</v>
      </c>
      <c r="C371" s="2" t="s">
        <v>60</v>
      </c>
      <c r="D371" s="2" t="s">
        <v>1823</v>
      </c>
      <c r="E371" s="169" t="s">
        <v>16</v>
      </c>
      <c r="F371" s="169" t="s">
        <v>16</v>
      </c>
      <c r="G371" s="4">
        <v>50</v>
      </c>
      <c r="H371" s="172" t="s">
        <v>872</v>
      </c>
      <c r="I371" s="172" t="s">
        <v>872</v>
      </c>
      <c r="J371" s="172" t="s">
        <v>872</v>
      </c>
      <c r="K371" s="172" t="s">
        <v>872</v>
      </c>
      <c r="L371" s="172" t="s">
        <v>873</v>
      </c>
      <c r="M371" s="172" t="s">
        <v>872</v>
      </c>
      <c r="N371" s="172" t="s">
        <v>872</v>
      </c>
      <c r="O371" s="172" t="s">
        <v>873</v>
      </c>
      <c r="P371" s="172" t="s">
        <v>872</v>
      </c>
      <c r="Q371" s="172" t="s">
        <v>872</v>
      </c>
      <c r="R371" s="172" t="s">
        <v>872</v>
      </c>
      <c r="S371" s="172" t="s">
        <v>873</v>
      </c>
    </row>
    <row r="372" spans="1:19" ht="13.5" thickBot="1" x14ac:dyDescent="0.25">
      <c r="A372" s="2" t="s">
        <v>431</v>
      </c>
      <c r="B372" s="1" t="s">
        <v>430</v>
      </c>
      <c r="C372" s="2" t="s">
        <v>60</v>
      </c>
      <c r="D372" s="2" t="s">
        <v>1823</v>
      </c>
      <c r="E372" s="6">
        <v>61337</v>
      </c>
      <c r="F372" s="6">
        <v>76490</v>
      </c>
      <c r="G372" s="4">
        <v>40</v>
      </c>
      <c r="H372" s="172" t="s">
        <v>872</v>
      </c>
      <c r="I372" s="172" t="s">
        <v>872</v>
      </c>
      <c r="J372" s="172" t="s">
        <v>872</v>
      </c>
      <c r="K372" s="172" t="s">
        <v>872</v>
      </c>
      <c r="L372" s="172" t="s">
        <v>872</v>
      </c>
      <c r="M372" s="172" t="s">
        <v>872</v>
      </c>
      <c r="N372" s="172" t="s">
        <v>872</v>
      </c>
      <c r="O372" s="172" t="s">
        <v>872</v>
      </c>
      <c r="P372" s="172" t="s">
        <v>872</v>
      </c>
      <c r="Q372" s="172" t="s">
        <v>872</v>
      </c>
      <c r="R372" s="172" t="s">
        <v>872</v>
      </c>
      <c r="S372" s="172" t="s">
        <v>873</v>
      </c>
    </row>
    <row r="373" spans="1:19" ht="13.5" thickBot="1" x14ac:dyDescent="0.25">
      <c r="A373" s="2" t="s">
        <v>459</v>
      </c>
      <c r="B373" s="1" t="s">
        <v>458</v>
      </c>
      <c r="C373" s="2" t="s">
        <v>60</v>
      </c>
      <c r="D373" s="78" t="s">
        <v>1823</v>
      </c>
      <c r="E373" s="6">
        <v>85072</v>
      </c>
      <c r="F373" s="6">
        <v>99257</v>
      </c>
      <c r="G373" s="4">
        <v>40</v>
      </c>
      <c r="H373" s="172" t="s">
        <v>872</v>
      </c>
      <c r="I373" s="172" t="s">
        <v>872</v>
      </c>
      <c r="J373" s="172" t="s">
        <v>872</v>
      </c>
      <c r="K373" s="172" t="s">
        <v>872</v>
      </c>
      <c r="L373" s="172" t="s">
        <v>872</v>
      </c>
      <c r="M373" s="172" t="s">
        <v>872</v>
      </c>
      <c r="N373" s="172" t="s">
        <v>872</v>
      </c>
      <c r="O373" s="172" t="s">
        <v>872</v>
      </c>
      <c r="P373" s="172" t="s">
        <v>872</v>
      </c>
      <c r="Q373" s="172" t="s">
        <v>872</v>
      </c>
      <c r="R373" s="172" t="s">
        <v>872</v>
      </c>
      <c r="S373" s="172" t="s">
        <v>872</v>
      </c>
    </row>
    <row r="374" spans="1:19" ht="13.5" thickBot="1" x14ac:dyDescent="0.25">
      <c r="A374" s="2" t="s">
        <v>526</v>
      </c>
      <c r="B374" s="1" t="s">
        <v>525</v>
      </c>
      <c r="C374" s="2" t="s">
        <v>60</v>
      </c>
      <c r="D374" s="2" t="s">
        <v>1823</v>
      </c>
      <c r="E374" s="6">
        <v>108563</v>
      </c>
      <c r="F374" s="6">
        <v>108563</v>
      </c>
      <c r="G374" s="4">
        <v>40</v>
      </c>
      <c r="H374" s="172" t="s">
        <v>872</v>
      </c>
      <c r="I374" s="172" t="s">
        <v>872</v>
      </c>
      <c r="J374" s="172" t="s">
        <v>872</v>
      </c>
      <c r="K374" s="172" t="s">
        <v>872</v>
      </c>
      <c r="L374" s="172" t="s">
        <v>872</v>
      </c>
      <c r="M374" s="172" t="s">
        <v>872</v>
      </c>
      <c r="N374" s="172" t="s">
        <v>872</v>
      </c>
      <c r="O374" s="172" t="s">
        <v>872</v>
      </c>
      <c r="P374" s="172" t="s">
        <v>872</v>
      </c>
      <c r="Q374" s="172" t="s">
        <v>872</v>
      </c>
      <c r="R374" s="172" t="s">
        <v>872</v>
      </c>
      <c r="S374" s="172" t="s">
        <v>872</v>
      </c>
    </row>
    <row r="375" spans="1:19" ht="13.5" thickBot="1" x14ac:dyDescent="0.25">
      <c r="A375" s="2" t="s">
        <v>540</v>
      </c>
      <c r="B375" s="1" t="s">
        <v>539</v>
      </c>
      <c r="C375" s="2" t="s">
        <v>60</v>
      </c>
      <c r="D375" s="2" t="s">
        <v>1823</v>
      </c>
      <c r="E375" s="6">
        <v>96000</v>
      </c>
      <c r="F375" s="6">
        <v>96000</v>
      </c>
      <c r="G375" s="4">
        <v>40</v>
      </c>
      <c r="H375" s="172" t="s">
        <v>872</v>
      </c>
      <c r="I375" s="172" t="s">
        <v>872</v>
      </c>
      <c r="J375" s="172" t="s">
        <v>872</v>
      </c>
      <c r="K375" s="172" t="s">
        <v>872</v>
      </c>
      <c r="L375" s="172" t="s">
        <v>872</v>
      </c>
      <c r="M375" s="172" t="s">
        <v>872</v>
      </c>
      <c r="N375" s="172" t="s">
        <v>872</v>
      </c>
      <c r="O375" s="172" t="s">
        <v>872</v>
      </c>
      <c r="P375" s="172" t="s">
        <v>872</v>
      </c>
      <c r="Q375" s="172" t="s">
        <v>872</v>
      </c>
      <c r="R375" s="172" t="s">
        <v>872</v>
      </c>
      <c r="S375" s="172" t="s">
        <v>872</v>
      </c>
    </row>
    <row r="376" spans="1:19" ht="13.5" thickBot="1" x14ac:dyDescent="0.25">
      <c r="A376" s="2" t="s">
        <v>560</v>
      </c>
      <c r="B376" s="1" t="s">
        <v>559</v>
      </c>
      <c r="C376" s="2" t="s">
        <v>60</v>
      </c>
      <c r="D376" s="2" t="s">
        <v>1823</v>
      </c>
      <c r="E376" s="6">
        <v>85990</v>
      </c>
      <c r="F376" s="6">
        <v>120386</v>
      </c>
      <c r="G376" s="4">
        <v>40</v>
      </c>
      <c r="H376" s="172" t="s">
        <v>872</v>
      </c>
      <c r="I376" s="172" t="s">
        <v>872</v>
      </c>
      <c r="J376" s="172" t="s">
        <v>872</v>
      </c>
      <c r="K376" s="172" t="s">
        <v>872</v>
      </c>
      <c r="L376" s="172" t="s">
        <v>873</v>
      </c>
      <c r="M376" s="172" t="s">
        <v>872</v>
      </c>
      <c r="N376" s="172" t="s">
        <v>872</v>
      </c>
      <c r="O376" s="172" t="s">
        <v>872</v>
      </c>
      <c r="P376" s="172" t="s">
        <v>872</v>
      </c>
      <c r="Q376" s="172" t="s">
        <v>872</v>
      </c>
      <c r="R376" s="172" t="s">
        <v>873</v>
      </c>
      <c r="S376" s="172" t="s">
        <v>873</v>
      </c>
    </row>
    <row r="377" spans="1:19" ht="13.5" thickBot="1" x14ac:dyDescent="0.25">
      <c r="A377" s="2" t="s">
        <v>610</v>
      </c>
      <c r="B377" s="1" t="s">
        <v>609</v>
      </c>
      <c r="C377" s="2" t="s">
        <v>60</v>
      </c>
      <c r="D377" s="2" t="s">
        <v>1823</v>
      </c>
      <c r="E377" s="6">
        <v>51000</v>
      </c>
      <c r="F377" s="6">
        <v>80000</v>
      </c>
      <c r="G377" s="4">
        <v>40</v>
      </c>
      <c r="H377" s="172" t="s">
        <v>872</v>
      </c>
      <c r="I377" s="172" t="s">
        <v>872</v>
      </c>
      <c r="J377" s="172" t="s">
        <v>873</v>
      </c>
      <c r="K377" s="172" t="s">
        <v>873</v>
      </c>
      <c r="L377" s="172" t="s">
        <v>873</v>
      </c>
      <c r="M377" s="172" t="s">
        <v>872</v>
      </c>
      <c r="N377" s="172" t="s">
        <v>872</v>
      </c>
      <c r="O377" s="172" t="s">
        <v>872</v>
      </c>
      <c r="P377" s="172" t="s">
        <v>872</v>
      </c>
      <c r="Q377" s="172" t="s">
        <v>873</v>
      </c>
      <c r="R377" s="172" t="s">
        <v>873</v>
      </c>
      <c r="S377" s="172" t="s">
        <v>873</v>
      </c>
    </row>
    <row r="378" spans="1:19" ht="13.5" thickBot="1" x14ac:dyDescent="0.25">
      <c r="A378" s="2" t="s">
        <v>614</v>
      </c>
      <c r="B378" s="1" t="s">
        <v>613</v>
      </c>
      <c r="C378" s="2" t="s">
        <v>60</v>
      </c>
      <c r="D378" s="2" t="s">
        <v>1823</v>
      </c>
      <c r="E378" s="6">
        <v>70000</v>
      </c>
      <c r="F378" s="6">
        <v>105000</v>
      </c>
      <c r="G378" s="4">
        <v>45</v>
      </c>
      <c r="H378" s="172" t="s">
        <v>872</v>
      </c>
      <c r="I378" s="172" t="s">
        <v>872</v>
      </c>
      <c r="J378" s="172" t="s">
        <v>872</v>
      </c>
      <c r="K378" s="172" t="s">
        <v>872</v>
      </c>
      <c r="L378" s="172" t="s">
        <v>872</v>
      </c>
      <c r="M378" s="172" t="s">
        <v>872</v>
      </c>
      <c r="N378" s="172" t="s">
        <v>872</v>
      </c>
      <c r="O378" s="172" t="s">
        <v>873</v>
      </c>
      <c r="P378" s="172" t="s">
        <v>872</v>
      </c>
      <c r="Q378" s="172" t="s">
        <v>872</v>
      </c>
      <c r="R378" s="172" t="s">
        <v>872</v>
      </c>
      <c r="S378" s="172" t="s">
        <v>873</v>
      </c>
    </row>
    <row r="379" spans="1:19" ht="13.5" thickBot="1" x14ac:dyDescent="0.25">
      <c r="A379" s="2" t="s">
        <v>624</v>
      </c>
      <c r="B379" s="1" t="s">
        <v>623</v>
      </c>
      <c r="C379" s="2" t="s">
        <v>60</v>
      </c>
      <c r="D379" s="2" t="s">
        <v>1823</v>
      </c>
      <c r="E379" s="6">
        <v>75000</v>
      </c>
      <c r="F379" s="6">
        <v>87780</v>
      </c>
      <c r="G379" s="4">
        <v>40</v>
      </c>
      <c r="H379" s="172" t="s">
        <v>872</v>
      </c>
      <c r="I379" s="172" t="s">
        <v>872</v>
      </c>
      <c r="J379" s="172" t="s">
        <v>872</v>
      </c>
      <c r="K379" s="172" t="s">
        <v>872</v>
      </c>
      <c r="L379" s="172" t="s">
        <v>872</v>
      </c>
      <c r="M379" s="172" t="s">
        <v>872</v>
      </c>
      <c r="N379" s="172" t="s">
        <v>872</v>
      </c>
      <c r="O379" s="172" t="s">
        <v>872</v>
      </c>
      <c r="P379" s="172" t="s">
        <v>872</v>
      </c>
      <c r="Q379" s="172" t="s">
        <v>872</v>
      </c>
      <c r="R379" s="172" t="s">
        <v>873</v>
      </c>
      <c r="S379" s="172" t="s">
        <v>873</v>
      </c>
    </row>
    <row r="380" spans="1:19" ht="13.5" thickBot="1" x14ac:dyDescent="0.25">
      <c r="A380" s="2" t="s">
        <v>660</v>
      </c>
      <c r="B380" s="1" t="s">
        <v>659</v>
      </c>
      <c r="C380" s="2" t="s">
        <v>60</v>
      </c>
      <c r="D380" s="2" t="s">
        <v>1823</v>
      </c>
      <c r="E380" s="6">
        <v>109413</v>
      </c>
      <c r="F380" s="6">
        <v>155729</v>
      </c>
      <c r="G380" s="4">
        <v>38</v>
      </c>
      <c r="H380" s="172" t="s">
        <v>872</v>
      </c>
      <c r="I380" s="172" t="s">
        <v>872</v>
      </c>
      <c r="J380" s="172" t="s">
        <v>872</v>
      </c>
      <c r="K380" s="172" t="s">
        <v>873</v>
      </c>
      <c r="L380" s="172" t="s">
        <v>872</v>
      </c>
      <c r="M380" s="172" t="s">
        <v>872</v>
      </c>
      <c r="N380" s="172" t="s">
        <v>872</v>
      </c>
      <c r="O380" s="172" t="s">
        <v>873</v>
      </c>
      <c r="P380" s="172" t="s">
        <v>872</v>
      </c>
      <c r="Q380" s="172" t="s">
        <v>872</v>
      </c>
      <c r="R380" s="172" t="s">
        <v>872</v>
      </c>
      <c r="S380" s="172" t="s">
        <v>873</v>
      </c>
    </row>
    <row r="381" spans="1:19" ht="13.5" thickBot="1" x14ac:dyDescent="0.25">
      <c r="A381" s="2" t="s">
        <v>670</v>
      </c>
      <c r="B381" s="1" t="s">
        <v>669</v>
      </c>
      <c r="C381" s="2" t="s">
        <v>60</v>
      </c>
      <c r="D381" s="2" t="s">
        <v>1823</v>
      </c>
      <c r="E381" s="6">
        <v>74722</v>
      </c>
      <c r="F381" s="6">
        <v>90964</v>
      </c>
      <c r="G381" s="4">
        <v>40</v>
      </c>
      <c r="H381" s="172" t="s">
        <v>872</v>
      </c>
      <c r="I381" s="172" t="s">
        <v>872</v>
      </c>
      <c r="J381" s="172" t="s">
        <v>872</v>
      </c>
      <c r="K381" s="172" t="s">
        <v>872</v>
      </c>
      <c r="L381" s="172" t="s">
        <v>872</v>
      </c>
      <c r="M381" s="172" t="s">
        <v>872</v>
      </c>
      <c r="N381" s="172" t="s">
        <v>872</v>
      </c>
      <c r="O381" s="172" t="s">
        <v>872</v>
      </c>
      <c r="P381" s="172" t="s">
        <v>872</v>
      </c>
      <c r="Q381" s="172" t="s">
        <v>872</v>
      </c>
      <c r="R381" s="172" t="s">
        <v>872</v>
      </c>
      <c r="S381" s="172" t="s">
        <v>872</v>
      </c>
    </row>
    <row r="382" spans="1:19" ht="13.5" thickBot="1" x14ac:dyDescent="0.25">
      <c r="A382" s="2" t="s">
        <v>678</v>
      </c>
      <c r="B382" s="1" t="s">
        <v>677</v>
      </c>
      <c r="C382" s="2" t="s">
        <v>60</v>
      </c>
      <c r="D382" s="2" t="s">
        <v>1823</v>
      </c>
      <c r="E382" s="6">
        <v>82944</v>
      </c>
      <c r="F382" s="6">
        <v>86261</v>
      </c>
      <c r="G382" s="4">
        <v>40</v>
      </c>
      <c r="H382" s="172" t="s">
        <v>872</v>
      </c>
      <c r="I382" s="172" t="s">
        <v>872</v>
      </c>
      <c r="J382" s="172" t="s">
        <v>872</v>
      </c>
      <c r="K382" s="172" t="s">
        <v>872</v>
      </c>
      <c r="L382" s="172" t="s">
        <v>872</v>
      </c>
      <c r="M382" s="172" t="s">
        <v>872</v>
      </c>
      <c r="N382" s="172" t="s">
        <v>872</v>
      </c>
      <c r="O382" s="172" t="s">
        <v>873</v>
      </c>
      <c r="P382" s="172" t="s">
        <v>872</v>
      </c>
      <c r="Q382" s="172" t="s">
        <v>872</v>
      </c>
      <c r="R382" s="172" t="s">
        <v>872</v>
      </c>
      <c r="S382" s="172" t="s">
        <v>873</v>
      </c>
    </row>
    <row r="383" spans="1:19" ht="13.5" thickBot="1" x14ac:dyDescent="0.25">
      <c r="A383" s="2" t="s">
        <v>680</v>
      </c>
      <c r="B383" s="1" t="s">
        <v>679</v>
      </c>
      <c r="C383" s="2" t="s">
        <v>60</v>
      </c>
      <c r="D383" s="2" t="s">
        <v>1823</v>
      </c>
      <c r="E383" s="6">
        <v>84031</v>
      </c>
      <c r="F383" s="6">
        <v>98763</v>
      </c>
      <c r="G383" s="4">
        <v>38</v>
      </c>
      <c r="H383" s="172" t="s">
        <v>872</v>
      </c>
      <c r="I383" s="172" t="s">
        <v>872</v>
      </c>
      <c r="J383" s="172" t="s">
        <v>872</v>
      </c>
      <c r="K383" s="172" t="s">
        <v>872</v>
      </c>
      <c r="L383" s="172" t="s">
        <v>872</v>
      </c>
      <c r="M383" s="172" t="s">
        <v>872</v>
      </c>
      <c r="N383" s="172" t="s">
        <v>872</v>
      </c>
      <c r="O383" s="172" t="s">
        <v>872</v>
      </c>
      <c r="P383" s="172" t="s">
        <v>872</v>
      </c>
      <c r="Q383" s="172" t="s">
        <v>872</v>
      </c>
      <c r="R383" s="172" t="s">
        <v>872</v>
      </c>
      <c r="S383" s="172" t="s">
        <v>872</v>
      </c>
    </row>
    <row r="384" spans="1:19" ht="13.5" thickBot="1" x14ac:dyDescent="0.25">
      <c r="A384" s="2" t="s">
        <v>708</v>
      </c>
      <c r="B384" s="1" t="s">
        <v>707</v>
      </c>
      <c r="C384" s="2" t="s">
        <v>60</v>
      </c>
      <c r="D384" s="2" t="s">
        <v>1823</v>
      </c>
      <c r="E384" s="6">
        <v>83772</v>
      </c>
      <c r="F384" s="6">
        <v>96330</v>
      </c>
      <c r="G384" s="4">
        <v>38</v>
      </c>
      <c r="H384" s="172" t="s">
        <v>872</v>
      </c>
      <c r="I384" s="172" t="s">
        <v>872</v>
      </c>
      <c r="J384" s="172" t="s">
        <v>872</v>
      </c>
      <c r="K384" s="172" t="s">
        <v>872</v>
      </c>
      <c r="L384" s="172" t="s">
        <v>872</v>
      </c>
      <c r="M384" s="172" t="s">
        <v>872</v>
      </c>
      <c r="N384" s="172" t="s">
        <v>872</v>
      </c>
      <c r="O384" s="172" t="s">
        <v>872</v>
      </c>
      <c r="P384" s="172" t="s">
        <v>872</v>
      </c>
      <c r="Q384" s="172" t="s">
        <v>872</v>
      </c>
      <c r="R384" s="172" t="s">
        <v>872</v>
      </c>
      <c r="S384" s="172" t="s">
        <v>873</v>
      </c>
    </row>
    <row r="385" spans="1:19" ht="13.5" thickBot="1" x14ac:dyDescent="0.25">
      <c r="A385" s="2" t="s">
        <v>720</v>
      </c>
      <c r="B385" s="1" t="s">
        <v>719</v>
      </c>
      <c r="C385" s="2" t="s">
        <v>60</v>
      </c>
      <c r="D385" s="2" t="s">
        <v>1823</v>
      </c>
      <c r="E385" s="6">
        <v>80016</v>
      </c>
      <c r="F385" s="6">
        <v>108258</v>
      </c>
      <c r="G385" s="4">
        <v>40</v>
      </c>
      <c r="H385" s="172" t="s">
        <v>872</v>
      </c>
      <c r="I385" s="172" t="s">
        <v>872</v>
      </c>
      <c r="J385" s="172" t="s">
        <v>872</v>
      </c>
      <c r="K385" s="172" t="s">
        <v>872</v>
      </c>
      <c r="L385" s="172" t="s">
        <v>872</v>
      </c>
      <c r="M385" s="172" t="s">
        <v>872</v>
      </c>
      <c r="N385" s="172" t="s">
        <v>872</v>
      </c>
      <c r="O385" s="172" t="s">
        <v>872</v>
      </c>
      <c r="P385" s="172" t="s">
        <v>872</v>
      </c>
      <c r="Q385" s="172" t="s">
        <v>872</v>
      </c>
      <c r="R385" s="172" t="s">
        <v>872</v>
      </c>
      <c r="S385" s="172" t="s">
        <v>873</v>
      </c>
    </row>
    <row r="386" spans="1:19" ht="13.5" thickBot="1" x14ac:dyDescent="0.25">
      <c r="A386" s="2" t="s">
        <v>734</v>
      </c>
      <c r="B386" s="1" t="s">
        <v>733</v>
      </c>
      <c r="C386" s="2" t="s">
        <v>60</v>
      </c>
      <c r="D386" s="2" t="s">
        <v>1823</v>
      </c>
      <c r="E386" s="6">
        <v>97614</v>
      </c>
      <c r="F386" s="6">
        <v>121024</v>
      </c>
      <c r="G386" s="4">
        <v>24</v>
      </c>
      <c r="H386" s="172" t="s">
        <v>872</v>
      </c>
      <c r="I386" s="172" t="s">
        <v>872</v>
      </c>
      <c r="J386" s="172" t="s">
        <v>872</v>
      </c>
      <c r="K386" s="172" t="s">
        <v>872</v>
      </c>
      <c r="L386" s="172" t="s">
        <v>873</v>
      </c>
      <c r="M386" s="172" t="s">
        <v>872</v>
      </c>
      <c r="N386" s="172" t="s">
        <v>872</v>
      </c>
      <c r="O386" s="172" t="s">
        <v>872</v>
      </c>
      <c r="P386" s="172" t="s">
        <v>872</v>
      </c>
      <c r="Q386" s="172" t="s">
        <v>872</v>
      </c>
      <c r="R386" s="172" t="s">
        <v>872</v>
      </c>
      <c r="S386" s="172" t="s">
        <v>872</v>
      </c>
    </row>
    <row r="387" spans="1:19" ht="13.5" thickBot="1" x14ac:dyDescent="0.25">
      <c r="A387" s="2" t="s">
        <v>751</v>
      </c>
      <c r="B387" s="1" t="s">
        <v>750</v>
      </c>
      <c r="C387" s="2" t="s">
        <v>60</v>
      </c>
      <c r="D387" s="2" t="s">
        <v>1823</v>
      </c>
      <c r="E387" s="6">
        <v>65000</v>
      </c>
      <c r="F387" s="6">
        <v>70000</v>
      </c>
      <c r="G387" s="4">
        <v>40</v>
      </c>
      <c r="H387" s="172" t="s">
        <v>872</v>
      </c>
      <c r="I387" s="172" t="s">
        <v>872</v>
      </c>
      <c r="J387" s="172" t="s">
        <v>872</v>
      </c>
      <c r="K387" s="172" t="s">
        <v>872</v>
      </c>
      <c r="L387" s="172" t="s">
        <v>872</v>
      </c>
      <c r="M387" s="172" t="s">
        <v>873</v>
      </c>
      <c r="N387" s="172" t="s">
        <v>873</v>
      </c>
      <c r="O387" s="172" t="s">
        <v>872</v>
      </c>
      <c r="P387" s="172" t="s">
        <v>872</v>
      </c>
      <c r="Q387" s="172" t="s">
        <v>872</v>
      </c>
      <c r="R387" s="172" t="s">
        <v>873</v>
      </c>
      <c r="S387" s="172" t="s">
        <v>873</v>
      </c>
    </row>
    <row r="388" spans="1:19" ht="13.5" thickBot="1" x14ac:dyDescent="0.25">
      <c r="A388" s="2" t="s">
        <v>777</v>
      </c>
      <c r="B388" s="1" t="s">
        <v>776</v>
      </c>
      <c r="C388" s="2" t="s">
        <v>60</v>
      </c>
      <c r="D388" s="2" t="s">
        <v>1823</v>
      </c>
      <c r="E388" s="6">
        <v>90000</v>
      </c>
      <c r="F388" s="6">
        <v>90000</v>
      </c>
      <c r="G388" s="4">
        <v>40</v>
      </c>
      <c r="H388" s="172" t="s">
        <v>872</v>
      </c>
      <c r="I388" s="172" t="s">
        <v>872</v>
      </c>
      <c r="J388" s="172" t="s">
        <v>872</v>
      </c>
      <c r="K388" s="172" t="s">
        <v>872</v>
      </c>
      <c r="L388" s="172" t="s">
        <v>872</v>
      </c>
      <c r="M388" s="172" t="s">
        <v>872</v>
      </c>
      <c r="N388" s="172" t="s">
        <v>872</v>
      </c>
      <c r="O388" s="172" t="s">
        <v>872</v>
      </c>
      <c r="P388" s="172" t="s">
        <v>872</v>
      </c>
      <c r="Q388" s="172" t="s">
        <v>872</v>
      </c>
      <c r="R388" s="172" t="s">
        <v>872</v>
      </c>
      <c r="S388" s="172" t="s">
        <v>873</v>
      </c>
    </row>
    <row r="389" spans="1:19" ht="13.5" thickBot="1" x14ac:dyDescent="0.25">
      <c r="A389" s="2" t="s">
        <v>779</v>
      </c>
      <c r="B389" s="1" t="s">
        <v>778</v>
      </c>
      <c r="C389" s="2" t="s">
        <v>60</v>
      </c>
      <c r="D389" s="2" t="s">
        <v>1823</v>
      </c>
      <c r="E389" s="6">
        <v>61102</v>
      </c>
      <c r="F389" s="6">
        <v>71481</v>
      </c>
      <c r="G389" s="4">
        <v>40</v>
      </c>
      <c r="H389" s="172" t="s">
        <v>872</v>
      </c>
      <c r="I389" s="172" t="s">
        <v>872</v>
      </c>
      <c r="J389" s="172" t="s">
        <v>872</v>
      </c>
      <c r="K389" s="172" t="s">
        <v>872</v>
      </c>
      <c r="L389" s="172" t="s">
        <v>873</v>
      </c>
      <c r="M389" s="172" t="s">
        <v>872</v>
      </c>
      <c r="N389" s="172" t="s">
        <v>872</v>
      </c>
      <c r="O389" s="172" t="s">
        <v>872</v>
      </c>
      <c r="P389" s="172" t="s">
        <v>872</v>
      </c>
      <c r="Q389" s="172" t="s">
        <v>872</v>
      </c>
      <c r="R389" s="172" t="s">
        <v>872</v>
      </c>
      <c r="S389" s="172" t="s">
        <v>873</v>
      </c>
    </row>
    <row r="390" spans="1:19" ht="13.5" thickBot="1" x14ac:dyDescent="0.25">
      <c r="A390" s="2" t="s">
        <v>781</v>
      </c>
      <c r="B390" s="1" t="s">
        <v>780</v>
      </c>
      <c r="C390" s="2" t="s">
        <v>60</v>
      </c>
      <c r="D390" s="2" t="s">
        <v>1823</v>
      </c>
      <c r="E390" s="6">
        <v>86691</v>
      </c>
      <c r="F390" s="6">
        <v>130036</v>
      </c>
      <c r="G390" s="4">
        <v>40</v>
      </c>
      <c r="H390" s="172" t="s">
        <v>872</v>
      </c>
      <c r="I390" s="172" t="s">
        <v>872</v>
      </c>
      <c r="J390" s="172" t="s">
        <v>872</v>
      </c>
      <c r="K390" s="172" t="s">
        <v>872</v>
      </c>
      <c r="L390" s="172" t="s">
        <v>873</v>
      </c>
      <c r="M390" s="172" t="s">
        <v>872</v>
      </c>
      <c r="N390" s="172" t="s">
        <v>872</v>
      </c>
      <c r="O390" s="172" t="s">
        <v>872</v>
      </c>
      <c r="P390" s="172" t="s">
        <v>872</v>
      </c>
      <c r="Q390" s="172" t="s">
        <v>872</v>
      </c>
      <c r="R390" s="172" t="s">
        <v>872</v>
      </c>
      <c r="S390" s="172" t="s">
        <v>873</v>
      </c>
    </row>
    <row r="391" spans="1:19" ht="13.5" thickBot="1" x14ac:dyDescent="0.25">
      <c r="A391" s="2" t="s">
        <v>805</v>
      </c>
      <c r="B391" s="1" t="s">
        <v>804</v>
      </c>
      <c r="C391" s="2" t="s">
        <v>60</v>
      </c>
      <c r="D391" s="2" t="s">
        <v>1823</v>
      </c>
      <c r="E391" s="6">
        <v>101488</v>
      </c>
      <c r="F391" s="6">
        <v>101488</v>
      </c>
      <c r="G391" s="4">
        <v>38</v>
      </c>
      <c r="H391" s="172" t="s">
        <v>872</v>
      </c>
      <c r="I391" s="172" t="s">
        <v>872</v>
      </c>
      <c r="J391" s="172" t="s">
        <v>872</v>
      </c>
      <c r="K391" s="172" t="s">
        <v>872</v>
      </c>
      <c r="L391" s="172" t="s">
        <v>872</v>
      </c>
      <c r="M391" s="172" t="s">
        <v>872</v>
      </c>
      <c r="N391" s="172" t="s">
        <v>872</v>
      </c>
      <c r="O391" s="172" t="s">
        <v>872</v>
      </c>
      <c r="P391" s="172" t="s">
        <v>872</v>
      </c>
      <c r="Q391" s="172" t="s">
        <v>872</v>
      </c>
      <c r="R391" s="172" t="s">
        <v>872</v>
      </c>
      <c r="S391" s="172" t="s">
        <v>872</v>
      </c>
    </row>
    <row r="392" spans="1:19" ht="13.5" thickBot="1" x14ac:dyDescent="0.25">
      <c r="A392" s="2" t="s">
        <v>807</v>
      </c>
      <c r="B392" s="1" t="s">
        <v>806</v>
      </c>
      <c r="C392" s="2" t="s">
        <v>60</v>
      </c>
      <c r="D392" s="2" t="s">
        <v>1823</v>
      </c>
      <c r="E392" s="6">
        <v>90086</v>
      </c>
      <c r="F392" s="6">
        <v>114688</v>
      </c>
      <c r="G392" s="4">
        <v>40</v>
      </c>
      <c r="H392" s="172" t="s">
        <v>872</v>
      </c>
      <c r="I392" s="172" t="s">
        <v>872</v>
      </c>
      <c r="J392" s="172" t="s">
        <v>872</v>
      </c>
      <c r="K392" s="172" t="s">
        <v>872</v>
      </c>
      <c r="L392" s="172" t="s">
        <v>872</v>
      </c>
      <c r="M392" s="172" t="s">
        <v>872</v>
      </c>
      <c r="N392" s="172" t="s">
        <v>872</v>
      </c>
      <c r="O392" s="172" t="s">
        <v>872</v>
      </c>
      <c r="P392" s="172" t="s">
        <v>872</v>
      </c>
      <c r="Q392" s="172" t="s">
        <v>872</v>
      </c>
      <c r="R392" s="172" t="s">
        <v>872</v>
      </c>
      <c r="S392" s="172" t="s">
        <v>872</v>
      </c>
    </row>
    <row r="393" spans="1:19" ht="13.5" thickBot="1" x14ac:dyDescent="0.25">
      <c r="A393" s="2" t="s">
        <v>815</v>
      </c>
      <c r="B393" s="1" t="s">
        <v>814</v>
      </c>
      <c r="C393" s="2" t="s">
        <v>60</v>
      </c>
      <c r="D393" s="2" t="s">
        <v>1823</v>
      </c>
      <c r="E393" s="6">
        <v>83209</v>
      </c>
      <c r="F393" s="6">
        <v>118636</v>
      </c>
      <c r="G393" s="4">
        <v>35</v>
      </c>
      <c r="H393" s="172" t="s">
        <v>872</v>
      </c>
      <c r="I393" s="172" t="s">
        <v>872</v>
      </c>
      <c r="J393" s="172" t="s">
        <v>872</v>
      </c>
      <c r="K393" s="172" t="s">
        <v>872</v>
      </c>
      <c r="L393" s="172" t="s">
        <v>872</v>
      </c>
      <c r="M393" s="172" t="s">
        <v>872</v>
      </c>
      <c r="N393" s="172" t="s">
        <v>872</v>
      </c>
      <c r="O393" s="172" t="s">
        <v>872</v>
      </c>
      <c r="P393" s="172" t="s">
        <v>872</v>
      </c>
      <c r="Q393" s="172" t="s">
        <v>872</v>
      </c>
      <c r="R393" s="172" t="s">
        <v>872</v>
      </c>
      <c r="S393" s="172" t="s">
        <v>872</v>
      </c>
    </row>
    <row r="394" spans="1:19" ht="13.5" thickBot="1" x14ac:dyDescent="0.25">
      <c r="A394" s="2" t="s">
        <v>835</v>
      </c>
      <c r="B394" s="1" t="s">
        <v>834</v>
      </c>
      <c r="C394" s="2" t="s">
        <v>60</v>
      </c>
      <c r="D394" s="2" t="s">
        <v>1823</v>
      </c>
      <c r="E394" s="6">
        <v>98626</v>
      </c>
      <c r="F394" s="6">
        <v>98626</v>
      </c>
      <c r="G394" s="4">
        <v>40</v>
      </c>
      <c r="H394" s="172" t="s">
        <v>872</v>
      </c>
      <c r="I394" s="172" t="s">
        <v>872</v>
      </c>
      <c r="J394" s="172" t="s">
        <v>872</v>
      </c>
      <c r="K394" s="172" t="s">
        <v>872</v>
      </c>
      <c r="L394" s="172" t="s">
        <v>872</v>
      </c>
      <c r="M394" s="172" t="s">
        <v>872</v>
      </c>
      <c r="N394" s="172" t="s">
        <v>872</v>
      </c>
      <c r="O394" s="172" t="s">
        <v>872</v>
      </c>
      <c r="P394" s="172" t="s">
        <v>872</v>
      </c>
      <c r="Q394" s="172" t="s">
        <v>873</v>
      </c>
      <c r="R394" s="172" t="s">
        <v>873</v>
      </c>
      <c r="S394" s="172" t="s">
        <v>873</v>
      </c>
    </row>
    <row r="395" spans="1:19" ht="13.5" thickBot="1" x14ac:dyDescent="0.25">
      <c r="A395" s="2" t="s">
        <v>837</v>
      </c>
      <c r="B395" s="1" t="s">
        <v>836</v>
      </c>
      <c r="C395" s="2" t="s">
        <v>60</v>
      </c>
      <c r="D395" s="2" t="s">
        <v>1823</v>
      </c>
      <c r="E395" s="6">
        <v>70000</v>
      </c>
      <c r="F395" s="6">
        <v>92000</v>
      </c>
      <c r="G395" s="4">
        <v>40</v>
      </c>
      <c r="H395" s="172" t="s">
        <v>872</v>
      </c>
      <c r="I395" s="172" t="s">
        <v>872</v>
      </c>
      <c r="J395" s="172" t="s">
        <v>872</v>
      </c>
      <c r="K395" s="172" t="s">
        <v>872</v>
      </c>
      <c r="L395" s="172" t="s">
        <v>872</v>
      </c>
      <c r="M395" s="172" t="s">
        <v>873</v>
      </c>
      <c r="N395" s="172" t="s">
        <v>872</v>
      </c>
      <c r="O395" s="172" t="s">
        <v>872</v>
      </c>
      <c r="P395" s="172" t="s">
        <v>872</v>
      </c>
      <c r="Q395" s="172" t="s">
        <v>872</v>
      </c>
      <c r="R395" s="172" t="s">
        <v>873</v>
      </c>
      <c r="S395" s="172" t="s">
        <v>873</v>
      </c>
    </row>
    <row r="396" spans="1:19" ht="13.5" thickBot="1" x14ac:dyDescent="0.25">
      <c r="A396" s="2" t="s">
        <v>843</v>
      </c>
      <c r="B396" s="114" t="s">
        <v>842</v>
      </c>
      <c r="C396" s="2" t="s">
        <v>60</v>
      </c>
      <c r="D396" s="2" t="s">
        <v>1823</v>
      </c>
      <c r="E396" s="6">
        <v>85000</v>
      </c>
      <c r="F396" s="6">
        <v>105000</v>
      </c>
      <c r="G396" s="4">
        <v>40</v>
      </c>
      <c r="H396" s="172" t="s">
        <v>872</v>
      </c>
      <c r="I396" s="172" t="s">
        <v>872</v>
      </c>
      <c r="J396" s="172" t="s">
        <v>872</v>
      </c>
      <c r="K396" s="172" t="s">
        <v>872</v>
      </c>
      <c r="L396" s="172" t="s">
        <v>872</v>
      </c>
      <c r="M396" s="172" t="s">
        <v>872</v>
      </c>
      <c r="N396" s="172" t="s">
        <v>872</v>
      </c>
      <c r="O396" s="172" t="s">
        <v>872</v>
      </c>
      <c r="P396" s="172" t="s">
        <v>872</v>
      </c>
      <c r="Q396" s="172" t="s">
        <v>872</v>
      </c>
      <c r="R396" s="172" t="s">
        <v>872</v>
      </c>
      <c r="S396" s="172" t="s">
        <v>873</v>
      </c>
    </row>
    <row r="397" spans="1:19" ht="18.75" thickBot="1" x14ac:dyDescent="0.3">
      <c r="B397" s="222" t="s">
        <v>2623</v>
      </c>
      <c r="C397" s="163">
        <f>SUBTOTAL(103, Table11[Library Class])</f>
        <v>393</v>
      </c>
      <c r="D397" s="182" t="s">
        <v>2625</v>
      </c>
      <c r="E397" s="157">
        <f>SUBTOTAL(101,Table11[Director Minimum Salary])</f>
        <v>46354.66494845361</v>
      </c>
      <c r="F397" s="157">
        <f>SUBTOTAL(101,Table11[Director Maximum Salary])</f>
        <v>57107.023195876289</v>
      </c>
      <c r="G397" s="181">
        <f>SUBTOTAL(101,Table11[Director Average Hrs/Wk])</f>
        <v>37.152061855670105</v>
      </c>
      <c r="H397" s="184"/>
      <c r="I397" s="184"/>
      <c r="J397" s="184"/>
      <c r="K397" s="184"/>
      <c r="L397" s="184"/>
      <c r="M397" s="184"/>
      <c r="N397" s="184"/>
      <c r="O397" s="184"/>
      <c r="P397" s="184"/>
      <c r="Q397" s="184"/>
      <c r="R397" s="184"/>
      <c r="S397" s="184"/>
    </row>
    <row r="398" spans="1:19" ht="39" thickBot="1" x14ac:dyDescent="0.25">
      <c r="E398" s="190" t="s">
        <v>2663</v>
      </c>
      <c r="F398" s="183" t="s">
        <v>1811</v>
      </c>
      <c r="G398" s="183" t="s">
        <v>1812</v>
      </c>
      <c r="H398" s="183" t="s">
        <v>1813</v>
      </c>
      <c r="I398" s="183" t="s">
        <v>1814</v>
      </c>
      <c r="J398" s="183" t="s">
        <v>1815</v>
      </c>
      <c r="K398" s="183" t="s">
        <v>1816</v>
      </c>
      <c r="L398" s="183" t="s">
        <v>1817</v>
      </c>
      <c r="M398" s="183" t="s">
        <v>1818</v>
      </c>
      <c r="N398" s="183" t="s">
        <v>1819</v>
      </c>
      <c r="O398" s="183" t="s">
        <v>1820</v>
      </c>
      <c r="P398" s="183" t="s">
        <v>1821</v>
      </c>
      <c r="Q398" s="183" t="s">
        <v>1822</v>
      </c>
    </row>
    <row r="399" spans="1:19" ht="13.5" thickBot="1" x14ac:dyDescent="0.25">
      <c r="E399" s="191" t="s">
        <v>2651</v>
      </c>
      <c r="F399" s="192">
        <v>0.15714285714285714</v>
      </c>
      <c r="G399" s="193">
        <v>0.12857142857142856</v>
      </c>
      <c r="H399" s="193">
        <v>0.1</v>
      </c>
      <c r="I399" s="193">
        <v>0.1</v>
      </c>
      <c r="J399" s="193">
        <v>0.21428571428571427</v>
      </c>
      <c r="K399" s="193">
        <v>0.44285714285714284</v>
      </c>
      <c r="L399" s="193">
        <v>0.68571428571428572</v>
      </c>
      <c r="M399" s="193">
        <v>0.47142857142857142</v>
      </c>
      <c r="N399" s="193">
        <v>0.7</v>
      </c>
      <c r="O399" s="193">
        <v>8.5714285714285715E-2</v>
      </c>
      <c r="P399" s="193">
        <v>5.7142857142857141E-2</v>
      </c>
      <c r="Q399" s="194">
        <v>8.5714285714285715E-2</v>
      </c>
    </row>
    <row r="400" spans="1:19" ht="13.5" thickBot="1" x14ac:dyDescent="0.25">
      <c r="E400" s="199" t="s">
        <v>2652</v>
      </c>
      <c r="F400" s="200">
        <v>0.29487179487179488</v>
      </c>
      <c r="G400" s="201">
        <v>0.23076923076923078</v>
      </c>
      <c r="H400" s="201">
        <v>0.20512820512820512</v>
      </c>
      <c r="I400" s="201">
        <v>0.17948717948717949</v>
      </c>
      <c r="J400" s="201">
        <v>0.26923076923076922</v>
      </c>
      <c r="K400" s="201">
        <v>0.75641025641025639</v>
      </c>
      <c r="L400" s="201">
        <v>0.92307692307692313</v>
      </c>
      <c r="M400" s="201">
        <v>0.64102564102564108</v>
      </c>
      <c r="N400" s="201">
        <v>0.89743589743589747</v>
      </c>
      <c r="O400" s="201">
        <v>0.16666666666666666</v>
      </c>
      <c r="P400" s="201">
        <v>0.11538461538461539</v>
      </c>
      <c r="Q400" s="202">
        <v>8.9743589743589744E-2</v>
      </c>
    </row>
    <row r="401" spans="5:18" ht="13.5" thickBot="1" x14ac:dyDescent="0.25">
      <c r="E401" s="195" t="s">
        <v>2653</v>
      </c>
      <c r="F401" s="196">
        <v>0.61538461538461542</v>
      </c>
      <c r="G401" s="197">
        <v>0.48717948717948717</v>
      </c>
      <c r="H401" s="197">
        <v>0.41025641025641024</v>
      </c>
      <c r="I401" s="197">
        <v>0.42307692307692307</v>
      </c>
      <c r="J401" s="197">
        <v>0.5</v>
      </c>
      <c r="K401" s="197">
        <v>0.78205128205128205</v>
      </c>
      <c r="L401" s="197">
        <v>0.92307692307692313</v>
      </c>
      <c r="M401" s="197">
        <v>0.69230769230769229</v>
      </c>
      <c r="N401" s="197">
        <v>0.88461538461538458</v>
      </c>
      <c r="O401" s="197">
        <v>0.32051282051282054</v>
      </c>
      <c r="P401" s="197">
        <v>0.38461538461538464</v>
      </c>
      <c r="Q401" s="198">
        <v>0.15384615384615385</v>
      </c>
      <c r="R401" s="186"/>
    </row>
    <row r="402" spans="5:18" ht="13.5" thickBot="1" x14ac:dyDescent="0.25">
      <c r="E402" s="199" t="s">
        <v>2654</v>
      </c>
      <c r="F402" s="200">
        <v>0.86075949367088611</v>
      </c>
      <c r="G402" s="201">
        <v>0.759493670886076</v>
      </c>
      <c r="H402" s="201">
        <v>0.620253164556962</v>
      </c>
      <c r="I402" s="201">
        <v>0.70886075949367089</v>
      </c>
      <c r="J402" s="201">
        <v>0.620253164556962</v>
      </c>
      <c r="K402" s="201">
        <v>0.92405063291139244</v>
      </c>
      <c r="L402" s="201">
        <v>0.96202531645569622</v>
      </c>
      <c r="M402" s="201">
        <v>0.72151898734177211</v>
      </c>
      <c r="N402" s="201">
        <v>0.96202531645569622</v>
      </c>
      <c r="O402" s="201">
        <v>0.54430379746835444</v>
      </c>
      <c r="P402" s="201">
        <v>0.46835443037974683</v>
      </c>
      <c r="Q402" s="202">
        <v>0.30379746835443039</v>
      </c>
      <c r="R402" s="186"/>
    </row>
    <row r="403" spans="5:18" ht="13.5" thickBot="1" x14ac:dyDescent="0.25">
      <c r="E403" s="195" t="s">
        <v>2655</v>
      </c>
      <c r="F403" s="196">
        <v>1</v>
      </c>
      <c r="G403" s="197">
        <v>0.95348837209302328</v>
      </c>
      <c r="H403" s="197">
        <v>0.90697674418604646</v>
      </c>
      <c r="I403" s="197">
        <v>0.88372093023255816</v>
      </c>
      <c r="J403" s="197">
        <v>0.83720930232558144</v>
      </c>
      <c r="K403" s="197">
        <v>0.97674418604651159</v>
      </c>
      <c r="L403" s="197">
        <v>0.97674418604651159</v>
      </c>
      <c r="M403" s="197">
        <v>0.83720930232558144</v>
      </c>
      <c r="N403" s="197">
        <v>1</v>
      </c>
      <c r="O403" s="197">
        <v>0.72093023255813948</v>
      </c>
      <c r="P403" s="197">
        <v>0.7441860465116279</v>
      </c>
      <c r="Q403" s="198">
        <v>0.39534883720930231</v>
      </c>
      <c r="R403" s="185"/>
    </row>
    <row r="404" spans="5:18" ht="13.5" thickBot="1" x14ac:dyDescent="0.25">
      <c r="E404" s="199" t="s">
        <v>2656</v>
      </c>
      <c r="F404" s="200">
        <v>1</v>
      </c>
      <c r="G404" s="201">
        <v>0.97777777777777775</v>
      </c>
      <c r="H404" s="201">
        <v>0.91111111111111109</v>
      </c>
      <c r="I404" s="201">
        <v>0.9555555555555556</v>
      </c>
      <c r="J404" s="201">
        <v>0.77777777777777779</v>
      </c>
      <c r="K404" s="201">
        <v>0.93333333333333335</v>
      </c>
      <c r="L404" s="201">
        <v>0.97777777777777775</v>
      </c>
      <c r="M404" s="201">
        <v>0.8</v>
      </c>
      <c r="N404" s="201">
        <v>1</v>
      </c>
      <c r="O404" s="201">
        <v>0.88888888888888884</v>
      </c>
      <c r="P404" s="201">
        <v>0.75555555555555554</v>
      </c>
      <c r="Q404" s="202">
        <v>0.31111111111111112</v>
      </c>
      <c r="R404" s="185"/>
    </row>
    <row r="405" spans="5:18" x14ac:dyDescent="0.2">
      <c r="R405" s="185"/>
    </row>
    <row r="406" spans="5:18" x14ac:dyDescent="0.2">
      <c r="R406" s="186"/>
    </row>
    <row r="409" spans="5:18" x14ac:dyDescent="0.2">
      <c r="E409" s="186"/>
      <c r="F409" s="187"/>
      <c r="G409" s="187"/>
      <c r="H409" s="187"/>
      <c r="I409" s="187"/>
      <c r="J409" s="187"/>
      <c r="K409" s="187"/>
      <c r="L409" s="187"/>
      <c r="M409" s="187"/>
      <c r="N409" s="187"/>
      <c r="O409" s="187"/>
      <c r="P409" s="187"/>
      <c r="Q409" s="187"/>
    </row>
    <row r="410" spans="5:18" x14ac:dyDescent="0.2">
      <c r="E410" s="188"/>
      <c r="F410" s="189"/>
      <c r="G410" s="189"/>
      <c r="H410" s="189"/>
      <c r="I410" s="189"/>
      <c r="J410" s="189"/>
      <c r="K410" s="189"/>
      <c r="L410" s="189"/>
      <c r="M410" s="189"/>
      <c r="N410" s="189"/>
      <c r="O410" s="189"/>
      <c r="P410" s="189"/>
      <c r="Q410" s="189"/>
    </row>
    <row r="411" spans="5:18" x14ac:dyDescent="0.2">
      <c r="E411" s="188"/>
      <c r="F411" s="189"/>
      <c r="G411" s="189"/>
      <c r="H411" s="189"/>
      <c r="I411" s="189"/>
      <c r="J411" s="189"/>
      <c r="K411" s="189"/>
      <c r="L411" s="189"/>
      <c r="M411" s="189"/>
      <c r="N411" s="189"/>
      <c r="O411" s="189"/>
      <c r="P411" s="189"/>
      <c r="Q411" s="189"/>
    </row>
    <row r="412" spans="5:18" x14ac:dyDescent="0.2">
      <c r="E412" s="188"/>
      <c r="F412" s="189"/>
      <c r="G412" s="189"/>
      <c r="H412" s="189"/>
      <c r="I412" s="189"/>
      <c r="J412" s="189"/>
      <c r="K412" s="189"/>
      <c r="L412" s="189"/>
      <c r="M412" s="189"/>
      <c r="N412" s="189"/>
      <c r="O412" s="189"/>
      <c r="P412" s="189"/>
      <c r="Q412" s="189"/>
    </row>
    <row r="413" spans="5:18" x14ac:dyDescent="0.2">
      <c r="E413" s="188"/>
      <c r="F413" s="189"/>
      <c r="G413" s="189"/>
      <c r="H413" s="189"/>
      <c r="I413" s="189"/>
      <c r="J413" s="189"/>
      <c r="K413" s="189"/>
      <c r="L413" s="189"/>
      <c r="M413" s="189"/>
      <c r="N413" s="189"/>
      <c r="O413" s="189"/>
      <c r="P413" s="189"/>
      <c r="Q413" s="189"/>
    </row>
    <row r="414" spans="5:18" x14ac:dyDescent="0.2">
      <c r="E414" s="188"/>
      <c r="F414" s="189"/>
      <c r="G414" s="189"/>
      <c r="H414" s="189"/>
      <c r="I414" s="189"/>
      <c r="J414" s="189"/>
      <c r="K414" s="189"/>
      <c r="L414" s="189"/>
      <c r="M414" s="189"/>
      <c r="N414" s="189"/>
      <c r="O414" s="189"/>
      <c r="P414" s="189"/>
      <c r="Q414" s="189"/>
    </row>
    <row r="415" spans="5:18" x14ac:dyDescent="0.2">
      <c r="E415" s="188"/>
      <c r="F415" s="189"/>
      <c r="G415" s="189"/>
      <c r="H415" s="189"/>
      <c r="I415" s="189"/>
      <c r="J415" s="189"/>
      <c r="K415" s="189"/>
      <c r="L415" s="189"/>
      <c r="M415" s="189"/>
      <c r="N415" s="189"/>
      <c r="O415" s="189"/>
      <c r="P415" s="189"/>
      <c r="Q415" s="189"/>
    </row>
    <row r="416" spans="5:18" x14ac:dyDescent="0.2">
      <c r="E416" s="186"/>
      <c r="F416" s="186"/>
      <c r="G416" s="186"/>
      <c r="H416" s="186"/>
      <c r="I416" s="186"/>
      <c r="J416" s="186"/>
      <c r="K416" s="186"/>
      <c r="L416" s="186"/>
      <c r="M416" s="186"/>
      <c r="N416" s="186"/>
      <c r="O416" s="186"/>
      <c r="P416" s="186"/>
      <c r="Q416" s="186"/>
    </row>
    <row r="417" spans="5:17" x14ac:dyDescent="0.2">
      <c r="E417" s="186"/>
      <c r="F417" s="186"/>
      <c r="G417" s="186"/>
      <c r="H417" s="186"/>
      <c r="I417" s="186"/>
      <c r="J417" s="186"/>
      <c r="K417" s="186"/>
      <c r="L417" s="186"/>
      <c r="M417" s="186"/>
      <c r="N417" s="186"/>
      <c r="O417" s="186"/>
      <c r="P417" s="186"/>
      <c r="Q417" s="186"/>
    </row>
    <row r="418" spans="5:17" x14ac:dyDescent="0.2">
      <c r="E418" s="186"/>
      <c r="F418" s="186"/>
      <c r="G418" s="186"/>
      <c r="H418" s="186"/>
      <c r="I418" s="186"/>
      <c r="J418" s="186"/>
      <c r="K418" s="186"/>
      <c r="L418" s="186"/>
      <c r="M418" s="186"/>
      <c r="N418" s="186"/>
      <c r="O418" s="186"/>
      <c r="P418" s="186"/>
      <c r="Q418" s="186"/>
    </row>
    <row r="419" spans="5:17" x14ac:dyDescent="0.2">
      <c r="E419" s="186"/>
      <c r="F419" s="189"/>
      <c r="G419" s="189"/>
      <c r="H419" s="189"/>
      <c r="I419" s="189"/>
      <c r="J419" s="189"/>
      <c r="K419" s="189"/>
      <c r="L419" s="189"/>
      <c r="M419" s="189"/>
      <c r="N419" s="189"/>
      <c r="O419" s="189"/>
      <c r="P419" s="189"/>
      <c r="Q419" s="189"/>
    </row>
    <row r="420" spans="5:17" x14ac:dyDescent="0.2">
      <c r="E420" s="186"/>
      <c r="F420" s="189"/>
      <c r="G420" s="189"/>
      <c r="H420" s="189"/>
      <c r="I420" s="189"/>
      <c r="J420" s="189"/>
      <c r="K420" s="189"/>
      <c r="L420" s="189"/>
      <c r="M420" s="189"/>
      <c r="N420" s="189"/>
      <c r="O420" s="189"/>
      <c r="P420" s="189"/>
      <c r="Q420" s="189"/>
    </row>
    <row r="421" spans="5:17" x14ac:dyDescent="0.2">
      <c r="E421" s="186"/>
      <c r="F421" s="189"/>
      <c r="G421" s="189"/>
      <c r="H421" s="189"/>
      <c r="I421" s="189"/>
      <c r="J421" s="189"/>
      <c r="K421" s="189"/>
      <c r="L421" s="189"/>
      <c r="M421" s="189"/>
      <c r="N421" s="189"/>
      <c r="O421" s="189"/>
      <c r="P421" s="189"/>
      <c r="Q421" s="189"/>
    </row>
    <row r="422" spans="5:17" x14ac:dyDescent="0.2">
      <c r="E422" s="186"/>
      <c r="F422" s="189"/>
      <c r="G422" s="189"/>
      <c r="H422" s="189"/>
      <c r="I422" s="189"/>
      <c r="J422" s="189"/>
      <c r="K422" s="189"/>
      <c r="L422" s="189"/>
      <c r="M422" s="189"/>
      <c r="N422" s="189"/>
      <c r="O422" s="189"/>
      <c r="P422" s="189"/>
      <c r="Q422" s="189"/>
    </row>
    <row r="423" spans="5:17" x14ac:dyDescent="0.2">
      <c r="E423" s="186"/>
      <c r="F423" s="189"/>
      <c r="G423" s="189"/>
      <c r="H423" s="189"/>
      <c r="I423" s="189"/>
      <c r="J423" s="189"/>
      <c r="K423" s="189"/>
      <c r="L423" s="189"/>
      <c r="M423" s="189"/>
      <c r="N423" s="189"/>
      <c r="O423" s="189"/>
      <c r="P423" s="189"/>
      <c r="Q423" s="189"/>
    </row>
    <row r="424" spans="5:17" x14ac:dyDescent="0.2">
      <c r="E424" s="186"/>
      <c r="F424" s="189"/>
      <c r="G424" s="189"/>
      <c r="H424" s="189"/>
      <c r="I424" s="189"/>
      <c r="J424" s="189"/>
      <c r="K424" s="189"/>
      <c r="L424" s="189"/>
      <c r="M424" s="189"/>
      <c r="N424" s="189"/>
      <c r="O424" s="189"/>
      <c r="P424" s="189"/>
      <c r="Q424" s="189"/>
    </row>
  </sheetData>
  <sortState xmlns:xlrd2="http://schemas.microsoft.com/office/spreadsheetml/2017/richdata2" ref="A4:S396">
    <sortCondition ref="C4:C396"/>
    <sortCondition ref="B4:B396"/>
  </sortState>
  <phoneticPr fontId="34" type="noConversion"/>
  <hyperlinks>
    <hyperlink ref="G1" location="'Table of Contents'!A1" display="Return to Table of Contents" xr:uid="{7AD6F2C4-68D4-40B4-89CA-27AE45AE35D0}"/>
  </hyperlink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A568D2"/>
  </sheetPr>
  <dimension ref="A1:U397"/>
  <sheetViews>
    <sheetView zoomScaleNormal="100" workbookViewId="0">
      <pane ySplit="3" topLeftCell="A4" activePane="bottomLeft" state="frozen"/>
      <selection activeCell="N42" sqref="N42"/>
      <selection pane="bottomLeft" activeCell="G1" sqref="G1"/>
    </sheetView>
  </sheetViews>
  <sheetFormatPr defaultRowHeight="12.75" x14ac:dyDescent="0.2"/>
  <cols>
    <col min="1" max="1" width="7.7109375" customWidth="1"/>
    <col min="2" max="2" width="46.5703125" bestFit="1" customWidth="1"/>
    <col min="3" max="3" width="25.5703125" bestFit="1" customWidth="1"/>
    <col min="4" max="21" width="18.7109375" customWidth="1"/>
  </cols>
  <sheetData>
    <row r="1" spans="1:21" ht="18.75" x14ac:dyDescent="0.3">
      <c r="B1" s="312" t="s">
        <v>3576</v>
      </c>
      <c r="D1" s="310" t="s">
        <v>2620</v>
      </c>
      <c r="G1" s="8" t="s">
        <v>1844</v>
      </c>
      <c r="J1" s="311"/>
      <c r="K1" s="311"/>
    </row>
    <row r="3" spans="1:21" s="5" customFormat="1" ht="56.45" customHeight="1" thickBot="1" x14ac:dyDescent="0.25">
      <c r="A3" s="74" t="s">
        <v>1</v>
      </c>
      <c r="B3" s="74" t="s">
        <v>0</v>
      </c>
      <c r="C3" s="208" t="s">
        <v>4</v>
      </c>
      <c r="D3" s="208" t="s">
        <v>1826</v>
      </c>
      <c r="E3" s="208" t="s">
        <v>1827</v>
      </c>
      <c r="F3" s="208" t="s">
        <v>1828</v>
      </c>
      <c r="G3" s="208" t="s">
        <v>1829</v>
      </c>
      <c r="H3" s="208" t="s">
        <v>1830</v>
      </c>
      <c r="I3" s="208" t="s">
        <v>1831</v>
      </c>
      <c r="J3" s="208" t="s">
        <v>1832</v>
      </c>
      <c r="K3" s="208" t="s">
        <v>1833</v>
      </c>
      <c r="L3" s="208" t="s">
        <v>1834</v>
      </c>
      <c r="M3" s="208" t="s">
        <v>1835</v>
      </c>
      <c r="N3" s="208" t="s">
        <v>1836</v>
      </c>
      <c r="O3" s="208" t="s">
        <v>1837</v>
      </c>
      <c r="P3" s="208" t="s">
        <v>1838</v>
      </c>
      <c r="Q3" s="208" t="s">
        <v>1839</v>
      </c>
      <c r="R3" s="208" t="s">
        <v>1840</v>
      </c>
      <c r="S3" s="208" t="s">
        <v>1841</v>
      </c>
      <c r="T3" s="208" t="s">
        <v>1842</v>
      </c>
      <c r="U3" s="208" t="s">
        <v>1843</v>
      </c>
    </row>
    <row r="4" spans="1:21" ht="13.5" thickBot="1" x14ac:dyDescent="0.25">
      <c r="A4" s="2" t="s">
        <v>40</v>
      </c>
      <c r="B4" s="1" t="s">
        <v>39</v>
      </c>
      <c r="C4" s="209" t="s">
        <v>19</v>
      </c>
      <c r="D4" s="210">
        <v>11</v>
      </c>
      <c r="E4" s="211">
        <v>6500</v>
      </c>
      <c r="F4" s="211">
        <v>11700</v>
      </c>
      <c r="G4" s="212" t="s">
        <v>16</v>
      </c>
      <c r="H4" s="212" t="s">
        <v>16</v>
      </c>
      <c r="I4" s="212" t="s">
        <v>16</v>
      </c>
      <c r="J4" s="212" t="s">
        <v>16</v>
      </c>
      <c r="K4" s="212" t="s">
        <v>16</v>
      </c>
      <c r="L4" s="212" t="s">
        <v>16</v>
      </c>
      <c r="M4" s="212" t="s">
        <v>16</v>
      </c>
      <c r="N4" s="212" t="s">
        <v>16</v>
      </c>
      <c r="O4" s="212" t="s">
        <v>16</v>
      </c>
      <c r="P4" s="212" t="s">
        <v>16</v>
      </c>
      <c r="Q4" s="212" t="s">
        <v>16</v>
      </c>
      <c r="R4" s="212" t="s">
        <v>16</v>
      </c>
      <c r="S4" s="210">
        <v>42</v>
      </c>
      <c r="T4" s="211">
        <v>17680</v>
      </c>
      <c r="U4" s="213">
        <v>31200</v>
      </c>
    </row>
    <row r="5" spans="1:21" ht="13.5" thickBot="1" x14ac:dyDescent="0.25">
      <c r="A5" s="2" t="s">
        <v>64</v>
      </c>
      <c r="B5" s="1" t="s">
        <v>63</v>
      </c>
      <c r="C5" s="214" t="s">
        <v>19</v>
      </c>
      <c r="D5" s="205" t="s">
        <v>16</v>
      </c>
      <c r="E5" s="205" t="s">
        <v>16</v>
      </c>
      <c r="F5" s="205" t="s">
        <v>16</v>
      </c>
      <c r="G5" s="205" t="s">
        <v>16</v>
      </c>
      <c r="H5" s="205" t="s">
        <v>16</v>
      </c>
      <c r="I5" s="205" t="s">
        <v>16</v>
      </c>
      <c r="J5" s="205" t="s">
        <v>16</v>
      </c>
      <c r="K5" s="205" t="s">
        <v>16</v>
      </c>
      <c r="L5" s="205" t="s">
        <v>16</v>
      </c>
      <c r="M5" s="205" t="s">
        <v>16</v>
      </c>
      <c r="N5" s="205" t="s">
        <v>16</v>
      </c>
      <c r="O5" s="205" t="s">
        <v>16</v>
      </c>
      <c r="P5" s="205" t="s">
        <v>16</v>
      </c>
      <c r="Q5" s="205" t="s">
        <v>16</v>
      </c>
      <c r="R5" s="205" t="s">
        <v>16</v>
      </c>
      <c r="S5" s="205" t="s">
        <v>16</v>
      </c>
      <c r="T5" s="205" t="s">
        <v>16</v>
      </c>
      <c r="U5" s="215" t="s">
        <v>16</v>
      </c>
    </row>
    <row r="6" spans="1:21" ht="13.5" thickBot="1" x14ac:dyDescent="0.25">
      <c r="A6" s="2" t="s">
        <v>88</v>
      </c>
      <c r="B6" s="1" t="s">
        <v>87</v>
      </c>
      <c r="C6" s="214" t="s">
        <v>19</v>
      </c>
      <c r="D6" s="203">
        <v>0</v>
      </c>
      <c r="E6" s="204">
        <v>0</v>
      </c>
      <c r="F6" s="204">
        <v>0</v>
      </c>
      <c r="G6" s="203">
        <v>0</v>
      </c>
      <c r="H6" s="204">
        <v>0</v>
      </c>
      <c r="I6" s="204">
        <v>0</v>
      </c>
      <c r="J6" s="203">
        <v>12</v>
      </c>
      <c r="K6" s="204">
        <v>5500</v>
      </c>
      <c r="L6" s="204">
        <v>9500</v>
      </c>
      <c r="M6" s="203">
        <v>8</v>
      </c>
      <c r="N6" s="204">
        <v>4160</v>
      </c>
      <c r="O6" s="204">
        <v>7500</v>
      </c>
      <c r="P6" s="203">
        <v>0</v>
      </c>
      <c r="Q6" s="204">
        <v>0</v>
      </c>
      <c r="R6" s="204">
        <v>0</v>
      </c>
      <c r="S6" s="203">
        <v>0</v>
      </c>
      <c r="T6" s="204">
        <v>0</v>
      </c>
      <c r="U6" s="216">
        <v>0</v>
      </c>
    </row>
    <row r="7" spans="1:21" ht="13.5" thickBot="1" x14ac:dyDescent="0.25">
      <c r="A7" s="2" t="s">
        <v>90</v>
      </c>
      <c r="B7" s="1" t="s">
        <v>89</v>
      </c>
      <c r="C7" s="214" t="s">
        <v>19</v>
      </c>
      <c r="D7" s="203">
        <v>0</v>
      </c>
      <c r="E7" s="204">
        <v>0</v>
      </c>
      <c r="F7" s="204">
        <v>0</v>
      </c>
      <c r="G7" s="203">
        <v>0</v>
      </c>
      <c r="H7" s="204">
        <v>0</v>
      </c>
      <c r="I7" s="204">
        <v>0</v>
      </c>
      <c r="J7" s="203">
        <v>25</v>
      </c>
      <c r="K7" s="204">
        <v>10000</v>
      </c>
      <c r="L7" s="204">
        <v>20000</v>
      </c>
      <c r="M7" s="203">
        <v>12</v>
      </c>
      <c r="N7" s="204">
        <v>6500</v>
      </c>
      <c r="O7" s="204">
        <v>10000</v>
      </c>
      <c r="P7" s="203">
        <v>0</v>
      </c>
      <c r="Q7" s="204">
        <v>0</v>
      </c>
      <c r="R7" s="204">
        <v>0</v>
      </c>
      <c r="S7" s="203">
        <v>7</v>
      </c>
      <c r="T7" s="204">
        <v>4000</v>
      </c>
      <c r="U7" s="216">
        <v>6500</v>
      </c>
    </row>
    <row r="8" spans="1:21" ht="13.5" thickBot="1" x14ac:dyDescent="0.25">
      <c r="A8" s="2" t="s">
        <v>94</v>
      </c>
      <c r="B8" s="1" t="s">
        <v>93</v>
      </c>
      <c r="C8" s="214" t="s">
        <v>19</v>
      </c>
      <c r="D8" s="205" t="s">
        <v>16</v>
      </c>
      <c r="E8" s="205" t="s">
        <v>16</v>
      </c>
      <c r="F8" s="205" t="s">
        <v>16</v>
      </c>
      <c r="G8" s="205" t="s">
        <v>16</v>
      </c>
      <c r="H8" s="205" t="s">
        <v>16</v>
      </c>
      <c r="I8" s="205" t="s">
        <v>16</v>
      </c>
      <c r="J8" s="205" t="s">
        <v>16</v>
      </c>
      <c r="K8" s="205" t="s">
        <v>16</v>
      </c>
      <c r="L8" s="205" t="s">
        <v>16</v>
      </c>
      <c r="M8" s="205" t="s">
        <v>16</v>
      </c>
      <c r="N8" s="205" t="s">
        <v>16</v>
      </c>
      <c r="O8" s="205" t="s">
        <v>16</v>
      </c>
      <c r="P8" s="205" t="s">
        <v>16</v>
      </c>
      <c r="Q8" s="205" t="s">
        <v>16</v>
      </c>
      <c r="R8" s="205" t="s">
        <v>16</v>
      </c>
      <c r="S8" s="205" t="s">
        <v>16</v>
      </c>
      <c r="T8" s="205" t="s">
        <v>16</v>
      </c>
      <c r="U8" s="215" t="s">
        <v>16</v>
      </c>
    </row>
    <row r="9" spans="1:21" ht="13.5" thickBot="1" x14ac:dyDescent="0.25">
      <c r="A9" s="2" t="s">
        <v>98</v>
      </c>
      <c r="B9" s="1" t="s">
        <v>97</v>
      </c>
      <c r="C9" s="214" t="s">
        <v>19</v>
      </c>
      <c r="D9" s="203">
        <v>26</v>
      </c>
      <c r="E9" s="204">
        <v>29715</v>
      </c>
      <c r="F9" s="204">
        <v>29715</v>
      </c>
      <c r="G9" s="205" t="s">
        <v>16</v>
      </c>
      <c r="H9" s="205" t="s">
        <v>16</v>
      </c>
      <c r="I9" s="205" t="s">
        <v>16</v>
      </c>
      <c r="J9" s="203">
        <v>25</v>
      </c>
      <c r="K9" s="204">
        <v>23448</v>
      </c>
      <c r="L9" s="204">
        <v>23448</v>
      </c>
      <c r="M9" s="203">
        <v>35</v>
      </c>
      <c r="N9" s="204">
        <v>30000</v>
      </c>
      <c r="O9" s="204">
        <v>40000</v>
      </c>
      <c r="P9" s="205" t="s">
        <v>16</v>
      </c>
      <c r="Q9" s="205" t="s">
        <v>16</v>
      </c>
      <c r="R9" s="205" t="s">
        <v>16</v>
      </c>
      <c r="S9" s="203">
        <v>12</v>
      </c>
      <c r="T9" s="204">
        <v>8000</v>
      </c>
      <c r="U9" s="216">
        <v>12000</v>
      </c>
    </row>
    <row r="10" spans="1:21" ht="13.5" thickBot="1" x14ac:dyDescent="0.25">
      <c r="A10" s="2" t="s">
        <v>100</v>
      </c>
      <c r="B10" s="1" t="s">
        <v>99</v>
      </c>
      <c r="C10" s="214" t="s">
        <v>19</v>
      </c>
      <c r="D10" s="203">
        <v>16</v>
      </c>
      <c r="E10" s="204">
        <v>10000</v>
      </c>
      <c r="F10" s="204">
        <v>10100</v>
      </c>
      <c r="G10" s="205" t="s">
        <v>16</v>
      </c>
      <c r="H10" s="205" t="s">
        <v>16</v>
      </c>
      <c r="I10" s="205" t="s">
        <v>16</v>
      </c>
      <c r="J10" s="203">
        <v>5</v>
      </c>
      <c r="K10" s="204">
        <v>3200</v>
      </c>
      <c r="L10" s="204">
        <v>3300</v>
      </c>
      <c r="M10" s="203">
        <v>13</v>
      </c>
      <c r="N10" s="204">
        <v>7900</v>
      </c>
      <c r="O10" s="204">
        <v>8100</v>
      </c>
      <c r="P10" s="205" t="s">
        <v>16</v>
      </c>
      <c r="Q10" s="205" t="s">
        <v>16</v>
      </c>
      <c r="R10" s="205" t="s">
        <v>16</v>
      </c>
      <c r="S10" s="203">
        <v>6</v>
      </c>
      <c r="T10" s="204">
        <v>3400</v>
      </c>
      <c r="U10" s="216">
        <v>3500</v>
      </c>
    </row>
    <row r="11" spans="1:21" ht="13.5" thickBot="1" x14ac:dyDescent="0.25">
      <c r="A11" s="2" t="s">
        <v>108</v>
      </c>
      <c r="B11" s="1" t="s">
        <v>107</v>
      </c>
      <c r="C11" s="214" t="s">
        <v>19</v>
      </c>
      <c r="D11" s="203">
        <v>17</v>
      </c>
      <c r="E11" s="204">
        <v>13257</v>
      </c>
      <c r="F11" s="204">
        <v>13257</v>
      </c>
      <c r="G11" s="205" t="s">
        <v>16</v>
      </c>
      <c r="H11" s="205" t="s">
        <v>16</v>
      </c>
      <c r="I11" s="205" t="s">
        <v>16</v>
      </c>
      <c r="J11" s="205" t="s">
        <v>16</v>
      </c>
      <c r="K11" s="205" t="s">
        <v>16</v>
      </c>
      <c r="L11" s="205" t="s">
        <v>16</v>
      </c>
      <c r="M11" s="203">
        <v>10</v>
      </c>
      <c r="N11" s="204">
        <v>6421</v>
      </c>
      <c r="O11" s="204">
        <v>6421</v>
      </c>
      <c r="P11" s="205" t="s">
        <v>16</v>
      </c>
      <c r="Q11" s="205" t="s">
        <v>16</v>
      </c>
      <c r="R11" s="205" t="s">
        <v>16</v>
      </c>
      <c r="S11" s="205" t="s">
        <v>16</v>
      </c>
      <c r="T11" s="205" t="s">
        <v>16</v>
      </c>
      <c r="U11" s="215" t="s">
        <v>16</v>
      </c>
    </row>
    <row r="12" spans="1:21" ht="13.5" thickBot="1" x14ac:dyDescent="0.25">
      <c r="A12" s="2" t="s">
        <v>138</v>
      </c>
      <c r="B12" s="1" t="s">
        <v>137</v>
      </c>
      <c r="C12" s="214" t="s">
        <v>19</v>
      </c>
      <c r="D12" s="205" t="s">
        <v>16</v>
      </c>
      <c r="E12" s="205" t="s">
        <v>16</v>
      </c>
      <c r="F12" s="205" t="s">
        <v>16</v>
      </c>
      <c r="G12" s="205" t="s">
        <v>16</v>
      </c>
      <c r="H12" s="205" t="s">
        <v>16</v>
      </c>
      <c r="I12" s="205" t="s">
        <v>16</v>
      </c>
      <c r="J12" s="205" t="s">
        <v>16</v>
      </c>
      <c r="K12" s="205" t="s">
        <v>16</v>
      </c>
      <c r="L12" s="205" t="s">
        <v>16</v>
      </c>
      <c r="M12" s="205" t="s">
        <v>16</v>
      </c>
      <c r="N12" s="205" t="s">
        <v>16</v>
      </c>
      <c r="O12" s="205" t="s">
        <v>16</v>
      </c>
      <c r="P12" s="205" t="s">
        <v>16</v>
      </c>
      <c r="Q12" s="205" t="s">
        <v>16</v>
      </c>
      <c r="R12" s="205" t="s">
        <v>16</v>
      </c>
      <c r="S12" s="203">
        <v>15</v>
      </c>
      <c r="T12" s="204">
        <v>6660</v>
      </c>
      <c r="U12" s="216">
        <v>10112</v>
      </c>
    </row>
    <row r="13" spans="1:21" ht="13.5" thickBot="1" x14ac:dyDescent="0.25">
      <c r="A13" s="2" t="s">
        <v>154</v>
      </c>
      <c r="B13" s="1" t="s">
        <v>153</v>
      </c>
      <c r="C13" s="214" t="s">
        <v>19</v>
      </c>
      <c r="D13" s="205" t="s">
        <v>16</v>
      </c>
      <c r="E13" s="205" t="s">
        <v>16</v>
      </c>
      <c r="F13" s="205" t="s">
        <v>16</v>
      </c>
      <c r="G13" s="205" t="s">
        <v>16</v>
      </c>
      <c r="H13" s="205" t="s">
        <v>16</v>
      </c>
      <c r="I13" s="205" t="s">
        <v>16</v>
      </c>
      <c r="J13" s="205" t="s">
        <v>16</v>
      </c>
      <c r="K13" s="205" t="s">
        <v>16</v>
      </c>
      <c r="L13" s="205" t="s">
        <v>16</v>
      </c>
      <c r="M13" s="205" t="s">
        <v>16</v>
      </c>
      <c r="N13" s="205" t="s">
        <v>16</v>
      </c>
      <c r="O13" s="205" t="s">
        <v>16</v>
      </c>
      <c r="P13" s="205" t="s">
        <v>16</v>
      </c>
      <c r="Q13" s="205" t="s">
        <v>16</v>
      </c>
      <c r="R13" s="205" t="s">
        <v>16</v>
      </c>
      <c r="S13" s="203">
        <v>3</v>
      </c>
      <c r="T13" s="204">
        <v>1326</v>
      </c>
      <c r="U13" s="216">
        <v>1600</v>
      </c>
    </row>
    <row r="14" spans="1:21" ht="13.5" thickBot="1" x14ac:dyDescent="0.25">
      <c r="A14" s="2" t="s">
        <v>164</v>
      </c>
      <c r="B14" s="1" t="s">
        <v>163</v>
      </c>
      <c r="C14" s="214" t="s">
        <v>19</v>
      </c>
      <c r="D14" s="203">
        <v>35</v>
      </c>
      <c r="E14" s="204">
        <v>24161</v>
      </c>
      <c r="F14" s="204">
        <v>27936</v>
      </c>
      <c r="G14" s="203">
        <v>0</v>
      </c>
      <c r="H14" s="204">
        <v>0</v>
      </c>
      <c r="I14" s="204">
        <v>0</v>
      </c>
      <c r="J14" s="203">
        <v>0</v>
      </c>
      <c r="K14" s="204">
        <v>0</v>
      </c>
      <c r="L14" s="204">
        <v>0</v>
      </c>
      <c r="M14" s="203">
        <v>13</v>
      </c>
      <c r="N14" s="204">
        <v>5746</v>
      </c>
      <c r="O14" s="204">
        <v>6084</v>
      </c>
      <c r="P14" s="203">
        <v>0</v>
      </c>
      <c r="Q14" s="204">
        <v>0</v>
      </c>
      <c r="R14" s="204">
        <v>0</v>
      </c>
      <c r="S14" s="203">
        <v>16</v>
      </c>
      <c r="T14" s="204">
        <v>7405</v>
      </c>
      <c r="U14" s="216">
        <v>11107</v>
      </c>
    </row>
    <row r="15" spans="1:21" ht="13.5" thickBot="1" x14ac:dyDescent="0.25">
      <c r="A15" s="2" t="s">
        <v>172</v>
      </c>
      <c r="B15" s="1" t="s">
        <v>171</v>
      </c>
      <c r="C15" s="214" t="s">
        <v>19</v>
      </c>
      <c r="D15" s="205" t="s">
        <v>16</v>
      </c>
      <c r="E15" s="205" t="s">
        <v>16</v>
      </c>
      <c r="F15" s="205" t="s">
        <v>16</v>
      </c>
      <c r="G15" s="205" t="s">
        <v>16</v>
      </c>
      <c r="H15" s="205" t="s">
        <v>16</v>
      </c>
      <c r="I15" s="205" t="s">
        <v>16</v>
      </c>
      <c r="J15" s="205" t="s">
        <v>16</v>
      </c>
      <c r="K15" s="205" t="s">
        <v>16</v>
      </c>
      <c r="L15" s="205" t="s">
        <v>16</v>
      </c>
      <c r="M15" s="205" t="s">
        <v>16</v>
      </c>
      <c r="N15" s="205" t="s">
        <v>16</v>
      </c>
      <c r="O15" s="205" t="s">
        <v>16</v>
      </c>
      <c r="P15" s="205" t="s">
        <v>16</v>
      </c>
      <c r="Q15" s="205" t="s">
        <v>16</v>
      </c>
      <c r="R15" s="205" t="s">
        <v>16</v>
      </c>
      <c r="S15" s="205" t="s">
        <v>16</v>
      </c>
      <c r="T15" s="205" t="s">
        <v>16</v>
      </c>
      <c r="U15" s="215" t="s">
        <v>16</v>
      </c>
    </row>
    <row r="16" spans="1:21" ht="13.5" thickBot="1" x14ac:dyDescent="0.25">
      <c r="A16" s="2" t="s">
        <v>184</v>
      </c>
      <c r="B16" s="1" t="s">
        <v>183</v>
      </c>
      <c r="C16" s="214" t="s">
        <v>19</v>
      </c>
      <c r="D16" s="205" t="s">
        <v>16</v>
      </c>
      <c r="E16" s="205" t="s">
        <v>16</v>
      </c>
      <c r="F16" s="205" t="s">
        <v>16</v>
      </c>
      <c r="G16" s="205" t="s">
        <v>16</v>
      </c>
      <c r="H16" s="205" t="s">
        <v>16</v>
      </c>
      <c r="I16" s="205" t="s">
        <v>16</v>
      </c>
      <c r="J16" s="205" t="s">
        <v>16</v>
      </c>
      <c r="K16" s="205" t="s">
        <v>16</v>
      </c>
      <c r="L16" s="205" t="s">
        <v>16</v>
      </c>
      <c r="M16" s="205" t="s">
        <v>16</v>
      </c>
      <c r="N16" s="205" t="s">
        <v>16</v>
      </c>
      <c r="O16" s="205" t="s">
        <v>16</v>
      </c>
      <c r="P16" s="205" t="s">
        <v>16</v>
      </c>
      <c r="Q16" s="205" t="s">
        <v>16</v>
      </c>
      <c r="R16" s="205" t="s">
        <v>16</v>
      </c>
      <c r="S16" s="203">
        <v>22</v>
      </c>
      <c r="T16" s="204">
        <v>8125</v>
      </c>
      <c r="U16" s="216">
        <v>12727</v>
      </c>
    </row>
    <row r="17" spans="1:21" ht="13.5" thickBot="1" x14ac:dyDescent="0.25">
      <c r="A17" s="2" t="s">
        <v>192</v>
      </c>
      <c r="B17" s="1" t="s">
        <v>191</v>
      </c>
      <c r="C17" s="214" t="s">
        <v>19</v>
      </c>
      <c r="D17" s="203">
        <v>28</v>
      </c>
      <c r="E17" s="204">
        <v>15000</v>
      </c>
      <c r="F17" s="204">
        <v>15000</v>
      </c>
      <c r="G17" s="205" t="s">
        <v>16</v>
      </c>
      <c r="H17" s="205" t="s">
        <v>16</v>
      </c>
      <c r="I17" s="205" t="s">
        <v>16</v>
      </c>
      <c r="J17" s="205" t="s">
        <v>16</v>
      </c>
      <c r="K17" s="205" t="s">
        <v>16</v>
      </c>
      <c r="L17" s="205" t="s">
        <v>16</v>
      </c>
      <c r="M17" s="205" t="s">
        <v>16</v>
      </c>
      <c r="N17" s="205" t="s">
        <v>16</v>
      </c>
      <c r="O17" s="205" t="s">
        <v>16</v>
      </c>
      <c r="P17" s="205" t="s">
        <v>16</v>
      </c>
      <c r="Q17" s="205" t="s">
        <v>16</v>
      </c>
      <c r="R17" s="205" t="s">
        <v>16</v>
      </c>
      <c r="S17" s="203">
        <v>10</v>
      </c>
      <c r="T17" s="206">
        <v>5200</v>
      </c>
      <c r="U17" s="217">
        <v>6240</v>
      </c>
    </row>
    <row r="18" spans="1:21" ht="13.5" thickBot="1" x14ac:dyDescent="0.25">
      <c r="A18" s="2" t="s">
        <v>194</v>
      </c>
      <c r="B18" s="1" t="s">
        <v>193</v>
      </c>
      <c r="C18" s="214" t="s">
        <v>19</v>
      </c>
      <c r="D18" s="205" t="s">
        <v>16</v>
      </c>
      <c r="E18" s="205" t="s">
        <v>16</v>
      </c>
      <c r="F18" s="205" t="s">
        <v>16</v>
      </c>
      <c r="G18" s="205" t="s">
        <v>16</v>
      </c>
      <c r="H18" s="205" t="s">
        <v>16</v>
      </c>
      <c r="I18" s="205" t="s">
        <v>16</v>
      </c>
      <c r="J18" s="203">
        <v>12</v>
      </c>
      <c r="K18" s="204">
        <v>8000</v>
      </c>
      <c r="L18" s="204">
        <v>16000</v>
      </c>
      <c r="M18" s="205" t="s">
        <v>16</v>
      </c>
      <c r="N18" s="205" t="s">
        <v>16</v>
      </c>
      <c r="O18" s="205" t="s">
        <v>16</v>
      </c>
      <c r="P18" s="205" t="s">
        <v>16</v>
      </c>
      <c r="Q18" s="205" t="s">
        <v>16</v>
      </c>
      <c r="R18" s="205" t="s">
        <v>16</v>
      </c>
      <c r="S18" s="203">
        <v>28</v>
      </c>
      <c r="T18" s="204">
        <v>7000</v>
      </c>
      <c r="U18" s="216">
        <v>15500</v>
      </c>
    </row>
    <row r="19" spans="1:21" ht="13.5" thickBot="1" x14ac:dyDescent="0.25">
      <c r="A19" s="2" t="s">
        <v>210</v>
      </c>
      <c r="B19" s="1" t="s">
        <v>209</v>
      </c>
      <c r="C19" s="214" t="s">
        <v>19</v>
      </c>
      <c r="D19" s="205" t="s">
        <v>16</v>
      </c>
      <c r="E19" s="205" t="s">
        <v>16</v>
      </c>
      <c r="F19" s="205" t="s">
        <v>16</v>
      </c>
      <c r="G19" s="203">
        <v>28</v>
      </c>
      <c r="H19" s="204">
        <v>16000</v>
      </c>
      <c r="I19" s="204">
        <v>17000</v>
      </c>
      <c r="J19" s="205" t="s">
        <v>16</v>
      </c>
      <c r="K19" s="205" t="s">
        <v>16</v>
      </c>
      <c r="L19" s="205" t="s">
        <v>16</v>
      </c>
      <c r="M19" s="203">
        <v>25</v>
      </c>
      <c r="N19" s="204">
        <v>13000</v>
      </c>
      <c r="O19" s="204">
        <v>14000</v>
      </c>
      <c r="P19" s="205" t="s">
        <v>16</v>
      </c>
      <c r="Q19" s="205" t="s">
        <v>16</v>
      </c>
      <c r="R19" s="205" t="s">
        <v>16</v>
      </c>
      <c r="S19" s="205" t="s">
        <v>16</v>
      </c>
      <c r="T19" s="205" t="s">
        <v>16</v>
      </c>
      <c r="U19" s="215" t="s">
        <v>16</v>
      </c>
    </row>
    <row r="20" spans="1:21" ht="13.5" thickBot="1" x14ac:dyDescent="0.25">
      <c r="A20" s="2" t="s">
        <v>212</v>
      </c>
      <c r="B20" s="1" t="s">
        <v>211</v>
      </c>
      <c r="C20" s="214" t="s">
        <v>19</v>
      </c>
      <c r="D20" s="205" t="s">
        <v>16</v>
      </c>
      <c r="E20" s="205" t="s">
        <v>16</v>
      </c>
      <c r="F20" s="205" t="s">
        <v>16</v>
      </c>
      <c r="G20" s="205" t="s">
        <v>16</v>
      </c>
      <c r="H20" s="205" t="s">
        <v>16</v>
      </c>
      <c r="I20" s="205" t="s">
        <v>16</v>
      </c>
      <c r="J20" s="205" t="s">
        <v>16</v>
      </c>
      <c r="K20" s="205" t="s">
        <v>16</v>
      </c>
      <c r="L20" s="205" t="s">
        <v>16</v>
      </c>
      <c r="M20" s="205" t="s">
        <v>16</v>
      </c>
      <c r="N20" s="205" t="s">
        <v>16</v>
      </c>
      <c r="O20" s="205" t="s">
        <v>16</v>
      </c>
      <c r="P20" s="205" t="s">
        <v>16</v>
      </c>
      <c r="Q20" s="205" t="s">
        <v>16</v>
      </c>
      <c r="R20" s="205" t="s">
        <v>16</v>
      </c>
      <c r="S20" s="203">
        <v>16</v>
      </c>
      <c r="T20" s="204">
        <v>7904</v>
      </c>
      <c r="U20" s="216">
        <v>9880</v>
      </c>
    </row>
    <row r="21" spans="1:21" ht="13.5" thickBot="1" x14ac:dyDescent="0.25">
      <c r="A21" s="2" t="s">
        <v>214</v>
      </c>
      <c r="B21" s="1" t="s">
        <v>213</v>
      </c>
      <c r="C21" s="214" t="s">
        <v>19</v>
      </c>
      <c r="D21" s="203">
        <v>39</v>
      </c>
      <c r="E21" s="204">
        <v>28392</v>
      </c>
      <c r="F21" s="204">
        <v>29120</v>
      </c>
      <c r="G21" s="203">
        <v>15</v>
      </c>
      <c r="H21" s="204">
        <v>8580</v>
      </c>
      <c r="I21" s="204">
        <v>11700</v>
      </c>
      <c r="J21" s="203">
        <v>0</v>
      </c>
      <c r="K21" s="204">
        <v>0</v>
      </c>
      <c r="L21" s="204">
        <v>0</v>
      </c>
      <c r="M21" s="203">
        <v>0</v>
      </c>
      <c r="N21" s="204">
        <v>0</v>
      </c>
      <c r="O21" s="204">
        <v>0</v>
      </c>
      <c r="P21" s="203">
        <v>0</v>
      </c>
      <c r="Q21" s="204">
        <v>0</v>
      </c>
      <c r="R21" s="204">
        <v>0</v>
      </c>
      <c r="S21" s="203">
        <v>52</v>
      </c>
      <c r="T21" s="204">
        <v>25012</v>
      </c>
      <c r="U21" s="216">
        <v>27040</v>
      </c>
    </row>
    <row r="22" spans="1:21" ht="13.5" thickBot="1" x14ac:dyDescent="0.25">
      <c r="A22" s="2" t="s">
        <v>216</v>
      </c>
      <c r="B22" s="1" t="s">
        <v>215</v>
      </c>
      <c r="C22" s="214" t="s">
        <v>19</v>
      </c>
      <c r="D22" s="203">
        <v>0</v>
      </c>
      <c r="E22" s="204">
        <v>0</v>
      </c>
      <c r="F22" s="204">
        <v>0</v>
      </c>
      <c r="G22" s="203">
        <v>0</v>
      </c>
      <c r="H22" s="204">
        <v>0</v>
      </c>
      <c r="I22" s="204">
        <v>0</v>
      </c>
      <c r="J22" s="203">
        <v>0</v>
      </c>
      <c r="K22" s="204">
        <v>0</v>
      </c>
      <c r="L22" s="204">
        <v>0</v>
      </c>
      <c r="M22" s="203">
        <v>0</v>
      </c>
      <c r="N22" s="204">
        <v>0</v>
      </c>
      <c r="O22" s="204">
        <v>0</v>
      </c>
      <c r="P22" s="203">
        <v>0</v>
      </c>
      <c r="Q22" s="204">
        <v>0</v>
      </c>
      <c r="R22" s="204">
        <v>0</v>
      </c>
      <c r="S22" s="203">
        <v>23</v>
      </c>
      <c r="T22" s="204">
        <v>10808</v>
      </c>
      <c r="U22" s="216">
        <v>10808</v>
      </c>
    </row>
    <row r="23" spans="1:21" ht="13.5" thickBot="1" x14ac:dyDescent="0.25">
      <c r="A23" s="2" t="s">
        <v>219</v>
      </c>
      <c r="B23" s="1" t="s">
        <v>218</v>
      </c>
      <c r="C23" s="214" t="s">
        <v>19</v>
      </c>
      <c r="D23" s="205" t="s">
        <v>16</v>
      </c>
      <c r="E23" s="205" t="s">
        <v>16</v>
      </c>
      <c r="F23" s="205" t="s">
        <v>16</v>
      </c>
      <c r="G23" s="205" t="s">
        <v>16</v>
      </c>
      <c r="H23" s="205" t="s">
        <v>16</v>
      </c>
      <c r="I23" s="205" t="s">
        <v>16</v>
      </c>
      <c r="J23" s="205" t="s">
        <v>16</v>
      </c>
      <c r="K23" s="205" t="s">
        <v>16</v>
      </c>
      <c r="L23" s="205" t="s">
        <v>16</v>
      </c>
      <c r="M23" s="205" t="s">
        <v>16</v>
      </c>
      <c r="N23" s="205" t="s">
        <v>16</v>
      </c>
      <c r="O23" s="205" t="s">
        <v>16</v>
      </c>
      <c r="P23" s="205" t="s">
        <v>16</v>
      </c>
      <c r="Q23" s="205" t="s">
        <v>16</v>
      </c>
      <c r="R23" s="205" t="s">
        <v>16</v>
      </c>
      <c r="S23" s="205" t="s">
        <v>16</v>
      </c>
      <c r="T23" s="205" t="s">
        <v>16</v>
      </c>
      <c r="U23" s="215" t="s">
        <v>16</v>
      </c>
    </row>
    <row r="24" spans="1:21" ht="13.5" thickBot="1" x14ac:dyDescent="0.25">
      <c r="A24" s="2" t="s">
        <v>231</v>
      </c>
      <c r="B24" s="1" t="s">
        <v>230</v>
      </c>
      <c r="C24" s="214" t="s">
        <v>19</v>
      </c>
      <c r="D24" s="205" t="s">
        <v>16</v>
      </c>
      <c r="E24" s="205" t="s">
        <v>16</v>
      </c>
      <c r="F24" s="205" t="s">
        <v>16</v>
      </c>
      <c r="G24" s="205" t="s">
        <v>16</v>
      </c>
      <c r="H24" s="205" t="s">
        <v>16</v>
      </c>
      <c r="I24" s="205" t="s">
        <v>16</v>
      </c>
      <c r="J24" s="205" t="s">
        <v>16</v>
      </c>
      <c r="K24" s="205" t="s">
        <v>16</v>
      </c>
      <c r="L24" s="205" t="s">
        <v>16</v>
      </c>
      <c r="M24" s="205" t="s">
        <v>16</v>
      </c>
      <c r="N24" s="205" t="s">
        <v>16</v>
      </c>
      <c r="O24" s="205" t="s">
        <v>16</v>
      </c>
      <c r="P24" s="205" t="s">
        <v>16</v>
      </c>
      <c r="Q24" s="205" t="s">
        <v>16</v>
      </c>
      <c r="R24" s="205" t="s">
        <v>16</v>
      </c>
      <c r="S24" s="205" t="s">
        <v>16</v>
      </c>
      <c r="T24" s="205" t="s">
        <v>16</v>
      </c>
      <c r="U24" s="215" t="s">
        <v>16</v>
      </c>
    </row>
    <row r="25" spans="1:21" ht="13.5" thickBot="1" x14ac:dyDescent="0.25">
      <c r="A25" s="2" t="s">
        <v>267</v>
      </c>
      <c r="B25" s="1" t="s">
        <v>266</v>
      </c>
      <c r="C25" s="214" t="s">
        <v>19</v>
      </c>
      <c r="D25" s="203">
        <v>0</v>
      </c>
      <c r="E25" s="204">
        <v>0</v>
      </c>
      <c r="F25" s="204">
        <v>0</v>
      </c>
      <c r="G25" s="203">
        <v>0</v>
      </c>
      <c r="H25" s="204">
        <v>0</v>
      </c>
      <c r="I25" s="204">
        <v>0</v>
      </c>
      <c r="J25" s="203">
        <v>0</v>
      </c>
      <c r="K25" s="204">
        <v>0</v>
      </c>
      <c r="L25" s="204">
        <v>0</v>
      </c>
      <c r="M25" s="203">
        <v>0</v>
      </c>
      <c r="N25" s="204">
        <v>0</v>
      </c>
      <c r="O25" s="204">
        <v>0</v>
      </c>
      <c r="P25" s="203">
        <v>0</v>
      </c>
      <c r="Q25" s="204">
        <v>0</v>
      </c>
      <c r="R25" s="204">
        <v>0</v>
      </c>
      <c r="S25" s="203">
        <v>0</v>
      </c>
      <c r="T25" s="204">
        <v>0</v>
      </c>
      <c r="U25" s="216">
        <v>0</v>
      </c>
    </row>
    <row r="26" spans="1:21" ht="13.5" thickBot="1" x14ac:dyDescent="0.25">
      <c r="A26" s="2" t="s">
        <v>269</v>
      </c>
      <c r="B26" s="1" t="s">
        <v>268</v>
      </c>
      <c r="C26" s="214" t="s">
        <v>19</v>
      </c>
      <c r="D26" s="205" t="s">
        <v>16</v>
      </c>
      <c r="E26" s="205" t="s">
        <v>16</v>
      </c>
      <c r="F26" s="205" t="s">
        <v>16</v>
      </c>
      <c r="G26" s="205" t="s">
        <v>16</v>
      </c>
      <c r="H26" s="205" t="s">
        <v>16</v>
      </c>
      <c r="I26" s="205" t="s">
        <v>16</v>
      </c>
      <c r="J26" s="203">
        <v>12</v>
      </c>
      <c r="K26" s="204">
        <v>6000</v>
      </c>
      <c r="L26" s="204">
        <v>8000</v>
      </c>
      <c r="M26" s="203">
        <v>10</v>
      </c>
      <c r="N26" s="204">
        <v>3875</v>
      </c>
      <c r="O26" s="204">
        <v>5000</v>
      </c>
      <c r="P26" s="203">
        <v>6</v>
      </c>
      <c r="Q26" s="204">
        <v>2500</v>
      </c>
      <c r="R26" s="204">
        <v>4000</v>
      </c>
      <c r="S26" s="203">
        <v>22</v>
      </c>
      <c r="T26" s="204">
        <v>10580</v>
      </c>
      <c r="U26" s="216">
        <v>16500</v>
      </c>
    </row>
    <row r="27" spans="1:21" ht="13.5" thickBot="1" x14ac:dyDescent="0.25">
      <c r="A27" s="2" t="s">
        <v>275</v>
      </c>
      <c r="B27" s="1" t="s">
        <v>274</v>
      </c>
      <c r="C27" s="214" t="s">
        <v>19</v>
      </c>
      <c r="D27" s="203">
        <v>27</v>
      </c>
      <c r="E27" s="204">
        <v>27126</v>
      </c>
      <c r="F27" s="204">
        <v>27126</v>
      </c>
      <c r="G27" s="203">
        <v>0</v>
      </c>
      <c r="H27" s="204">
        <v>0</v>
      </c>
      <c r="I27" s="204">
        <v>0</v>
      </c>
      <c r="J27" s="203">
        <v>6</v>
      </c>
      <c r="K27" s="204">
        <v>3697</v>
      </c>
      <c r="L27" s="204">
        <v>3697</v>
      </c>
      <c r="M27" s="203">
        <v>8</v>
      </c>
      <c r="N27" s="204">
        <v>3994</v>
      </c>
      <c r="O27" s="204">
        <v>3994</v>
      </c>
      <c r="P27" s="203">
        <v>0</v>
      </c>
      <c r="Q27" s="204">
        <v>0</v>
      </c>
      <c r="R27" s="204">
        <v>0</v>
      </c>
      <c r="S27" s="203">
        <v>20</v>
      </c>
      <c r="T27" s="204">
        <v>12324</v>
      </c>
      <c r="U27" s="216">
        <v>12324</v>
      </c>
    </row>
    <row r="28" spans="1:21" ht="13.5" thickBot="1" x14ac:dyDescent="0.25">
      <c r="A28" s="2" t="s">
        <v>283</v>
      </c>
      <c r="B28" s="1" t="s">
        <v>282</v>
      </c>
      <c r="C28" s="214" t="s">
        <v>19</v>
      </c>
      <c r="D28" s="205" t="s">
        <v>16</v>
      </c>
      <c r="E28" s="205" t="s">
        <v>16</v>
      </c>
      <c r="F28" s="205" t="s">
        <v>16</v>
      </c>
      <c r="G28" s="205" t="s">
        <v>16</v>
      </c>
      <c r="H28" s="205" t="s">
        <v>16</v>
      </c>
      <c r="I28" s="205" t="s">
        <v>16</v>
      </c>
      <c r="J28" s="203">
        <v>14</v>
      </c>
      <c r="K28" s="204">
        <v>814</v>
      </c>
      <c r="L28" s="204">
        <v>16900</v>
      </c>
      <c r="M28" s="205" t="s">
        <v>16</v>
      </c>
      <c r="N28" s="205" t="s">
        <v>16</v>
      </c>
      <c r="O28" s="205" t="s">
        <v>16</v>
      </c>
      <c r="P28" s="205" t="s">
        <v>16</v>
      </c>
      <c r="Q28" s="205" t="s">
        <v>16</v>
      </c>
      <c r="R28" s="205" t="s">
        <v>16</v>
      </c>
      <c r="S28" s="203">
        <v>18</v>
      </c>
      <c r="T28" s="204">
        <v>4860</v>
      </c>
      <c r="U28" s="216">
        <v>17160</v>
      </c>
    </row>
    <row r="29" spans="1:21" ht="13.5" thickBot="1" x14ac:dyDescent="0.25">
      <c r="A29" s="2" t="s">
        <v>299</v>
      </c>
      <c r="B29" s="1" t="s">
        <v>298</v>
      </c>
      <c r="C29" s="214" t="s">
        <v>19</v>
      </c>
      <c r="D29" s="205" t="s">
        <v>16</v>
      </c>
      <c r="E29" s="205" t="s">
        <v>16</v>
      </c>
      <c r="F29" s="205" t="s">
        <v>16</v>
      </c>
      <c r="G29" s="205" t="s">
        <v>16</v>
      </c>
      <c r="H29" s="205" t="s">
        <v>16</v>
      </c>
      <c r="I29" s="205" t="s">
        <v>16</v>
      </c>
      <c r="J29" s="205" t="s">
        <v>16</v>
      </c>
      <c r="K29" s="205" t="s">
        <v>16</v>
      </c>
      <c r="L29" s="205" t="s">
        <v>16</v>
      </c>
      <c r="M29" s="203">
        <v>25</v>
      </c>
      <c r="N29" s="204">
        <v>19134</v>
      </c>
      <c r="O29" s="204">
        <v>24462</v>
      </c>
      <c r="P29" s="205" t="s">
        <v>16</v>
      </c>
      <c r="Q29" s="205" t="s">
        <v>16</v>
      </c>
      <c r="R29" s="205" t="s">
        <v>16</v>
      </c>
      <c r="S29" s="203">
        <v>6</v>
      </c>
      <c r="T29" s="204">
        <v>2886</v>
      </c>
      <c r="U29" s="215" t="s">
        <v>16</v>
      </c>
    </row>
    <row r="30" spans="1:21" ht="13.5" thickBot="1" x14ac:dyDescent="0.25">
      <c r="A30" s="2" t="s">
        <v>311</v>
      </c>
      <c r="B30" s="1" t="s">
        <v>310</v>
      </c>
      <c r="C30" s="214" t="s">
        <v>19</v>
      </c>
      <c r="D30" s="203">
        <v>0</v>
      </c>
      <c r="E30" s="204">
        <v>0</v>
      </c>
      <c r="F30" s="204">
        <v>0</v>
      </c>
      <c r="G30" s="203">
        <v>0</v>
      </c>
      <c r="H30" s="204">
        <v>0</v>
      </c>
      <c r="I30" s="204">
        <v>0</v>
      </c>
      <c r="J30" s="203">
        <v>0</v>
      </c>
      <c r="K30" s="204">
        <v>0</v>
      </c>
      <c r="L30" s="204">
        <v>0</v>
      </c>
      <c r="M30" s="203">
        <v>0</v>
      </c>
      <c r="N30" s="204">
        <v>0</v>
      </c>
      <c r="O30" s="204">
        <v>0</v>
      </c>
      <c r="P30" s="203">
        <v>0</v>
      </c>
      <c r="Q30" s="204">
        <v>0</v>
      </c>
      <c r="R30" s="204">
        <v>0</v>
      </c>
      <c r="S30" s="203">
        <v>0</v>
      </c>
      <c r="T30" s="204">
        <v>0</v>
      </c>
      <c r="U30" s="216">
        <v>0</v>
      </c>
    </row>
    <row r="31" spans="1:21" ht="13.5" thickBot="1" x14ac:dyDescent="0.25">
      <c r="A31" s="2" t="s">
        <v>319</v>
      </c>
      <c r="B31" s="1" t="s">
        <v>318</v>
      </c>
      <c r="C31" s="214" t="s">
        <v>19</v>
      </c>
      <c r="D31" s="205" t="s">
        <v>16</v>
      </c>
      <c r="E31" s="205" t="s">
        <v>16</v>
      </c>
      <c r="F31" s="205" t="s">
        <v>16</v>
      </c>
      <c r="G31" s="205" t="s">
        <v>16</v>
      </c>
      <c r="H31" s="205" t="s">
        <v>16</v>
      </c>
      <c r="I31" s="205" t="s">
        <v>16</v>
      </c>
      <c r="J31" s="205" t="s">
        <v>16</v>
      </c>
      <c r="K31" s="205" t="s">
        <v>16</v>
      </c>
      <c r="L31" s="205" t="s">
        <v>16</v>
      </c>
      <c r="M31" s="205" t="s">
        <v>16</v>
      </c>
      <c r="N31" s="205" t="s">
        <v>16</v>
      </c>
      <c r="O31" s="205" t="s">
        <v>16</v>
      </c>
      <c r="P31" s="205" t="s">
        <v>16</v>
      </c>
      <c r="Q31" s="205" t="s">
        <v>16</v>
      </c>
      <c r="R31" s="205" t="s">
        <v>16</v>
      </c>
      <c r="S31" s="203">
        <v>4</v>
      </c>
      <c r="T31" s="204">
        <v>100</v>
      </c>
      <c r="U31" s="216">
        <v>2500</v>
      </c>
    </row>
    <row r="32" spans="1:21" ht="13.5" thickBot="1" x14ac:dyDescent="0.25">
      <c r="A32" s="2" t="s">
        <v>327</v>
      </c>
      <c r="B32" s="1" t="s">
        <v>326</v>
      </c>
      <c r="C32" s="214" t="s">
        <v>19</v>
      </c>
      <c r="D32" s="205" t="s">
        <v>16</v>
      </c>
      <c r="E32" s="205" t="s">
        <v>16</v>
      </c>
      <c r="F32" s="205" t="s">
        <v>16</v>
      </c>
      <c r="G32" s="205" t="s">
        <v>16</v>
      </c>
      <c r="H32" s="205" t="s">
        <v>16</v>
      </c>
      <c r="I32" s="205" t="s">
        <v>16</v>
      </c>
      <c r="J32" s="203">
        <v>40</v>
      </c>
      <c r="K32" s="204">
        <v>24960</v>
      </c>
      <c r="L32" s="204">
        <v>37960</v>
      </c>
      <c r="M32" s="205" t="s">
        <v>16</v>
      </c>
      <c r="N32" s="205" t="s">
        <v>16</v>
      </c>
      <c r="O32" s="205" t="s">
        <v>16</v>
      </c>
      <c r="P32" s="205" t="s">
        <v>16</v>
      </c>
      <c r="Q32" s="205" t="s">
        <v>16</v>
      </c>
      <c r="R32" s="205" t="s">
        <v>16</v>
      </c>
      <c r="S32" s="203">
        <v>2</v>
      </c>
      <c r="T32" s="204">
        <v>1200</v>
      </c>
      <c r="U32" s="216">
        <v>1920</v>
      </c>
    </row>
    <row r="33" spans="1:21" ht="13.5" thickBot="1" x14ac:dyDescent="0.25">
      <c r="A33" s="2" t="s">
        <v>329</v>
      </c>
      <c r="B33" s="1" t="s">
        <v>328</v>
      </c>
      <c r="C33" s="214" t="s">
        <v>19</v>
      </c>
      <c r="D33" s="203">
        <v>0</v>
      </c>
      <c r="E33" s="204">
        <v>0</v>
      </c>
      <c r="F33" s="204">
        <v>0</v>
      </c>
      <c r="G33" s="203">
        <v>0</v>
      </c>
      <c r="H33" s="204">
        <v>0</v>
      </c>
      <c r="I33" s="204">
        <v>0</v>
      </c>
      <c r="J33" s="203">
        <v>0</v>
      </c>
      <c r="K33" s="204">
        <v>0</v>
      </c>
      <c r="L33" s="204">
        <v>0</v>
      </c>
      <c r="M33" s="203">
        <v>0</v>
      </c>
      <c r="N33" s="204">
        <v>4810</v>
      </c>
      <c r="O33" s="204">
        <v>5770</v>
      </c>
      <c r="P33" s="203">
        <v>0</v>
      </c>
      <c r="Q33" s="204">
        <v>0</v>
      </c>
      <c r="R33" s="204">
        <v>0</v>
      </c>
      <c r="S33" s="203">
        <v>0</v>
      </c>
      <c r="T33" s="204">
        <v>0</v>
      </c>
      <c r="U33" s="216">
        <v>0</v>
      </c>
    </row>
    <row r="34" spans="1:21" ht="13.5" thickBot="1" x14ac:dyDescent="0.25">
      <c r="A34" s="2" t="s">
        <v>379</v>
      </c>
      <c r="B34" s="1" t="s">
        <v>378</v>
      </c>
      <c r="C34" s="214" t="s">
        <v>19</v>
      </c>
      <c r="D34" s="203">
        <v>40</v>
      </c>
      <c r="E34" s="204">
        <v>16000</v>
      </c>
      <c r="F34" s="204">
        <v>27000</v>
      </c>
      <c r="G34" s="205" t="s">
        <v>16</v>
      </c>
      <c r="H34" s="205" t="s">
        <v>16</v>
      </c>
      <c r="I34" s="205" t="s">
        <v>16</v>
      </c>
      <c r="J34" s="205" t="s">
        <v>16</v>
      </c>
      <c r="K34" s="205" t="s">
        <v>16</v>
      </c>
      <c r="L34" s="205" t="s">
        <v>16</v>
      </c>
      <c r="M34" s="205" t="s">
        <v>16</v>
      </c>
      <c r="N34" s="205" t="s">
        <v>16</v>
      </c>
      <c r="O34" s="205" t="s">
        <v>16</v>
      </c>
      <c r="P34" s="205" t="s">
        <v>16</v>
      </c>
      <c r="Q34" s="205" t="s">
        <v>16</v>
      </c>
      <c r="R34" s="205" t="s">
        <v>16</v>
      </c>
      <c r="S34" s="203">
        <v>15</v>
      </c>
      <c r="T34" s="204">
        <v>2000</v>
      </c>
      <c r="U34" s="216">
        <v>6630</v>
      </c>
    </row>
    <row r="35" spans="1:21" ht="13.5" thickBot="1" x14ac:dyDescent="0.25">
      <c r="A35" s="2" t="s">
        <v>395</v>
      </c>
      <c r="B35" s="1" t="s">
        <v>394</v>
      </c>
      <c r="C35" s="214" t="s">
        <v>19</v>
      </c>
      <c r="D35" s="203">
        <v>0</v>
      </c>
      <c r="E35" s="204">
        <v>0</v>
      </c>
      <c r="F35" s="204">
        <v>0</v>
      </c>
      <c r="G35" s="203">
        <v>0</v>
      </c>
      <c r="H35" s="204">
        <v>0</v>
      </c>
      <c r="I35" s="204">
        <v>0</v>
      </c>
      <c r="J35" s="203">
        <v>0</v>
      </c>
      <c r="K35" s="204">
        <v>0</v>
      </c>
      <c r="L35" s="204">
        <v>0</v>
      </c>
      <c r="M35" s="203">
        <v>0</v>
      </c>
      <c r="N35" s="204">
        <v>0</v>
      </c>
      <c r="O35" s="204">
        <v>0</v>
      </c>
      <c r="P35" s="203">
        <v>0</v>
      </c>
      <c r="Q35" s="204">
        <v>0</v>
      </c>
      <c r="R35" s="204">
        <v>0</v>
      </c>
      <c r="S35" s="203">
        <v>0</v>
      </c>
      <c r="T35" s="204">
        <v>0</v>
      </c>
      <c r="U35" s="216">
        <v>0</v>
      </c>
    </row>
    <row r="36" spans="1:21" ht="13.5" thickBot="1" x14ac:dyDescent="0.25">
      <c r="A36" s="2" t="s">
        <v>427</v>
      </c>
      <c r="B36" s="1" t="s">
        <v>426</v>
      </c>
      <c r="C36" s="214" t="s">
        <v>19</v>
      </c>
      <c r="D36" s="205" t="s">
        <v>16</v>
      </c>
      <c r="E36" s="205" t="s">
        <v>16</v>
      </c>
      <c r="F36" s="205" t="s">
        <v>16</v>
      </c>
      <c r="G36" s="205" t="s">
        <v>16</v>
      </c>
      <c r="H36" s="205" t="s">
        <v>16</v>
      </c>
      <c r="I36" s="205" t="s">
        <v>16</v>
      </c>
      <c r="J36" s="205" t="s">
        <v>16</v>
      </c>
      <c r="K36" s="205" t="s">
        <v>16</v>
      </c>
      <c r="L36" s="205" t="s">
        <v>16</v>
      </c>
      <c r="M36" s="205" t="s">
        <v>16</v>
      </c>
      <c r="N36" s="205" t="s">
        <v>16</v>
      </c>
      <c r="O36" s="205" t="s">
        <v>16</v>
      </c>
      <c r="P36" s="205" t="s">
        <v>16</v>
      </c>
      <c r="Q36" s="205" t="s">
        <v>16</v>
      </c>
      <c r="R36" s="205" t="s">
        <v>16</v>
      </c>
      <c r="S36" s="203">
        <v>20</v>
      </c>
      <c r="T36" s="204">
        <v>15000</v>
      </c>
      <c r="U36" s="216">
        <v>25000</v>
      </c>
    </row>
    <row r="37" spans="1:21" ht="13.5" thickBot="1" x14ac:dyDescent="0.25">
      <c r="A37" s="2" t="s">
        <v>433</v>
      </c>
      <c r="B37" s="1" t="s">
        <v>432</v>
      </c>
      <c r="C37" s="214" t="s">
        <v>19</v>
      </c>
      <c r="D37" s="203">
        <v>0</v>
      </c>
      <c r="E37" s="204">
        <v>0</v>
      </c>
      <c r="F37" s="204">
        <v>0</v>
      </c>
      <c r="G37" s="203">
        <v>0</v>
      </c>
      <c r="H37" s="204">
        <v>0</v>
      </c>
      <c r="I37" s="204">
        <v>0</v>
      </c>
      <c r="J37" s="203">
        <v>6</v>
      </c>
      <c r="K37" s="204">
        <v>2808</v>
      </c>
      <c r="L37" s="204">
        <v>3744</v>
      </c>
      <c r="M37" s="203">
        <v>0</v>
      </c>
      <c r="N37" s="204">
        <v>0</v>
      </c>
      <c r="O37" s="204">
        <v>0</v>
      </c>
      <c r="P37" s="203">
        <v>1</v>
      </c>
      <c r="Q37" s="204">
        <v>960</v>
      </c>
      <c r="R37" s="204">
        <v>1040</v>
      </c>
      <c r="S37" s="203">
        <v>0</v>
      </c>
      <c r="T37" s="204">
        <v>0</v>
      </c>
      <c r="U37" s="216">
        <v>0</v>
      </c>
    </row>
    <row r="38" spans="1:21" ht="13.5" thickBot="1" x14ac:dyDescent="0.25">
      <c r="A38" s="2" t="s">
        <v>435</v>
      </c>
      <c r="B38" s="1" t="s">
        <v>434</v>
      </c>
      <c r="C38" s="214" t="s">
        <v>19</v>
      </c>
      <c r="D38" s="205" t="s">
        <v>16</v>
      </c>
      <c r="E38" s="205" t="s">
        <v>16</v>
      </c>
      <c r="F38" s="205" t="s">
        <v>16</v>
      </c>
      <c r="G38" s="205" t="s">
        <v>16</v>
      </c>
      <c r="H38" s="205" t="s">
        <v>16</v>
      </c>
      <c r="I38" s="205" t="s">
        <v>16</v>
      </c>
      <c r="J38" s="205" t="s">
        <v>16</v>
      </c>
      <c r="K38" s="205" t="s">
        <v>16</v>
      </c>
      <c r="L38" s="205" t="s">
        <v>16</v>
      </c>
      <c r="M38" s="203">
        <v>30</v>
      </c>
      <c r="N38" s="204">
        <v>15600</v>
      </c>
      <c r="O38" s="204">
        <v>19600</v>
      </c>
      <c r="P38" s="205" t="s">
        <v>16</v>
      </c>
      <c r="Q38" s="205" t="s">
        <v>16</v>
      </c>
      <c r="R38" s="205" t="s">
        <v>16</v>
      </c>
      <c r="S38" s="203">
        <v>26</v>
      </c>
      <c r="T38" s="204">
        <v>9800</v>
      </c>
      <c r="U38" s="216">
        <v>17800</v>
      </c>
    </row>
    <row r="39" spans="1:21" ht="13.5" thickBot="1" x14ac:dyDescent="0.25">
      <c r="A39" s="2" t="s">
        <v>439</v>
      </c>
      <c r="B39" s="1" t="s">
        <v>438</v>
      </c>
      <c r="C39" s="214" t="s">
        <v>19</v>
      </c>
      <c r="D39" s="205" t="s">
        <v>16</v>
      </c>
      <c r="E39" s="205" t="s">
        <v>16</v>
      </c>
      <c r="F39" s="205" t="s">
        <v>16</v>
      </c>
      <c r="G39" s="205" t="s">
        <v>16</v>
      </c>
      <c r="H39" s="205" t="s">
        <v>16</v>
      </c>
      <c r="I39" s="205" t="s">
        <v>16</v>
      </c>
      <c r="J39" s="205" t="s">
        <v>16</v>
      </c>
      <c r="K39" s="205" t="s">
        <v>16</v>
      </c>
      <c r="L39" s="205" t="s">
        <v>16</v>
      </c>
      <c r="M39" s="205" t="s">
        <v>16</v>
      </c>
      <c r="N39" s="205" t="s">
        <v>16</v>
      </c>
      <c r="O39" s="205" t="s">
        <v>16</v>
      </c>
      <c r="P39" s="205" t="s">
        <v>16</v>
      </c>
      <c r="Q39" s="205" t="s">
        <v>16</v>
      </c>
      <c r="R39" s="205" t="s">
        <v>16</v>
      </c>
      <c r="S39" s="203">
        <v>29</v>
      </c>
      <c r="T39" s="204">
        <v>20450</v>
      </c>
      <c r="U39" s="216">
        <v>20450</v>
      </c>
    </row>
    <row r="40" spans="1:21" ht="13.5" thickBot="1" x14ac:dyDescent="0.25">
      <c r="A40" s="2" t="s">
        <v>449</v>
      </c>
      <c r="B40" s="1" t="s">
        <v>448</v>
      </c>
      <c r="C40" s="214" t="s">
        <v>19</v>
      </c>
      <c r="D40" s="203">
        <v>8</v>
      </c>
      <c r="E40" s="204">
        <v>4540</v>
      </c>
      <c r="F40" s="204">
        <v>6240</v>
      </c>
      <c r="G40" s="205" t="s">
        <v>16</v>
      </c>
      <c r="H40" s="205" t="s">
        <v>16</v>
      </c>
      <c r="I40" s="205" t="s">
        <v>16</v>
      </c>
      <c r="J40" s="205" t="s">
        <v>16</v>
      </c>
      <c r="K40" s="205" t="s">
        <v>16</v>
      </c>
      <c r="L40" s="205" t="s">
        <v>16</v>
      </c>
      <c r="M40" s="205" t="s">
        <v>16</v>
      </c>
      <c r="N40" s="205" t="s">
        <v>16</v>
      </c>
      <c r="O40" s="205" t="s">
        <v>16</v>
      </c>
      <c r="P40" s="205" t="s">
        <v>16</v>
      </c>
      <c r="Q40" s="205" t="s">
        <v>16</v>
      </c>
      <c r="R40" s="205" t="s">
        <v>16</v>
      </c>
      <c r="S40" s="205" t="s">
        <v>16</v>
      </c>
      <c r="T40" s="205" t="s">
        <v>16</v>
      </c>
      <c r="U40" s="215" t="s">
        <v>16</v>
      </c>
    </row>
    <row r="41" spans="1:21" ht="13.5" thickBot="1" x14ac:dyDescent="0.25">
      <c r="A41" s="2" t="s">
        <v>455</v>
      </c>
      <c r="B41" s="1" t="s">
        <v>454</v>
      </c>
      <c r="C41" s="214" t="s">
        <v>19</v>
      </c>
      <c r="D41" s="203">
        <v>21</v>
      </c>
      <c r="E41" s="204">
        <v>10155</v>
      </c>
      <c r="F41" s="204">
        <v>10155</v>
      </c>
      <c r="G41" s="205" t="s">
        <v>16</v>
      </c>
      <c r="H41" s="205" t="s">
        <v>16</v>
      </c>
      <c r="I41" s="205" t="s">
        <v>16</v>
      </c>
      <c r="J41" s="205" t="s">
        <v>16</v>
      </c>
      <c r="K41" s="205" t="s">
        <v>16</v>
      </c>
      <c r="L41" s="205" t="s">
        <v>16</v>
      </c>
      <c r="M41" s="205" t="s">
        <v>16</v>
      </c>
      <c r="N41" s="205" t="s">
        <v>16</v>
      </c>
      <c r="O41" s="205" t="s">
        <v>16</v>
      </c>
      <c r="P41" s="205" t="s">
        <v>16</v>
      </c>
      <c r="Q41" s="205" t="s">
        <v>16</v>
      </c>
      <c r="R41" s="205" t="s">
        <v>16</v>
      </c>
      <c r="S41" s="203">
        <v>13</v>
      </c>
      <c r="T41" s="204">
        <v>5640</v>
      </c>
      <c r="U41" s="216">
        <v>5640</v>
      </c>
    </row>
    <row r="42" spans="1:21" ht="13.5" thickBot="1" x14ac:dyDescent="0.25">
      <c r="A42" s="2" t="s">
        <v>469</v>
      </c>
      <c r="B42" s="1" t="s">
        <v>468</v>
      </c>
      <c r="C42" s="214" t="s">
        <v>19</v>
      </c>
      <c r="D42" s="203">
        <v>0</v>
      </c>
      <c r="E42" s="204">
        <v>0</v>
      </c>
      <c r="F42" s="204">
        <v>0</v>
      </c>
      <c r="G42" s="203">
        <v>0</v>
      </c>
      <c r="H42" s="204">
        <v>0</v>
      </c>
      <c r="I42" s="204">
        <v>0</v>
      </c>
      <c r="J42" s="203">
        <v>0</v>
      </c>
      <c r="K42" s="204">
        <v>0</v>
      </c>
      <c r="L42" s="204">
        <v>0</v>
      </c>
      <c r="M42" s="203">
        <v>0</v>
      </c>
      <c r="N42" s="204">
        <v>0</v>
      </c>
      <c r="O42" s="204">
        <v>0</v>
      </c>
      <c r="P42" s="203">
        <v>0</v>
      </c>
      <c r="Q42" s="204">
        <v>0</v>
      </c>
      <c r="R42" s="204">
        <v>0</v>
      </c>
      <c r="S42" s="203">
        <v>26</v>
      </c>
      <c r="T42" s="204">
        <v>14586</v>
      </c>
      <c r="U42" s="216">
        <v>14586</v>
      </c>
    </row>
    <row r="43" spans="1:21" ht="13.5" thickBot="1" x14ac:dyDescent="0.25">
      <c r="A43" s="2" t="s">
        <v>476</v>
      </c>
      <c r="B43" s="1" t="s">
        <v>475</v>
      </c>
      <c r="C43" s="214" t="s">
        <v>19</v>
      </c>
      <c r="D43" s="203">
        <v>0</v>
      </c>
      <c r="E43" s="204">
        <v>0</v>
      </c>
      <c r="F43" s="204">
        <v>0</v>
      </c>
      <c r="G43" s="203">
        <v>0</v>
      </c>
      <c r="H43" s="204">
        <v>0</v>
      </c>
      <c r="I43" s="204">
        <v>0</v>
      </c>
      <c r="J43" s="203">
        <v>0</v>
      </c>
      <c r="K43" s="204">
        <v>0</v>
      </c>
      <c r="L43" s="204">
        <v>0</v>
      </c>
      <c r="M43" s="203">
        <v>0</v>
      </c>
      <c r="N43" s="204">
        <v>0</v>
      </c>
      <c r="O43" s="204">
        <v>0</v>
      </c>
      <c r="P43" s="203">
        <v>0</v>
      </c>
      <c r="Q43" s="204">
        <v>0</v>
      </c>
      <c r="R43" s="204">
        <v>0</v>
      </c>
      <c r="S43" s="203">
        <v>25</v>
      </c>
      <c r="T43" s="204">
        <v>7500</v>
      </c>
      <c r="U43" s="216">
        <v>9500</v>
      </c>
    </row>
    <row r="44" spans="1:21" ht="13.5" thickBot="1" x14ac:dyDescent="0.25">
      <c r="A44" s="2" t="s">
        <v>492</v>
      </c>
      <c r="B44" s="1" t="s">
        <v>491</v>
      </c>
      <c r="C44" s="214" t="s">
        <v>19</v>
      </c>
      <c r="D44" s="205" t="s">
        <v>16</v>
      </c>
      <c r="E44" s="205" t="s">
        <v>16</v>
      </c>
      <c r="F44" s="205" t="s">
        <v>16</v>
      </c>
      <c r="G44" s="205" t="s">
        <v>16</v>
      </c>
      <c r="H44" s="205" t="s">
        <v>16</v>
      </c>
      <c r="I44" s="205" t="s">
        <v>16</v>
      </c>
      <c r="J44" s="203">
        <v>15</v>
      </c>
      <c r="K44" s="204">
        <v>9234</v>
      </c>
      <c r="L44" s="204">
        <v>9234</v>
      </c>
      <c r="M44" s="205" t="s">
        <v>16</v>
      </c>
      <c r="N44" s="205" t="s">
        <v>16</v>
      </c>
      <c r="O44" s="205" t="s">
        <v>16</v>
      </c>
      <c r="P44" s="205" t="s">
        <v>16</v>
      </c>
      <c r="Q44" s="205" t="s">
        <v>16</v>
      </c>
      <c r="R44" s="205" t="s">
        <v>16</v>
      </c>
      <c r="S44" s="205" t="s">
        <v>16</v>
      </c>
      <c r="T44" s="205" t="s">
        <v>16</v>
      </c>
      <c r="U44" s="215" t="s">
        <v>16</v>
      </c>
    </row>
    <row r="45" spans="1:21" ht="13.5" thickBot="1" x14ac:dyDescent="0.25">
      <c r="A45" s="2" t="s">
        <v>508</v>
      </c>
      <c r="B45" s="1" t="s">
        <v>507</v>
      </c>
      <c r="C45" s="214" t="s">
        <v>19</v>
      </c>
      <c r="D45" s="203">
        <v>0</v>
      </c>
      <c r="E45" s="204">
        <v>0</v>
      </c>
      <c r="F45" s="204">
        <v>0</v>
      </c>
      <c r="G45" s="205" t="s">
        <v>16</v>
      </c>
      <c r="H45" s="205" t="s">
        <v>16</v>
      </c>
      <c r="I45" s="205" t="s">
        <v>16</v>
      </c>
      <c r="J45" s="205" t="s">
        <v>16</v>
      </c>
      <c r="K45" s="205" t="s">
        <v>16</v>
      </c>
      <c r="L45" s="205" t="s">
        <v>16</v>
      </c>
      <c r="M45" s="205" t="s">
        <v>16</v>
      </c>
      <c r="N45" s="205" t="s">
        <v>16</v>
      </c>
      <c r="O45" s="205" t="s">
        <v>16</v>
      </c>
      <c r="P45" s="205" t="s">
        <v>16</v>
      </c>
      <c r="Q45" s="205" t="s">
        <v>16</v>
      </c>
      <c r="R45" s="205" t="s">
        <v>16</v>
      </c>
      <c r="S45" s="205" t="s">
        <v>16</v>
      </c>
      <c r="T45" s="205" t="s">
        <v>16</v>
      </c>
      <c r="U45" s="215" t="s">
        <v>16</v>
      </c>
    </row>
    <row r="46" spans="1:21" ht="13.5" thickBot="1" x14ac:dyDescent="0.25">
      <c r="A46" s="2" t="s">
        <v>516</v>
      </c>
      <c r="B46" s="1" t="s">
        <v>515</v>
      </c>
      <c r="C46" s="214" t="s">
        <v>19</v>
      </c>
      <c r="D46" s="205" t="s">
        <v>16</v>
      </c>
      <c r="E46" s="205" t="s">
        <v>16</v>
      </c>
      <c r="F46" s="205" t="s">
        <v>16</v>
      </c>
      <c r="G46" s="205" t="s">
        <v>16</v>
      </c>
      <c r="H46" s="205" t="s">
        <v>16</v>
      </c>
      <c r="I46" s="205" t="s">
        <v>16</v>
      </c>
      <c r="J46" s="205" t="s">
        <v>16</v>
      </c>
      <c r="K46" s="205" t="s">
        <v>16</v>
      </c>
      <c r="L46" s="205" t="s">
        <v>16</v>
      </c>
      <c r="M46" s="205" t="s">
        <v>16</v>
      </c>
      <c r="N46" s="205" t="s">
        <v>16</v>
      </c>
      <c r="O46" s="205" t="s">
        <v>16</v>
      </c>
      <c r="P46" s="203">
        <v>1</v>
      </c>
      <c r="Q46" s="204">
        <v>500</v>
      </c>
      <c r="R46" s="204">
        <v>1500</v>
      </c>
      <c r="S46" s="203">
        <v>25</v>
      </c>
      <c r="T46" s="204">
        <v>8058</v>
      </c>
      <c r="U46" s="216">
        <v>13566</v>
      </c>
    </row>
    <row r="47" spans="1:21" ht="13.5" thickBot="1" x14ac:dyDescent="0.25">
      <c r="A47" s="2" t="s">
        <v>536</v>
      </c>
      <c r="B47" s="1" t="s">
        <v>535</v>
      </c>
      <c r="C47" s="214" t="s">
        <v>19</v>
      </c>
      <c r="D47" s="203">
        <v>20</v>
      </c>
      <c r="E47" s="204">
        <v>12259</v>
      </c>
      <c r="F47" s="204">
        <v>12259</v>
      </c>
      <c r="G47" s="203">
        <v>0</v>
      </c>
      <c r="H47" s="204">
        <v>0</v>
      </c>
      <c r="I47" s="204">
        <v>0</v>
      </c>
      <c r="J47" s="203">
        <v>0</v>
      </c>
      <c r="K47" s="204">
        <v>0</v>
      </c>
      <c r="L47" s="204">
        <v>0</v>
      </c>
      <c r="M47" s="203">
        <v>0</v>
      </c>
      <c r="N47" s="204">
        <v>0</v>
      </c>
      <c r="O47" s="204">
        <v>0</v>
      </c>
      <c r="P47" s="203">
        <v>0</v>
      </c>
      <c r="Q47" s="204">
        <v>0</v>
      </c>
      <c r="R47" s="204">
        <v>0</v>
      </c>
      <c r="S47" s="203">
        <v>0</v>
      </c>
      <c r="T47" s="204">
        <v>2724</v>
      </c>
      <c r="U47" s="216">
        <v>3000</v>
      </c>
    </row>
    <row r="48" spans="1:21" ht="13.5" thickBot="1" x14ac:dyDescent="0.25">
      <c r="A48" s="2" t="s">
        <v>552</v>
      </c>
      <c r="B48" s="1" t="s">
        <v>551</v>
      </c>
      <c r="C48" s="214" t="s">
        <v>19</v>
      </c>
      <c r="D48" s="203">
        <v>27</v>
      </c>
      <c r="E48" s="204">
        <v>16216</v>
      </c>
      <c r="F48" s="204">
        <v>16216</v>
      </c>
      <c r="G48" s="205" t="s">
        <v>16</v>
      </c>
      <c r="H48" s="205" t="s">
        <v>16</v>
      </c>
      <c r="I48" s="205" t="s">
        <v>16</v>
      </c>
      <c r="J48" s="203">
        <v>19</v>
      </c>
      <c r="K48" s="204">
        <v>9712</v>
      </c>
      <c r="L48" s="204">
        <v>9712</v>
      </c>
      <c r="M48" s="203">
        <v>15</v>
      </c>
      <c r="N48" s="204">
        <v>7215</v>
      </c>
      <c r="O48" s="204">
        <v>7215</v>
      </c>
      <c r="P48" s="205" t="s">
        <v>16</v>
      </c>
      <c r="Q48" s="205" t="s">
        <v>16</v>
      </c>
      <c r="R48" s="205" t="s">
        <v>16</v>
      </c>
      <c r="S48" s="203">
        <v>15</v>
      </c>
      <c r="T48" s="204">
        <v>7215</v>
      </c>
      <c r="U48" s="216">
        <v>7215</v>
      </c>
    </row>
    <row r="49" spans="1:21" ht="13.5" thickBot="1" x14ac:dyDescent="0.25">
      <c r="A49" s="2" t="s">
        <v>566</v>
      </c>
      <c r="B49" s="1" t="s">
        <v>565</v>
      </c>
      <c r="C49" s="214" t="s">
        <v>19</v>
      </c>
      <c r="D49" s="205" t="s">
        <v>16</v>
      </c>
      <c r="E49" s="205" t="s">
        <v>16</v>
      </c>
      <c r="F49" s="205" t="s">
        <v>16</v>
      </c>
      <c r="G49" s="205" t="s">
        <v>16</v>
      </c>
      <c r="H49" s="205" t="s">
        <v>16</v>
      </c>
      <c r="I49" s="205" t="s">
        <v>16</v>
      </c>
      <c r="J49" s="205" t="s">
        <v>16</v>
      </c>
      <c r="K49" s="205" t="s">
        <v>16</v>
      </c>
      <c r="L49" s="205" t="s">
        <v>16</v>
      </c>
      <c r="M49" s="203">
        <v>20</v>
      </c>
      <c r="N49" s="204">
        <v>5000</v>
      </c>
      <c r="O49" s="204">
        <v>15000</v>
      </c>
      <c r="P49" s="205" t="s">
        <v>16</v>
      </c>
      <c r="Q49" s="205" t="s">
        <v>16</v>
      </c>
      <c r="R49" s="205" t="s">
        <v>16</v>
      </c>
      <c r="S49" s="205" t="s">
        <v>16</v>
      </c>
      <c r="T49" s="205" t="s">
        <v>16</v>
      </c>
      <c r="U49" s="215" t="s">
        <v>16</v>
      </c>
    </row>
    <row r="50" spans="1:21" ht="13.5" thickBot="1" x14ac:dyDescent="0.25">
      <c r="A50" s="2" t="s">
        <v>570</v>
      </c>
      <c r="B50" s="1" t="s">
        <v>569</v>
      </c>
      <c r="C50" s="214" t="s">
        <v>19</v>
      </c>
      <c r="D50" s="205" t="s">
        <v>16</v>
      </c>
      <c r="E50" s="205" t="s">
        <v>16</v>
      </c>
      <c r="F50" s="205" t="s">
        <v>16</v>
      </c>
      <c r="G50" s="205" t="s">
        <v>16</v>
      </c>
      <c r="H50" s="205" t="s">
        <v>16</v>
      </c>
      <c r="I50" s="205" t="s">
        <v>16</v>
      </c>
      <c r="J50" s="205" t="s">
        <v>16</v>
      </c>
      <c r="K50" s="205" t="s">
        <v>16</v>
      </c>
      <c r="L50" s="205" t="s">
        <v>16</v>
      </c>
      <c r="M50" s="205" t="s">
        <v>16</v>
      </c>
      <c r="N50" s="205" t="s">
        <v>16</v>
      </c>
      <c r="O50" s="205" t="s">
        <v>16</v>
      </c>
      <c r="P50" s="205" t="s">
        <v>16</v>
      </c>
      <c r="Q50" s="205" t="s">
        <v>16</v>
      </c>
      <c r="R50" s="205" t="s">
        <v>16</v>
      </c>
      <c r="S50" s="203">
        <v>2</v>
      </c>
      <c r="T50" s="204">
        <v>1100</v>
      </c>
      <c r="U50" s="216">
        <v>1500</v>
      </c>
    </row>
    <row r="51" spans="1:21" ht="13.5" thickBot="1" x14ac:dyDescent="0.25">
      <c r="A51" s="2" t="s">
        <v>592</v>
      </c>
      <c r="B51" s="1" t="s">
        <v>591</v>
      </c>
      <c r="C51" s="214" t="s">
        <v>19</v>
      </c>
      <c r="D51" s="205" t="s">
        <v>16</v>
      </c>
      <c r="E51" s="205" t="s">
        <v>16</v>
      </c>
      <c r="F51" s="205" t="s">
        <v>16</v>
      </c>
      <c r="G51" s="205" t="s">
        <v>16</v>
      </c>
      <c r="H51" s="205" t="s">
        <v>16</v>
      </c>
      <c r="I51" s="205" t="s">
        <v>16</v>
      </c>
      <c r="J51" s="205" t="s">
        <v>16</v>
      </c>
      <c r="K51" s="204">
        <v>13500</v>
      </c>
      <c r="L51" s="204">
        <v>17000</v>
      </c>
      <c r="M51" s="205" t="s">
        <v>16</v>
      </c>
      <c r="N51" s="205" t="s">
        <v>16</v>
      </c>
      <c r="O51" s="205" t="s">
        <v>16</v>
      </c>
      <c r="P51" s="205" t="s">
        <v>16</v>
      </c>
      <c r="Q51" s="205" t="s">
        <v>16</v>
      </c>
      <c r="R51" s="205" t="s">
        <v>16</v>
      </c>
      <c r="S51" s="203">
        <v>15</v>
      </c>
      <c r="T51" s="204">
        <v>6000</v>
      </c>
      <c r="U51" s="216">
        <v>12000</v>
      </c>
    </row>
    <row r="52" spans="1:21" ht="13.5" thickBot="1" x14ac:dyDescent="0.25">
      <c r="A52" s="2" t="s">
        <v>612</v>
      </c>
      <c r="B52" s="1" t="s">
        <v>611</v>
      </c>
      <c r="C52" s="214" t="s">
        <v>19</v>
      </c>
      <c r="D52" s="205" t="s">
        <v>16</v>
      </c>
      <c r="E52" s="205" t="s">
        <v>16</v>
      </c>
      <c r="F52" s="205" t="s">
        <v>16</v>
      </c>
      <c r="G52" s="205" t="s">
        <v>16</v>
      </c>
      <c r="H52" s="205" t="s">
        <v>16</v>
      </c>
      <c r="I52" s="205" t="s">
        <v>16</v>
      </c>
      <c r="J52" s="205" t="s">
        <v>16</v>
      </c>
      <c r="K52" s="205" t="s">
        <v>16</v>
      </c>
      <c r="L52" s="205" t="s">
        <v>16</v>
      </c>
      <c r="M52" s="203">
        <v>6</v>
      </c>
      <c r="N52" s="204">
        <v>7500</v>
      </c>
      <c r="O52" s="204">
        <v>9500</v>
      </c>
      <c r="P52" s="203">
        <v>2</v>
      </c>
      <c r="Q52" s="204">
        <v>1000</v>
      </c>
      <c r="R52" s="204">
        <v>3000</v>
      </c>
      <c r="S52" s="203">
        <v>4</v>
      </c>
      <c r="T52" s="204">
        <v>2000</v>
      </c>
      <c r="U52" s="216">
        <v>5000</v>
      </c>
    </row>
    <row r="53" spans="1:21" ht="13.5" thickBot="1" x14ac:dyDescent="0.25">
      <c r="A53" s="2" t="s">
        <v>632</v>
      </c>
      <c r="B53" s="1" t="s">
        <v>631</v>
      </c>
      <c r="C53" s="214" t="s">
        <v>19</v>
      </c>
      <c r="D53" s="203">
        <v>0</v>
      </c>
      <c r="E53" s="204">
        <v>0</v>
      </c>
      <c r="F53" s="204">
        <v>0</v>
      </c>
      <c r="G53" s="203">
        <v>0</v>
      </c>
      <c r="H53" s="204">
        <v>0</v>
      </c>
      <c r="I53" s="204">
        <v>0</v>
      </c>
      <c r="J53" s="203">
        <v>0</v>
      </c>
      <c r="K53" s="204">
        <v>0</v>
      </c>
      <c r="L53" s="204">
        <v>0</v>
      </c>
      <c r="M53" s="203">
        <v>0</v>
      </c>
      <c r="N53" s="204">
        <v>0</v>
      </c>
      <c r="O53" s="204">
        <v>0</v>
      </c>
      <c r="P53" s="203">
        <v>0</v>
      </c>
      <c r="Q53" s="204">
        <v>0</v>
      </c>
      <c r="R53" s="204">
        <v>0</v>
      </c>
      <c r="S53" s="203">
        <v>7</v>
      </c>
      <c r="T53" s="204">
        <v>3367</v>
      </c>
      <c r="U53" s="216">
        <v>11337</v>
      </c>
    </row>
    <row r="54" spans="1:21" ht="13.5" thickBot="1" x14ac:dyDescent="0.25">
      <c r="A54" s="2" t="s">
        <v>642</v>
      </c>
      <c r="B54" s="1" t="s">
        <v>641</v>
      </c>
      <c r="C54" s="214" t="s">
        <v>19</v>
      </c>
      <c r="D54" s="203">
        <v>0</v>
      </c>
      <c r="E54" s="204">
        <v>0</v>
      </c>
      <c r="F54" s="204">
        <v>0</v>
      </c>
      <c r="G54" s="203">
        <v>0</v>
      </c>
      <c r="H54" s="204">
        <v>0</v>
      </c>
      <c r="I54" s="204">
        <v>0</v>
      </c>
      <c r="J54" s="203">
        <v>0</v>
      </c>
      <c r="K54" s="204">
        <v>0</v>
      </c>
      <c r="L54" s="204">
        <v>0</v>
      </c>
      <c r="M54" s="203">
        <v>0</v>
      </c>
      <c r="N54" s="204">
        <v>0</v>
      </c>
      <c r="O54" s="204">
        <v>0</v>
      </c>
      <c r="P54" s="203">
        <v>0</v>
      </c>
      <c r="Q54" s="204">
        <v>0</v>
      </c>
      <c r="R54" s="204">
        <v>0</v>
      </c>
      <c r="S54" s="203">
        <v>0</v>
      </c>
      <c r="T54" s="204">
        <v>0</v>
      </c>
      <c r="U54" s="216">
        <v>0</v>
      </c>
    </row>
    <row r="55" spans="1:21" ht="13.5" thickBot="1" x14ac:dyDescent="0.25">
      <c r="A55" s="2" t="s">
        <v>644</v>
      </c>
      <c r="B55" s="1" t="s">
        <v>643</v>
      </c>
      <c r="C55" s="214" t="s">
        <v>19</v>
      </c>
      <c r="D55" s="203">
        <v>15</v>
      </c>
      <c r="E55" s="204">
        <v>8580</v>
      </c>
      <c r="F55" s="204">
        <v>10868</v>
      </c>
      <c r="G55" s="205" t="s">
        <v>16</v>
      </c>
      <c r="H55" s="205" t="s">
        <v>16</v>
      </c>
      <c r="I55" s="205" t="s">
        <v>16</v>
      </c>
      <c r="J55" s="205" t="s">
        <v>16</v>
      </c>
      <c r="K55" s="205" t="s">
        <v>16</v>
      </c>
      <c r="L55" s="205" t="s">
        <v>16</v>
      </c>
      <c r="M55" s="205" t="s">
        <v>16</v>
      </c>
      <c r="N55" s="205" t="s">
        <v>16</v>
      </c>
      <c r="O55" s="205" t="s">
        <v>16</v>
      </c>
      <c r="P55" s="205" t="s">
        <v>16</v>
      </c>
      <c r="Q55" s="205" t="s">
        <v>16</v>
      </c>
      <c r="R55" s="205" t="s">
        <v>16</v>
      </c>
      <c r="S55" s="203">
        <v>8</v>
      </c>
      <c r="T55" s="204">
        <v>3952</v>
      </c>
      <c r="U55" s="216">
        <v>5928</v>
      </c>
    </row>
    <row r="56" spans="1:21" ht="13.5" thickBot="1" x14ac:dyDescent="0.25">
      <c r="A56" s="2" t="s">
        <v>650</v>
      </c>
      <c r="B56" s="1" t="s">
        <v>649</v>
      </c>
      <c r="C56" s="214" t="s">
        <v>19</v>
      </c>
      <c r="D56" s="205" t="s">
        <v>16</v>
      </c>
      <c r="E56" s="205" t="s">
        <v>16</v>
      </c>
      <c r="F56" s="205" t="s">
        <v>16</v>
      </c>
      <c r="G56" s="205" t="s">
        <v>16</v>
      </c>
      <c r="H56" s="205" t="s">
        <v>16</v>
      </c>
      <c r="I56" s="205" t="s">
        <v>16</v>
      </c>
      <c r="J56" s="205" t="s">
        <v>16</v>
      </c>
      <c r="K56" s="205" t="s">
        <v>16</v>
      </c>
      <c r="L56" s="205" t="s">
        <v>16</v>
      </c>
      <c r="M56" s="205" t="s">
        <v>16</v>
      </c>
      <c r="N56" s="205" t="s">
        <v>16</v>
      </c>
      <c r="O56" s="205" t="s">
        <v>16</v>
      </c>
      <c r="P56" s="205" t="s">
        <v>16</v>
      </c>
      <c r="Q56" s="205" t="s">
        <v>16</v>
      </c>
      <c r="R56" s="205" t="s">
        <v>16</v>
      </c>
      <c r="S56" s="203">
        <v>29</v>
      </c>
      <c r="T56" s="204">
        <v>8658</v>
      </c>
      <c r="U56" s="216">
        <v>14703</v>
      </c>
    </row>
    <row r="57" spans="1:21" ht="13.5" thickBot="1" x14ac:dyDescent="0.25">
      <c r="A57" s="2" t="s">
        <v>652</v>
      </c>
      <c r="B57" s="1" t="s">
        <v>651</v>
      </c>
      <c r="C57" s="214" t="s">
        <v>19</v>
      </c>
      <c r="D57" s="203">
        <v>0</v>
      </c>
      <c r="E57" s="204">
        <v>0</v>
      </c>
      <c r="F57" s="204">
        <v>0</v>
      </c>
      <c r="G57" s="203">
        <v>0</v>
      </c>
      <c r="H57" s="204">
        <v>0</v>
      </c>
      <c r="I57" s="204">
        <v>0</v>
      </c>
      <c r="J57" s="203">
        <v>0</v>
      </c>
      <c r="K57" s="204">
        <v>0</v>
      </c>
      <c r="L57" s="204">
        <v>0</v>
      </c>
      <c r="M57" s="203">
        <v>0</v>
      </c>
      <c r="N57" s="204">
        <v>0</v>
      </c>
      <c r="O57" s="204">
        <v>0</v>
      </c>
      <c r="P57" s="203">
        <v>0</v>
      </c>
      <c r="Q57" s="204">
        <v>0</v>
      </c>
      <c r="R57" s="204">
        <v>0</v>
      </c>
      <c r="S57" s="203">
        <v>0</v>
      </c>
      <c r="T57" s="204">
        <v>0</v>
      </c>
      <c r="U57" s="216">
        <v>0</v>
      </c>
    </row>
    <row r="58" spans="1:21" ht="13.5" thickBot="1" x14ac:dyDescent="0.25">
      <c r="A58" s="2" t="s">
        <v>672</v>
      </c>
      <c r="B58" s="1" t="s">
        <v>671</v>
      </c>
      <c r="C58" s="214" t="s">
        <v>19</v>
      </c>
      <c r="D58" s="203">
        <v>0</v>
      </c>
      <c r="E58" s="204">
        <v>0</v>
      </c>
      <c r="F58" s="204">
        <v>0</v>
      </c>
      <c r="G58" s="203">
        <v>0</v>
      </c>
      <c r="H58" s="204">
        <v>0</v>
      </c>
      <c r="I58" s="204">
        <v>0</v>
      </c>
      <c r="J58" s="203">
        <v>0</v>
      </c>
      <c r="K58" s="204">
        <v>0</v>
      </c>
      <c r="L58" s="204">
        <v>0</v>
      </c>
      <c r="M58" s="203">
        <v>0</v>
      </c>
      <c r="N58" s="204">
        <v>0</v>
      </c>
      <c r="O58" s="204">
        <v>0</v>
      </c>
      <c r="P58" s="203">
        <v>0</v>
      </c>
      <c r="Q58" s="204">
        <v>0</v>
      </c>
      <c r="R58" s="204">
        <v>0</v>
      </c>
      <c r="S58" s="203">
        <v>9</v>
      </c>
      <c r="T58" s="204">
        <v>5000</v>
      </c>
      <c r="U58" s="216">
        <v>5000</v>
      </c>
    </row>
    <row r="59" spans="1:21" ht="13.5" thickBot="1" x14ac:dyDescent="0.25">
      <c r="A59" s="2" t="s">
        <v>698</v>
      </c>
      <c r="B59" s="1" t="s">
        <v>697</v>
      </c>
      <c r="C59" s="214" t="s">
        <v>19</v>
      </c>
      <c r="D59" s="205" t="s">
        <v>16</v>
      </c>
      <c r="E59" s="205" t="s">
        <v>16</v>
      </c>
      <c r="F59" s="205" t="s">
        <v>16</v>
      </c>
      <c r="G59" s="205" t="s">
        <v>16</v>
      </c>
      <c r="H59" s="205" t="s">
        <v>16</v>
      </c>
      <c r="I59" s="205" t="s">
        <v>16</v>
      </c>
      <c r="J59" s="203">
        <v>29</v>
      </c>
      <c r="K59" s="204">
        <v>13300</v>
      </c>
      <c r="L59" s="204">
        <v>18826</v>
      </c>
      <c r="M59" s="203">
        <v>20</v>
      </c>
      <c r="N59" s="204">
        <v>9256</v>
      </c>
      <c r="O59" s="204">
        <v>11570</v>
      </c>
      <c r="P59" s="205" t="s">
        <v>16</v>
      </c>
      <c r="Q59" s="205" t="s">
        <v>16</v>
      </c>
      <c r="R59" s="205" t="s">
        <v>16</v>
      </c>
      <c r="S59" s="203">
        <v>20</v>
      </c>
      <c r="T59" s="204">
        <v>9256</v>
      </c>
      <c r="U59" s="216">
        <v>11570</v>
      </c>
    </row>
    <row r="60" spans="1:21" ht="13.5" thickBot="1" x14ac:dyDescent="0.25">
      <c r="A60" s="2" t="s">
        <v>704</v>
      </c>
      <c r="B60" s="1" t="s">
        <v>703</v>
      </c>
      <c r="C60" s="214" t="s">
        <v>19</v>
      </c>
      <c r="D60" s="203">
        <v>0</v>
      </c>
      <c r="E60" s="204">
        <v>0</v>
      </c>
      <c r="F60" s="204">
        <v>0</v>
      </c>
      <c r="G60" s="203">
        <v>0</v>
      </c>
      <c r="H60" s="204">
        <v>0</v>
      </c>
      <c r="I60" s="204">
        <v>0</v>
      </c>
      <c r="J60" s="203">
        <v>0</v>
      </c>
      <c r="K60" s="204">
        <v>0</v>
      </c>
      <c r="L60" s="204">
        <v>0</v>
      </c>
      <c r="M60" s="203">
        <v>0</v>
      </c>
      <c r="N60" s="204">
        <v>0</v>
      </c>
      <c r="O60" s="204">
        <v>0</v>
      </c>
      <c r="P60" s="203">
        <v>0</v>
      </c>
      <c r="Q60" s="204">
        <v>0</v>
      </c>
      <c r="R60" s="204">
        <v>0</v>
      </c>
      <c r="S60" s="203">
        <v>14</v>
      </c>
      <c r="T60" s="204">
        <v>4600</v>
      </c>
      <c r="U60" s="216">
        <v>8600</v>
      </c>
    </row>
    <row r="61" spans="1:21" ht="13.5" thickBot="1" x14ac:dyDescent="0.25">
      <c r="A61" s="2" t="s">
        <v>714</v>
      </c>
      <c r="B61" s="1" t="s">
        <v>713</v>
      </c>
      <c r="C61" s="214" t="s">
        <v>19</v>
      </c>
      <c r="D61" s="205" t="s">
        <v>16</v>
      </c>
      <c r="E61" s="205" t="s">
        <v>16</v>
      </c>
      <c r="F61" s="205" t="s">
        <v>16</v>
      </c>
      <c r="G61" s="205" t="s">
        <v>16</v>
      </c>
      <c r="H61" s="205" t="s">
        <v>16</v>
      </c>
      <c r="I61" s="205" t="s">
        <v>16</v>
      </c>
      <c r="J61" s="205" t="s">
        <v>16</v>
      </c>
      <c r="K61" s="205" t="s">
        <v>16</v>
      </c>
      <c r="L61" s="205" t="s">
        <v>16</v>
      </c>
      <c r="M61" s="205" t="s">
        <v>16</v>
      </c>
      <c r="N61" s="205" t="s">
        <v>16</v>
      </c>
      <c r="O61" s="205" t="s">
        <v>16</v>
      </c>
      <c r="P61" s="205" t="s">
        <v>16</v>
      </c>
      <c r="Q61" s="205" t="s">
        <v>16</v>
      </c>
      <c r="R61" s="205" t="s">
        <v>16</v>
      </c>
      <c r="S61" s="203">
        <v>20</v>
      </c>
      <c r="T61" s="204">
        <v>11000</v>
      </c>
      <c r="U61" s="216">
        <v>13000</v>
      </c>
    </row>
    <row r="62" spans="1:21" ht="13.5" thickBot="1" x14ac:dyDescent="0.25">
      <c r="A62" s="2" t="s">
        <v>716</v>
      </c>
      <c r="B62" s="1" t="s">
        <v>715</v>
      </c>
      <c r="C62" s="214" t="s">
        <v>19</v>
      </c>
      <c r="D62" s="205" t="s">
        <v>16</v>
      </c>
      <c r="E62" s="205" t="s">
        <v>16</v>
      </c>
      <c r="F62" s="205" t="s">
        <v>16</v>
      </c>
      <c r="G62" s="205" t="s">
        <v>16</v>
      </c>
      <c r="H62" s="205" t="s">
        <v>16</v>
      </c>
      <c r="I62" s="205" t="s">
        <v>16</v>
      </c>
      <c r="J62" s="205" t="s">
        <v>16</v>
      </c>
      <c r="K62" s="205" t="s">
        <v>16</v>
      </c>
      <c r="L62" s="205" t="s">
        <v>16</v>
      </c>
      <c r="M62" s="205" t="s">
        <v>16</v>
      </c>
      <c r="N62" s="205" t="s">
        <v>16</v>
      </c>
      <c r="O62" s="205" t="s">
        <v>16</v>
      </c>
      <c r="P62" s="205" t="s">
        <v>16</v>
      </c>
      <c r="Q62" s="205" t="s">
        <v>16</v>
      </c>
      <c r="R62" s="205" t="s">
        <v>16</v>
      </c>
      <c r="S62" s="205" t="s">
        <v>16</v>
      </c>
      <c r="T62" s="205" t="s">
        <v>16</v>
      </c>
      <c r="U62" s="215" t="s">
        <v>16</v>
      </c>
    </row>
    <row r="63" spans="1:21" ht="13.5" thickBot="1" x14ac:dyDescent="0.25">
      <c r="A63" s="2" t="s">
        <v>738</v>
      </c>
      <c r="B63" s="1" t="s">
        <v>737</v>
      </c>
      <c r="C63" s="214" t="s">
        <v>19</v>
      </c>
      <c r="D63" s="205" t="s">
        <v>16</v>
      </c>
      <c r="E63" s="205" t="s">
        <v>16</v>
      </c>
      <c r="F63" s="205" t="s">
        <v>16</v>
      </c>
      <c r="G63" s="205" t="s">
        <v>16</v>
      </c>
      <c r="H63" s="205" t="s">
        <v>16</v>
      </c>
      <c r="I63" s="205" t="s">
        <v>16</v>
      </c>
      <c r="J63" s="205" t="s">
        <v>16</v>
      </c>
      <c r="K63" s="205" t="s">
        <v>16</v>
      </c>
      <c r="L63" s="205" t="s">
        <v>16</v>
      </c>
      <c r="M63" s="205" t="s">
        <v>16</v>
      </c>
      <c r="N63" s="205" t="s">
        <v>16</v>
      </c>
      <c r="O63" s="205" t="s">
        <v>16</v>
      </c>
      <c r="P63" s="205" t="s">
        <v>16</v>
      </c>
      <c r="Q63" s="205" t="s">
        <v>16</v>
      </c>
      <c r="R63" s="205" t="s">
        <v>16</v>
      </c>
      <c r="S63" s="203">
        <v>31</v>
      </c>
      <c r="T63" s="204">
        <v>15820</v>
      </c>
      <c r="U63" s="216">
        <v>17000</v>
      </c>
    </row>
    <row r="64" spans="1:21" ht="13.5" thickBot="1" x14ac:dyDescent="0.25">
      <c r="A64" s="2" t="s">
        <v>757</v>
      </c>
      <c r="B64" s="1" t="s">
        <v>756</v>
      </c>
      <c r="C64" s="214" t="s">
        <v>19</v>
      </c>
      <c r="D64" s="205" t="s">
        <v>16</v>
      </c>
      <c r="E64" s="205" t="s">
        <v>16</v>
      </c>
      <c r="F64" s="205" t="s">
        <v>16</v>
      </c>
      <c r="G64" s="205" t="s">
        <v>16</v>
      </c>
      <c r="H64" s="205" t="s">
        <v>16</v>
      </c>
      <c r="I64" s="205" t="s">
        <v>16</v>
      </c>
      <c r="J64" s="203">
        <v>2</v>
      </c>
      <c r="K64" s="204">
        <v>2050</v>
      </c>
      <c r="L64" s="204">
        <v>3500</v>
      </c>
      <c r="M64" s="205" t="s">
        <v>16</v>
      </c>
      <c r="N64" s="205" t="s">
        <v>16</v>
      </c>
      <c r="O64" s="205" t="s">
        <v>16</v>
      </c>
      <c r="P64" s="205" t="s">
        <v>16</v>
      </c>
      <c r="Q64" s="205" t="s">
        <v>16</v>
      </c>
      <c r="R64" s="205" t="s">
        <v>16</v>
      </c>
      <c r="S64" s="203">
        <v>9</v>
      </c>
      <c r="T64" s="204">
        <v>3500</v>
      </c>
      <c r="U64" s="216">
        <v>48000</v>
      </c>
    </row>
    <row r="65" spans="1:21" ht="13.5" thickBot="1" x14ac:dyDescent="0.25">
      <c r="A65" s="2" t="s">
        <v>775</v>
      </c>
      <c r="B65" s="1" t="s">
        <v>774</v>
      </c>
      <c r="C65" s="214" t="s">
        <v>19</v>
      </c>
      <c r="D65" s="205" t="s">
        <v>16</v>
      </c>
      <c r="E65" s="205" t="s">
        <v>16</v>
      </c>
      <c r="F65" s="205" t="s">
        <v>16</v>
      </c>
      <c r="G65" s="205" t="s">
        <v>16</v>
      </c>
      <c r="H65" s="205" t="s">
        <v>16</v>
      </c>
      <c r="I65" s="205" t="s">
        <v>16</v>
      </c>
      <c r="J65" s="203">
        <v>13</v>
      </c>
      <c r="K65" s="204">
        <v>6800</v>
      </c>
      <c r="L65" s="204">
        <v>7500</v>
      </c>
      <c r="M65" s="203">
        <v>0</v>
      </c>
      <c r="N65" s="204">
        <v>0</v>
      </c>
      <c r="O65" s="204">
        <v>0</v>
      </c>
      <c r="P65" s="205" t="s">
        <v>16</v>
      </c>
      <c r="Q65" s="205" t="s">
        <v>16</v>
      </c>
      <c r="R65" s="205" t="s">
        <v>16</v>
      </c>
      <c r="S65" s="203">
        <v>0</v>
      </c>
      <c r="T65" s="204">
        <v>0</v>
      </c>
      <c r="U65" s="216">
        <v>0</v>
      </c>
    </row>
    <row r="66" spans="1:21" ht="13.5" thickBot="1" x14ac:dyDescent="0.25">
      <c r="A66" s="2" t="s">
        <v>787</v>
      </c>
      <c r="B66" s="1" t="s">
        <v>786</v>
      </c>
      <c r="C66" s="214" t="s">
        <v>19</v>
      </c>
      <c r="D66" s="203">
        <v>21</v>
      </c>
      <c r="E66" s="204">
        <v>13104</v>
      </c>
      <c r="F66" s="204">
        <v>14000</v>
      </c>
      <c r="G66" s="203">
        <v>0</v>
      </c>
      <c r="H66" s="204">
        <v>0</v>
      </c>
      <c r="I66" s="204">
        <v>0</v>
      </c>
      <c r="J66" s="203">
        <v>0</v>
      </c>
      <c r="K66" s="204">
        <v>0</v>
      </c>
      <c r="L66" s="204">
        <v>0</v>
      </c>
      <c r="M66" s="203">
        <v>0</v>
      </c>
      <c r="N66" s="204">
        <v>0</v>
      </c>
      <c r="O66" s="204">
        <v>0</v>
      </c>
      <c r="P66" s="203">
        <v>0</v>
      </c>
      <c r="Q66" s="204">
        <v>0</v>
      </c>
      <c r="R66" s="204">
        <v>0</v>
      </c>
      <c r="S66" s="203">
        <v>11</v>
      </c>
      <c r="T66" s="204">
        <v>6143</v>
      </c>
      <c r="U66" s="216">
        <v>6400</v>
      </c>
    </row>
    <row r="67" spans="1:21" ht="13.5" thickBot="1" x14ac:dyDescent="0.25">
      <c r="A67" s="2" t="s">
        <v>793</v>
      </c>
      <c r="B67" s="1" t="s">
        <v>792</v>
      </c>
      <c r="C67" s="214" t="s">
        <v>19</v>
      </c>
      <c r="D67" s="205" t="s">
        <v>16</v>
      </c>
      <c r="E67" s="205" t="s">
        <v>16</v>
      </c>
      <c r="F67" s="205" t="s">
        <v>16</v>
      </c>
      <c r="G67" s="205" t="s">
        <v>16</v>
      </c>
      <c r="H67" s="205" t="s">
        <v>16</v>
      </c>
      <c r="I67" s="205" t="s">
        <v>16</v>
      </c>
      <c r="J67" s="205" t="s">
        <v>16</v>
      </c>
      <c r="K67" s="205" t="s">
        <v>16</v>
      </c>
      <c r="L67" s="205" t="s">
        <v>16</v>
      </c>
      <c r="M67" s="205" t="s">
        <v>16</v>
      </c>
      <c r="N67" s="205" t="s">
        <v>16</v>
      </c>
      <c r="O67" s="205" t="s">
        <v>16</v>
      </c>
      <c r="P67" s="205" t="s">
        <v>16</v>
      </c>
      <c r="Q67" s="205" t="s">
        <v>16</v>
      </c>
      <c r="R67" s="205" t="s">
        <v>16</v>
      </c>
      <c r="S67" s="203">
        <v>6</v>
      </c>
      <c r="T67" s="204">
        <v>2498</v>
      </c>
      <c r="U67" s="216">
        <v>2498</v>
      </c>
    </row>
    <row r="68" spans="1:21" ht="13.5" thickBot="1" x14ac:dyDescent="0.25">
      <c r="A68" s="2" t="s">
        <v>795</v>
      </c>
      <c r="B68" s="1" t="s">
        <v>794</v>
      </c>
      <c r="C68" s="214" t="s">
        <v>19</v>
      </c>
      <c r="D68" s="205" t="s">
        <v>16</v>
      </c>
      <c r="E68" s="205" t="s">
        <v>16</v>
      </c>
      <c r="F68" s="205" t="s">
        <v>16</v>
      </c>
      <c r="G68" s="205" t="s">
        <v>16</v>
      </c>
      <c r="H68" s="205" t="s">
        <v>16</v>
      </c>
      <c r="I68" s="205" t="s">
        <v>16</v>
      </c>
      <c r="J68" s="205" t="s">
        <v>16</v>
      </c>
      <c r="K68" s="205" t="s">
        <v>16</v>
      </c>
      <c r="L68" s="205" t="s">
        <v>16</v>
      </c>
      <c r="M68" s="205" t="s">
        <v>16</v>
      </c>
      <c r="N68" s="205" t="s">
        <v>16</v>
      </c>
      <c r="O68" s="205" t="s">
        <v>16</v>
      </c>
      <c r="P68" s="205" t="s">
        <v>16</v>
      </c>
      <c r="Q68" s="205" t="s">
        <v>16</v>
      </c>
      <c r="R68" s="205" t="s">
        <v>16</v>
      </c>
      <c r="S68" s="203">
        <v>14</v>
      </c>
      <c r="T68" s="204">
        <v>6479</v>
      </c>
      <c r="U68" s="216">
        <v>6734</v>
      </c>
    </row>
    <row r="69" spans="1:21" ht="13.5" thickBot="1" x14ac:dyDescent="0.25">
      <c r="A69" s="2" t="s">
        <v>799</v>
      </c>
      <c r="B69" s="1" t="s">
        <v>798</v>
      </c>
      <c r="C69" s="214" t="s">
        <v>19</v>
      </c>
      <c r="D69" s="205" t="s">
        <v>16</v>
      </c>
      <c r="E69" s="205" t="s">
        <v>16</v>
      </c>
      <c r="F69" s="205" t="s">
        <v>16</v>
      </c>
      <c r="G69" s="205" t="s">
        <v>16</v>
      </c>
      <c r="H69" s="205" t="s">
        <v>16</v>
      </c>
      <c r="I69" s="205" t="s">
        <v>16</v>
      </c>
      <c r="J69" s="205" t="s">
        <v>16</v>
      </c>
      <c r="K69" s="205" t="s">
        <v>16</v>
      </c>
      <c r="L69" s="205" t="s">
        <v>16</v>
      </c>
      <c r="M69" s="205" t="s">
        <v>16</v>
      </c>
      <c r="N69" s="205" t="s">
        <v>16</v>
      </c>
      <c r="O69" s="205" t="s">
        <v>16</v>
      </c>
      <c r="P69" s="205" t="s">
        <v>16</v>
      </c>
      <c r="Q69" s="205" t="s">
        <v>16</v>
      </c>
      <c r="R69" s="205" t="s">
        <v>16</v>
      </c>
      <c r="S69" s="205" t="s">
        <v>16</v>
      </c>
      <c r="T69" s="205" t="s">
        <v>16</v>
      </c>
      <c r="U69" s="215" t="s">
        <v>16</v>
      </c>
    </row>
    <row r="70" spans="1:21" ht="13.5" thickBot="1" x14ac:dyDescent="0.25">
      <c r="A70" s="2" t="s">
        <v>809</v>
      </c>
      <c r="B70" s="1" t="s">
        <v>808</v>
      </c>
      <c r="C70" s="214" t="s">
        <v>19</v>
      </c>
      <c r="D70" s="203">
        <v>0</v>
      </c>
      <c r="E70" s="204">
        <v>0</v>
      </c>
      <c r="F70" s="204">
        <v>0</v>
      </c>
      <c r="G70" s="203">
        <v>0</v>
      </c>
      <c r="H70" s="204">
        <v>0</v>
      </c>
      <c r="I70" s="204">
        <v>0</v>
      </c>
      <c r="J70" s="203">
        <v>0</v>
      </c>
      <c r="K70" s="204">
        <v>0</v>
      </c>
      <c r="L70" s="204">
        <v>0</v>
      </c>
      <c r="M70" s="203">
        <v>0</v>
      </c>
      <c r="N70" s="204">
        <v>0</v>
      </c>
      <c r="O70" s="204">
        <v>15000</v>
      </c>
      <c r="P70" s="203">
        <v>0</v>
      </c>
      <c r="Q70" s="204">
        <v>0</v>
      </c>
      <c r="R70" s="204">
        <v>0</v>
      </c>
      <c r="S70" s="203">
        <v>0</v>
      </c>
      <c r="T70" s="204">
        <v>0</v>
      </c>
      <c r="U70" s="216">
        <v>0</v>
      </c>
    </row>
    <row r="71" spans="1:21" ht="13.5" thickBot="1" x14ac:dyDescent="0.25">
      <c r="A71" s="2" t="s">
        <v>821</v>
      </c>
      <c r="B71" s="1" t="s">
        <v>820</v>
      </c>
      <c r="C71" s="214" t="s">
        <v>19</v>
      </c>
      <c r="D71" s="203">
        <v>0</v>
      </c>
      <c r="E71" s="204">
        <v>0</v>
      </c>
      <c r="F71" s="204">
        <v>0</v>
      </c>
      <c r="G71" s="203">
        <v>0</v>
      </c>
      <c r="H71" s="204">
        <v>0</v>
      </c>
      <c r="I71" s="204">
        <v>0</v>
      </c>
      <c r="J71" s="203">
        <v>0</v>
      </c>
      <c r="K71" s="204">
        <v>6242</v>
      </c>
      <c r="L71" s="204">
        <v>6442</v>
      </c>
      <c r="M71" s="203">
        <v>11</v>
      </c>
      <c r="N71" s="204">
        <v>4882</v>
      </c>
      <c r="O71" s="204">
        <v>5504</v>
      </c>
      <c r="P71" s="203">
        <v>0</v>
      </c>
      <c r="Q71" s="204">
        <v>0</v>
      </c>
      <c r="R71" s="204">
        <v>0</v>
      </c>
      <c r="S71" s="203">
        <v>0</v>
      </c>
      <c r="T71" s="204">
        <v>0</v>
      </c>
      <c r="U71" s="216">
        <v>0</v>
      </c>
    </row>
    <row r="72" spans="1:21" ht="13.5" thickBot="1" x14ac:dyDescent="0.25">
      <c r="A72" s="2" t="s">
        <v>833</v>
      </c>
      <c r="B72" s="1" t="s">
        <v>832</v>
      </c>
      <c r="C72" s="214" t="s">
        <v>19</v>
      </c>
      <c r="D72" s="203">
        <v>0</v>
      </c>
      <c r="E72" s="204">
        <v>0</v>
      </c>
      <c r="F72" s="204">
        <v>0</v>
      </c>
      <c r="G72" s="203">
        <v>0</v>
      </c>
      <c r="H72" s="204">
        <v>0</v>
      </c>
      <c r="I72" s="204">
        <v>0</v>
      </c>
      <c r="J72" s="203">
        <v>0</v>
      </c>
      <c r="K72" s="204">
        <v>0</v>
      </c>
      <c r="L72" s="204">
        <v>0</v>
      </c>
      <c r="M72" s="203">
        <v>0</v>
      </c>
      <c r="N72" s="204">
        <v>0</v>
      </c>
      <c r="O72" s="204">
        <v>0</v>
      </c>
      <c r="P72" s="203">
        <v>0</v>
      </c>
      <c r="Q72" s="204">
        <v>0</v>
      </c>
      <c r="R72" s="204">
        <v>0</v>
      </c>
      <c r="S72" s="203">
        <v>14</v>
      </c>
      <c r="T72" s="204">
        <v>3800</v>
      </c>
      <c r="U72" s="216">
        <v>11000</v>
      </c>
    </row>
    <row r="73" spans="1:21" ht="13.5" thickBot="1" x14ac:dyDescent="0.25">
      <c r="A73" s="2" t="s">
        <v>841</v>
      </c>
      <c r="B73" s="1" t="s">
        <v>840</v>
      </c>
      <c r="C73" s="214" t="s">
        <v>19</v>
      </c>
      <c r="D73" s="203">
        <v>0</v>
      </c>
      <c r="E73" s="204">
        <v>0</v>
      </c>
      <c r="F73" s="204">
        <v>0</v>
      </c>
      <c r="G73" s="205" t="s">
        <v>16</v>
      </c>
      <c r="H73" s="205" t="s">
        <v>16</v>
      </c>
      <c r="I73" s="205" t="s">
        <v>16</v>
      </c>
      <c r="J73" s="205" t="s">
        <v>16</v>
      </c>
      <c r="K73" s="205" t="s">
        <v>16</v>
      </c>
      <c r="L73" s="205" t="s">
        <v>16</v>
      </c>
      <c r="M73" s="205" t="s">
        <v>16</v>
      </c>
      <c r="N73" s="205" t="s">
        <v>16</v>
      </c>
      <c r="O73" s="205" t="s">
        <v>16</v>
      </c>
      <c r="P73" s="205" t="s">
        <v>16</v>
      </c>
      <c r="Q73" s="205" t="s">
        <v>16</v>
      </c>
      <c r="R73" s="205" t="s">
        <v>16</v>
      </c>
      <c r="S73" s="203">
        <v>14</v>
      </c>
      <c r="T73" s="204">
        <v>6384</v>
      </c>
      <c r="U73" s="216">
        <v>7980</v>
      </c>
    </row>
    <row r="74" spans="1:21" ht="13.5" thickBot="1" x14ac:dyDescent="0.25">
      <c r="A74" s="2" t="s">
        <v>21</v>
      </c>
      <c r="B74" s="1" t="s">
        <v>20</v>
      </c>
      <c r="C74" s="214" t="s">
        <v>24</v>
      </c>
      <c r="D74" s="203">
        <v>20</v>
      </c>
      <c r="E74" s="204">
        <v>8000</v>
      </c>
      <c r="F74" s="204">
        <v>10000</v>
      </c>
      <c r="G74" s="203">
        <v>0</v>
      </c>
      <c r="H74" s="204">
        <v>0</v>
      </c>
      <c r="I74" s="204">
        <v>0</v>
      </c>
      <c r="J74" s="203">
        <v>0</v>
      </c>
      <c r="K74" s="204">
        <v>0</v>
      </c>
      <c r="L74" s="204">
        <v>0</v>
      </c>
      <c r="M74" s="203">
        <v>20</v>
      </c>
      <c r="N74" s="204">
        <v>0</v>
      </c>
      <c r="O74" s="204">
        <v>0</v>
      </c>
      <c r="P74" s="203">
        <v>0</v>
      </c>
      <c r="Q74" s="204">
        <v>0</v>
      </c>
      <c r="R74" s="204">
        <v>0</v>
      </c>
      <c r="S74" s="203">
        <v>20</v>
      </c>
      <c r="T74" s="204">
        <v>5000</v>
      </c>
      <c r="U74" s="216">
        <v>10000</v>
      </c>
    </row>
    <row r="75" spans="1:21" ht="13.5" thickBot="1" x14ac:dyDescent="0.25">
      <c r="A75" s="2" t="s">
        <v>51</v>
      </c>
      <c r="B75" s="1" t="s">
        <v>50</v>
      </c>
      <c r="C75" s="214" t="s">
        <v>24</v>
      </c>
      <c r="D75" s="205" t="s">
        <v>16</v>
      </c>
      <c r="E75" s="205" t="s">
        <v>16</v>
      </c>
      <c r="F75" s="205" t="s">
        <v>16</v>
      </c>
      <c r="G75" s="203">
        <v>32</v>
      </c>
      <c r="H75" s="204">
        <v>20000</v>
      </c>
      <c r="I75" s="204">
        <v>25000</v>
      </c>
      <c r="J75" s="205" t="s">
        <v>16</v>
      </c>
      <c r="K75" s="205" t="s">
        <v>16</v>
      </c>
      <c r="L75" s="205" t="s">
        <v>16</v>
      </c>
      <c r="M75" s="205" t="s">
        <v>16</v>
      </c>
      <c r="N75" s="205" t="s">
        <v>16</v>
      </c>
      <c r="O75" s="205" t="s">
        <v>16</v>
      </c>
      <c r="P75" s="205" t="s">
        <v>16</v>
      </c>
      <c r="Q75" s="205" t="s">
        <v>16</v>
      </c>
      <c r="R75" s="205" t="s">
        <v>16</v>
      </c>
      <c r="S75" s="203">
        <v>30</v>
      </c>
      <c r="T75" s="204">
        <v>9500</v>
      </c>
      <c r="U75" s="216">
        <v>22000</v>
      </c>
    </row>
    <row r="76" spans="1:21" ht="13.5" thickBot="1" x14ac:dyDescent="0.25">
      <c r="A76" s="2" t="s">
        <v>62</v>
      </c>
      <c r="B76" s="1" t="s">
        <v>61</v>
      </c>
      <c r="C76" s="214" t="s">
        <v>24</v>
      </c>
      <c r="D76" s="203">
        <v>0</v>
      </c>
      <c r="E76" s="204">
        <v>0</v>
      </c>
      <c r="F76" s="204">
        <v>0</v>
      </c>
      <c r="G76" s="203">
        <v>0</v>
      </c>
      <c r="H76" s="204">
        <v>0</v>
      </c>
      <c r="I76" s="204">
        <v>0</v>
      </c>
      <c r="J76" s="203">
        <v>0</v>
      </c>
      <c r="K76" s="204">
        <v>0</v>
      </c>
      <c r="L76" s="204">
        <v>0</v>
      </c>
      <c r="M76" s="203">
        <v>0</v>
      </c>
      <c r="N76" s="204">
        <v>0</v>
      </c>
      <c r="O76" s="204">
        <v>0</v>
      </c>
      <c r="P76" s="203">
        <v>20</v>
      </c>
      <c r="Q76" s="204">
        <v>14000</v>
      </c>
      <c r="R76" s="204">
        <v>18000</v>
      </c>
      <c r="S76" s="203">
        <v>20</v>
      </c>
      <c r="T76" s="204">
        <v>10000</v>
      </c>
      <c r="U76" s="216">
        <v>16000</v>
      </c>
    </row>
    <row r="77" spans="1:21" ht="13.5" thickBot="1" x14ac:dyDescent="0.25">
      <c r="A77" s="2" t="s">
        <v>66</v>
      </c>
      <c r="B77" s="1" t="s">
        <v>65</v>
      </c>
      <c r="C77" s="214" t="s">
        <v>24</v>
      </c>
      <c r="D77" s="203">
        <v>12</v>
      </c>
      <c r="E77" s="204">
        <v>3603</v>
      </c>
      <c r="F77" s="204">
        <v>4591</v>
      </c>
      <c r="G77" s="205" t="s">
        <v>16</v>
      </c>
      <c r="H77" s="205" t="s">
        <v>16</v>
      </c>
      <c r="I77" s="205" t="s">
        <v>16</v>
      </c>
      <c r="J77" s="205" t="s">
        <v>16</v>
      </c>
      <c r="K77" s="205" t="s">
        <v>16</v>
      </c>
      <c r="L77" s="205" t="s">
        <v>16</v>
      </c>
      <c r="M77" s="203">
        <v>17</v>
      </c>
      <c r="N77" s="204">
        <v>12052</v>
      </c>
      <c r="O77" s="204">
        <v>12110</v>
      </c>
      <c r="P77" s="205" t="s">
        <v>16</v>
      </c>
      <c r="Q77" s="205" t="s">
        <v>16</v>
      </c>
      <c r="R77" s="205" t="s">
        <v>16</v>
      </c>
      <c r="S77" s="203">
        <v>0</v>
      </c>
      <c r="T77" s="204">
        <v>0</v>
      </c>
      <c r="U77" s="216">
        <v>0</v>
      </c>
    </row>
    <row r="78" spans="1:21" ht="13.5" thickBot="1" x14ac:dyDescent="0.25">
      <c r="A78" s="2" t="s">
        <v>78</v>
      </c>
      <c r="B78" s="1" t="s">
        <v>77</v>
      </c>
      <c r="C78" s="214" t="s">
        <v>24</v>
      </c>
      <c r="D78" s="205" t="s">
        <v>16</v>
      </c>
      <c r="E78" s="205" t="s">
        <v>16</v>
      </c>
      <c r="F78" s="205" t="s">
        <v>16</v>
      </c>
      <c r="G78" s="205" t="s">
        <v>16</v>
      </c>
      <c r="H78" s="205" t="s">
        <v>16</v>
      </c>
      <c r="I78" s="205" t="s">
        <v>16</v>
      </c>
      <c r="J78" s="203">
        <v>25</v>
      </c>
      <c r="K78" s="204">
        <v>16000</v>
      </c>
      <c r="L78" s="204">
        <v>18000</v>
      </c>
      <c r="M78" s="203">
        <v>15</v>
      </c>
      <c r="N78" s="204">
        <v>8500</v>
      </c>
      <c r="O78" s="204">
        <v>10000</v>
      </c>
      <c r="P78" s="205" t="s">
        <v>16</v>
      </c>
      <c r="Q78" s="205" t="s">
        <v>16</v>
      </c>
      <c r="R78" s="205" t="s">
        <v>16</v>
      </c>
      <c r="S78" s="203">
        <v>10</v>
      </c>
      <c r="T78" s="204">
        <v>5200</v>
      </c>
      <c r="U78" s="216">
        <v>7000</v>
      </c>
    </row>
    <row r="79" spans="1:21" ht="13.5" thickBot="1" x14ac:dyDescent="0.25">
      <c r="A79" s="2" t="s">
        <v>82</v>
      </c>
      <c r="B79" s="1" t="s">
        <v>81</v>
      </c>
      <c r="C79" s="214" t="s">
        <v>24</v>
      </c>
      <c r="D79" s="205" t="s">
        <v>16</v>
      </c>
      <c r="E79" s="205" t="s">
        <v>16</v>
      </c>
      <c r="F79" s="205" t="s">
        <v>16</v>
      </c>
      <c r="G79" s="205" t="s">
        <v>16</v>
      </c>
      <c r="H79" s="205" t="s">
        <v>16</v>
      </c>
      <c r="I79" s="205" t="s">
        <v>16</v>
      </c>
      <c r="J79" s="205" t="s">
        <v>16</v>
      </c>
      <c r="K79" s="205" t="s">
        <v>16</v>
      </c>
      <c r="L79" s="205" t="s">
        <v>16</v>
      </c>
      <c r="M79" s="205" t="s">
        <v>16</v>
      </c>
      <c r="N79" s="205" t="s">
        <v>16</v>
      </c>
      <c r="O79" s="205" t="s">
        <v>16</v>
      </c>
      <c r="P79" s="205" t="s">
        <v>16</v>
      </c>
      <c r="Q79" s="205" t="s">
        <v>16</v>
      </c>
      <c r="R79" s="205" t="s">
        <v>16</v>
      </c>
      <c r="S79" s="203">
        <v>30</v>
      </c>
      <c r="T79" s="204">
        <v>9400</v>
      </c>
      <c r="U79" s="216">
        <v>25000</v>
      </c>
    </row>
    <row r="80" spans="1:21" ht="13.5" thickBot="1" x14ac:dyDescent="0.25">
      <c r="A80" s="2" t="s">
        <v>106</v>
      </c>
      <c r="B80" s="1" t="s">
        <v>105</v>
      </c>
      <c r="C80" s="214" t="s">
        <v>24</v>
      </c>
      <c r="D80" s="205" t="s">
        <v>16</v>
      </c>
      <c r="E80" s="205" t="s">
        <v>16</v>
      </c>
      <c r="F80" s="205" t="s">
        <v>16</v>
      </c>
      <c r="G80" s="205" t="s">
        <v>16</v>
      </c>
      <c r="H80" s="205" t="s">
        <v>16</v>
      </c>
      <c r="I80" s="205" t="s">
        <v>16</v>
      </c>
      <c r="J80" s="205" t="s">
        <v>16</v>
      </c>
      <c r="K80" s="205" t="s">
        <v>16</v>
      </c>
      <c r="L80" s="205" t="s">
        <v>16</v>
      </c>
      <c r="M80" s="205" t="s">
        <v>16</v>
      </c>
      <c r="N80" s="205" t="s">
        <v>16</v>
      </c>
      <c r="O80" s="205" t="s">
        <v>16</v>
      </c>
      <c r="P80" s="205" t="s">
        <v>16</v>
      </c>
      <c r="Q80" s="205" t="s">
        <v>16</v>
      </c>
      <c r="R80" s="205" t="s">
        <v>16</v>
      </c>
      <c r="S80" s="203">
        <v>14</v>
      </c>
      <c r="T80" s="204">
        <v>6537</v>
      </c>
      <c r="U80" s="216">
        <v>6537</v>
      </c>
    </row>
    <row r="81" spans="1:21" ht="13.5" thickBot="1" x14ac:dyDescent="0.25">
      <c r="A81" s="2" t="s">
        <v>126</v>
      </c>
      <c r="B81" s="1" t="s">
        <v>125</v>
      </c>
      <c r="C81" s="214" t="s">
        <v>24</v>
      </c>
      <c r="D81" s="205" t="s">
        <v>16</v>
      </c>
      <c r="E81" s="205" t="s">
        <v>16</v>
      </c>
      <c r="F81" s="205" t="s">
        <v>16</v>
      </c>
      <c r="G81" s="205" t="s">
        <v>16</v>
      </c>
      <c r="H81" s="205" t="s">
        <v>16</v>
      </c>
      <c r="I81" s="205" t="s">
        <v>16</v>
      </c>
      <c r="J81" s="203">
        <v>32</v>
      </c>
      <c r="K81" s="204">
        <v>27000</v>
      </c>
      <c r="L81" s="204">
        <v>29000</v>
      </c>
      <c r="M81" s="205" t="s">
        <v>16</v>
      </c>
      <c r="N81" s="205" t="s">
        <v>16</v>
      </c>
      <c r="O81" s="205" t="s">
        <v>16</v>
      </c>
      <c r="P81" s="203">
        <v>40</v>
      </c>
      <c r="Q81" s="204">
        <v>28000</v>
      </c>
      <c r="R81" s="204">
        <v>30000</v>
      </c>
      <c r="S81" s="203">
        <v>24</v>
      </c>
      <c r="T81" s="204">
        <v>10000</v>
      </c>
      <c r="U81" s="216">
        <v>17000</v>
      </c>
    </row>
    <row r="82" spans="1:21" ht="13.5" thickBot="1" x14ac:dyDescent="0.25">
      <c r="A82" s="2" t="s">
        <v>132</v>
      </c>
      <c r="B82" s="1" t="s">
        <v>131</v>
      </c>
      <c r="C82" s="214" t="s">
        <v>24</v>
      </c>
      <c r="D82" s="203">
        <v>0</v>
      </c>
      <c r="E82" s="204">
        <v>0</v>
      </c>
      <c r="F82" s="204">
        <v>0</v>
      </c>
      <c r="G82" s="203">
        <v>0</v>
      </c>
      <c r="H82" s="204">
        <v>0</v>
      </c>
      <c r="I82" s="204">
        <v>0</v>
      </c>
      <c r="J82" s="203">
        <v>0</v>
      </c>
      <c r="K82" s="204">
        <v>0</v>
      </c>
      <c r="L82" s="204">
        <v>0</v>
      </c>
      <c r="M82" s="203">
        <v>0</v>
      </c>
      <c r="N82" s="204">
        <v>0</v>
      </c>
      <c r="O82" s="204">
        <v>0</v>
      </c>
      <c r="P82" s="203">
        <v>0</v>
      </c>
      <c r="Q82" s="204">
        <v>0</v>
      </c>
      <c r="R82" s="204">
        <v>0</v>
      </c>
      <c r="S82" s="203">
        <v>0</v>
      </c>
      <c r="T82" s="204">
        <v>0</v>
      </c>
      <c r="U82" s="216">
        <v>0</v>
      </c>
    </row>
    <row r="83" spans="1:21" ht="13.5" thickBot="1" x14ac:dyDescent="0.25">
      <c r="A83" s="2" t="s">
        <v>146</v>
      </c>
      <c r="B83" s="1" t="s">
        <v>145</v>
      </c>
      <c r="C83" s="214" t="s">
        <v>24</v>
      </c>
      <c r="D83" s="205" t="s">
        <v>16</v>
      </c>
      <c r="E83" s="205" t="s">
        <v>16</v>
      </c>
      <c r="F83" s="205" t="s">
        <v>16</v>
      </c>
      <c r="G83" s="205" t="s">
        <v>16</v>
      </c>
      <c r="H83" s="205" t="s">
        <v>16</v>
      </c>
      <c r="I83" s="205" t="s">
        <v>16</v>
      </c>
      <c r="J83" s="205" t="s">
        <v>16</v>
      </c>
      <c r="K83" s="205" t="s">
        <v>16</v>
      </c>
      <c r="L83" s="205" t="s">
        <v>16</v>
      </c>
      <c r="M83" s="205" t="s">
        <v>16</v>
      </c>
      <c r="N83" s="205" t="s">
        <v>16</v>
      </c>
      <c r="O83" s="205" t="s">
        <v>16</v>
      </c>
      <c r="P83" s="205" t="s">
        <v>16</v>
      </c>
      <c r="Q83" s="205" t="s">
        <v>16</v>
      </c>
      <c r="R83" s="205" t="s">
        <v>16</v>
      </c>
      <c r="S83" s="203">
        <v>22</v>
      </c>
      <c r="T83" s="204">
        <v>10296</v>
      </c>
      <c r="U83" s="216">
        <v>12168</v>
      </c>
    </row>
    <row r="84" spans="1:21" ht="13.5" thickBot="1" x14ac:dyDescent="0.25">
      <c r="A84" s="2" t="s">
        <v>188</v>
      </c>
      <c r="B84" s="1" t="s">
        <v>187</v>
      </c>
      <c r="C84" s="214" t="s">
        <v>24</v>
      </c>
      <c r="D84" s="203">
        <v>0</v>
      </c>
      <c r="E84" s="204">
        <v>0</v>
      </c>
      <c r="F84" s="204">
        <v>0</v>
      </c>
      <c r="G84" s="203">
        <v>0</v>
      </c>
      <c r="H84" s="204">
        <v>0</v>
      </c>
      <c r="I84" s="204">
        <v>0</v>
      </c>
      <c r="J84" s="203">
        <v>0</v>
      </c>
      <c r="K84" s="204">
        <v>0</v>
      </c>
      <c r="L84" s="204">
        <v>0</v>
      </c>
      <c r="M84" s="203">
        <v>0</v>
      </c>
      <c r="N84" s="204">
        <v>0</v>
      </c>
      <c r="O84" s="204">
        <v>0</v>
      </c>
      <c r="P84" s="203">
        <v>0</v>
      </c>
      <c r="Q84" s="204">
        <v>0</v>
      </c>
      <c r="R84" s="204">
        <v>0</v>
      </c>
      <c r="S84" s="203">
        <v>21</v>
      </c>
      <c r="T84" s="204">
        <v>11288</v>
      </c>
      <c r="U84" s="216">
        <v>11288</v>
      </c>
    </row>
    <row r="85" spans="1:21" ht="13.5" thickBot="1" x14ac:dyDescent="0.25">
      <c r="A85" s="2" t="s">
        <v>202</v>
      </c>
      <c r="B85" s="1" t="s">
        <v>201</v>
      </c>
      <c r="C85" s="214" t="s">
        <v>24</v>
      </c>
      <c r="D85" s="205" t="s">
        <v>16</v>
      </c>
      <c r="E85" s="205" t="s">
        <v>16</v>
      </c>
      <c r="F85" s="205" t="s">
        <v>16</v>
      </c>
      <c r="G85" s="205" t="s">
        <v>16</v>
      </c>
      <c r="H85" s="205" t="s">
        <v>16</v>
      </c>
      <c r="I85" s="205" t="s">
        <v>16</v>
      </c>
      <c r="J85" s="203">
        <v>20</v>
      </c>
      <c r="K85" s="204">
        <v>15860</v>
      </c>
      <c r="L85" s="204">
        <v>19825</v>
      </c>
      <c r="M85" s="205" t="s">
        <v>16</v>
      </c>
      <c r="N85" s="205" t="s">
        <v>16</v>
      </c>
      <c r="O85" s="205" t="s">
        <v>16</v>
      </c>
      <c r="P85" s="205" t="s">
        <v>16</v>
      </c>
      <c r="Q85" s="205" t="s">
        <v>16</v>
      </c>
      <c r="R85" s="205" t="s">
        <v>16</v>
      </c>
      <c r="S85" s="203">
        <v>20</v>
      </c>
      <c r="T85" s="204">
        <v>9620</v>
      </c>
      <c r="U85" s="216">
        <v>12025</v>
      </c>
    </row>
    <row r="86" spans="1:21" ht="13.5" thickBot="1" x14ac:dyDescent="0.25">
      <c r="A86" s="2" t="s">
        <v>225</v>
      </c>
      <c r="B86" s="1" t="s">
        <v>224</v>
      </c>
      <c r="C86" s="214" t="s">
        <v>24</v>
      </c>
      <c r="D86" s="203">
        <v>21</v>
      </c>
      <c r="E86" s="204">
        <v>10101</v>
      </c>
      <c r="F86" s="204">
        <v>10101</v>
      </c>
      <c r="G86" s="205" t="s">
        <v>16</v>
      </c>
      <c r="H86" s="205" t="s">
        <v>16</v>
      </c>
      <c r="I86" s="205" t="s">
        <v>16</v>
      </c>
      <c r="J86" s="205" t="s">
        <v>16</v>
      </c>
      <c r="K86" s="205" t="s">
        <v>16</v>
      </c>
      <c r="L86" s="205" t="s">
        <v>16</v>
      </c>
      <c r="M86" s="205" t="s">
        <v>16</v>
      </c>
      <c r="N86" s="205" t="s">
        <v>16</v>
      </c>
      <c r="O86" s="205" t="s">
        <v>16</v>
      </c>
      <c r="P86" s="205" t="s">
        <v>16</v>
      </c>
      <c r="Q86" s="205" t="s">
        <v>16</v>
      </c>
      <c r="R86" s="205" t="s">
        <v>16</v>
      </c>
      <c r="S86" s="203">
        <v>16</v>
      </c>
      <c r="T86" s="204">
        <v>7696</v>
      </c>
      <c r="U86" s="216">
        <v>7696</v>
      </c>
    </row>
    <row r="87" spans="1:21" ht="13.5" thickBot="1" x14ac:dyDescent="0.25">
      <c r="A87" s="2" t="s">
        <v>241</v>
      </c>
      <c r="B87" s="1" t="s">
        <v>240</v>
      </c>
      <c r="C87" s="214" t="s">
        <v>24</v>
      </c>
      <c r="D87" s="205" t="s">
        <v>16</v>
      </c>
      <c r="E87" s="205" t="s">
        <v>16</v>
      </c>
      <c r="F87" s="205" t="s">
        <v>16</v>
      </c>
      <c r="G87" s="205" t="s">
        <v>16</v>
      </c>
      <c r="H87" s="205" t="s">
        <v>16</v>
      </c>
      <c r="I87" s="205" t="s">
        <v>16</v>
      </c>
      <c r="J87" s="205" t="s">
        <v>16</v>
      </c>
      <c r="K87" s="205" t="s">
        <v>16</v>
      </c>
      <c r="L87" s="205" t="s">
        <v>16</v>
      </c>
      <c r="M87" s="205" t="s">
        <v>16</v>
      </c>
      <c r="N87" s="205" t="s">
        <v>16</v>
      </c>
      <c r="O87" s="205" t="s">
        <v>16</v>
      </c>
      <c r="P87" s="205" t="s">
        <v>16</v>
      </c>
      <c r="Q87" s="205" t="s">
        <v>16</v>
      </c>
      <c r="R87" s="205" t="s">
        <v>16</v>
      </c>
      <c r="S87" s="203">
        <v>11</v>
      </c>
      <c r="T87" s="204">
        <v>7644</v>
      </c>
      <c r="U87" s="216">
        <v>4368</v>
      </c>
    </row>
    <row r="88" spans="1:21" ht="13.5" thickBot="1" x14ac:dyDescent="0.25">
      <c r="A88" s="2" t="s">
        <v>247</v>
      </c>
      <c r="B88" s="1" t="s">
        <v>246</v>
      </c>
      <c r="C88" s="214" t="s">
        <v>24</v>
      </c>
      <c r="D88" s="203">
        <v>0</v>
      </c>
      <c r="E88" s="204">
        <v>0</v>
      </c>
      <c r="F88" s="204">
        <v>0</v>
      </c>
      <c r="G88" s="203">
        <v>0</v>
      </c>
      <c r="H88" s="204">
        <v>0</v>
      </c>
      <c r="I88" s="204">
        <v>0</v>
      </c>
      <c r="J88" s="203">
        <v>0</v>
      </c>
      <c r="K88" s="204">
        <v>0</v>
      </c>
      <c r="L88" s="204">
        <v>0</v>
      </c>
      <c r="M88" s="203">
        <v>0</v>
      </c>
      <c r="N88" s="204">
        <v>0</v>
      </c>
      <c r="O88" s="204">
        <v>0</v>
      </c>
      <c r="P88" s="203">
        <v>0</v>
      </c>
      <c r="Q88" s="204">
        <v>0</v>
      </c>
      <c r="R88" s="204">
        <v>0</v>
      </c>
      <c r="S88" s="203">
        <v>29</v>
      </c>
      <c r="T88" s="204">
        <v>14790</v>
      </c>
      <c r="U88" s="216">
        <v>14790</v>
      </c>
    </row>
    <row r="89" spans="1:21" ht="13.5" thickBot="1" x14ac:dyDescent="0.25">
      <c r="A89" s="2" t="s">
        <v>249</v>
      </c>
      <c r="B89" s="1" t="s">
        <v>248</v>
      </c>
      <c r="C89" s="214" t="s">
        <v>24</v>
      </c>
      <c r="D89" s="205" t="s">
        <v>16</v>
      </c>
      <c r="E89" s="205" t="s">
        <v>16</v>
      </c>
      <c r="F89" s="205" t="s">
        <v>16</v>
      </c>
      <c r="G89" s="205" t="s">
        <v>16</v>
      </c>
      <c r="H89" s="205" t="s">
        <v>16</v>
      </c>
      <c r="I89" s="205" t="s">
        <v>16</v>
      </c>
      <c r="J89" s="203">
        <v>30</v>
      </c>
      <c r="K89" s="204">
        <v>19575</v>
      </c>
      <c r="L89" s="204">
        <v>22500</v>
      </c>
      <c r="M89" s="203">
        <v>0</v>
      </c>
      <c r="N89" s="204">
        <v>0</v>
      </c>
      <c r="O89" s="204">
        <v>0</v>
      </c>
      <c r="P89" s="205" t="s">
        <v>16</v>
      </c>
      <c r="Q89" s="205" t="s">
        <v>16</v>
      </c>
      <c r="R89" s="205" t="s">
        <v>16</v>
      </c>
      <c r="S89" s="203">
        <v>28</v>
      </c>
      <c r="T89" s="204">
        <v>12000</v>
      </c>
      <c r="U89" s="216">
        <v>14800</v>
      </c>
    </row>
    <row r="90" spans="1:21" ht="13.5" thickBot="1" x14ac:dyDescent="0.25">
      <c r="A90" s="2" t="s">
        <v>263</v>
      </c>
      <c r="B90" s="1" t="s">
        <v>262</v>
      </c>
      <c r="C90" s="214" t="s">
        <v>24</v>
      </c>
      <c r="D90" s="205" t="s">
        <v>16</v>
      </c>
      <c r="E90" s="205" t="s">
        <v>16</v>
      </c>
      <c r="F90" s="205" t="s">
        <v>16</v>
      </c>
      <c r="G90" s="205" t="s">
        <v>16</v>
      </c>
      <c r="H90" s="205" t="s">
        <v>16</v>
      </c>
      <c r="I90" s="205" t="s">
        <v>16</v>
      </c>
      <c r="J90" s="205" t="s">
        <v>16</v>
      </c>
      <c r="K90" s="205" t="s">
        <v>16</v>
      </c>
      <c r="L90" s="205" t="s">
        <v>16</v>
      </c>
      <c r="M90" s="205" t="s">
        <v>16</v>
      </c>
      <c r="N90" s="205" t="s">
        <v>16</v>
      </c>
      <c r="O90" s="205" t="s">
        <v>16</v>
      </c>
      <c r="P90" s="205" t="s">
        <v>16</v>
      </c>
      <c r="Q90" s="204">
        <v>8500</v>
      </c>
      <c r="R90" s="204">
        <v>8500</v>
      </c>
      <c r="S90" s="203">
        <v>18</v>
      </c>
      <c r="T90" s="204">
        <v>10000</v>
      </c>
      <c r="U90" s="216">
        <v>30000</v>
      </c>
    </row>
    <row r="91" spans="1:21" ht="13.5" thickBot="1" x14ac:dyDescent="0.25">
      <c r="A91" s="2" t="s">
        <v>293</v>
      </c>
      <c r="B91" s="1" t="s">
        <v>292</v>
      </c>
      <c r="C91" s="214" t="s">
        <v>24</v>
      </c>
      <c r="D91" s="203">
        <v>0</v>
      </c>
      <c r="E91" s="204">
        <v>0</v>
      </c>
      <c r="F91" s="204">
        <v>0</v>
      </c>
      <c r="G91" s="203">
        <v>0</v>
      </c>
      <c r="H91" s="204">
        <v>0</v>
      </c>
      <c r="I91" s="204">
        <v>0</v>
      </c>
      <c r="J91" s="203">
        <v>0</v>
      </c>
      <c r="K91" s="204">
        <v>0</v>
      </c>
      <c r="L91" s="204">
        <v>0</v>
      </c>
      <c r="M91" s="203">
        <v>0</v>
      </c>
      <c r="N91" s="204">
        <v>0</v>
      </c>
      <c r="O91" s="204">
        <v>0</v>
      </c>
      <c r="P91" s="203">
        <v>0</v>
      </c>
      <c r="Q91" s="204">
        <v>0</v>
      </c>
      <c r="R91" s="204">
        <v>0</v>
      </c>
      <c r="S91" s="203">
        <v>22</v>
      </c>
      <c r="T91" s="204">
        <v>5000</v>
      </c>
      <c r="U91" s="216">
        <v>21000</v>
      </c>
    </row>
    <row r="92" spans="1:21" ht="13.5" thickBot="1" x14ac:dyDescent="0.25">
      <c r="A92" s="2" t="s">
        <v>303</v>
      </c>
      <c r="B92" s="1" t="s">
        <v>302</v>
      </c>
      <c r="C92" s="214" t="s">
        <v>24</v>
      </c>
      <c r="D92" s="203">
        <v>15</v>
      </c>
      <c r="E92" s="204">
        <v>10500</v>
      </c>
      <c r="F92" s="204">
        <v>12600</v>
      </c>
      <c r="G92" s="205" t="s">
        <v>16</v>
      </c>
      <c r="H92" s="205" t="s">
        <v>16</v>
      </c>
      <c r="I92" s="205" t="s">
        <v>16</v>
      </c>
      <c r="J92" s="203">
        <v>14</v>
      </c>
      <c r="K92" s="204">
        <v>10500</v>
      </c>
      <c r="L92" s="204">
        <v>10850</v>
      </c>
      <c r="M92" s="203">
        <v>7</v>
      </c>
      <c r="N92" s="204">
        <v>5200</v>
      </c>
      <c r="O92" s="204">
        <v>5500</v>
      </c>
      <c r="P92" s="205" t="s">
        <v>16</v>
      </c>
      <c r="Q92" s="205" t="s">
        <v>16</v>
      </c>
      <c r="R92" s="205" t="s">
        <v>16</v>
      </c>
      <c r="S92" s="203">
        <v>4</v>
      </c>
      <c r="T92" s="204">
        <v>2300</v>
      </c>
      <c r="U92" s="216">
        <v>2750</v>
      </c>
    </row>
    <row r="93" spans="1:21" ht="13.5" thickBot="1" x14ac:dyDescent="0.25">
      <c r="A93" s="2" t="s">
        <v>347</v>
      </c>
      <c r="B93" s="1" t="s">
        <v>346</v>
      </c>
      <c r="C93" s="214" t="s">
        <v>24</v>
      </c>
      <c r="D93" s="205" t="s">
        <v>16</v>
      </c>
      <c r="E93" s="205" t="s">
        <v>16</v>
      </c>
      <c r="F93" s="205" t="s">
        <v>16</v>
      </c>
      <c r="G93" s="205" t="s">
        <v>16</v>
      </c>
      <c r="H93" s="205" t="s">
        <v>16</v>
      </c>
      <c r="I93" s="205" t="s">
        <v>16</v>
      </c>
      <c r="J93" s="205" t="s">
        <v>16</v>
      </c>
      <c r="K93" s="205" t="s">
        <v>16</v>
      </c>
      <c r="L93" s="205" t="s">
        <v>16</v>
      </c>
      <c r="M93" s="205" t="s">
        <v>16</v>
      </c>
      <c r="N93" s="205" t="s">
        <v>16</v>
      </c>
      <c r="O93" s="205" t="s">
        <v>16</v>
      </c>
      <c r="P93" s="205" t="s">
        <v>16</v>
      </c>
      <c r="Q93" s="205" t="s">
        <v>16</v>
      </c>
      <c r="R93" s="205" t="s">
        <v>16</v>
      </c>
      <c r="S93" s="205" t="s">
        <v>16</v>
      </c>
      <c r="T93" s="204">
        <v>2500</v>
      </c>
      <c r="U93" s="216">
        <v>7000</v>
      </c>
    </row>
    <row r="94" spans="1:21" ht="13.5" thickBot="1" x14ac:dyDescent="0.25">
      <c r="A94" s="2" t="s">
        <v>349</v>
      </c>
      <c r="B94" s="1" t="s">
        <v>348</v>
      </c>
      <c r="C94" s="214" t="s">
        <v>24</v>
      </c>
      <c r="D94" s="205" t="s">
        <v>16</v>
      </c>
      <c r="E94" s="205" t="s">
        <v>16</v>
      </c>
      <c r="F94" s="205" t="s">
        <v>16</v>
      </c>
      <c r="G94" s="205" t="s">
        <v>16</v>
      </c>
      <c r="H94" s="205" t="s">
        <v>16</v>
      </c>
      <c r="I94" s="205" t="s">
        <v>16</v>
      </c>
      <c r="J94" s="203">
        <v>30</v>
      </c>
      <c r="K94" s="204">
        <v>15600</v>
      </c>
      <c r="L94" s="204">
        <v>24960</v>
      </c>
      <c r="M94" s="205" t="s">
        <v>16</v>
      </c>
      <c r="N94" s="205" t="s">
        <v>16</v>
      </c>
      <c r="O94" s="205" t="s">
        <v>16</v>
      </c>
      <c r="P94" s="205" t="s">
        <v>16</v>
      </c>
      <c r="Q94" s="205" t="s">
        <v>16</v>
      </c>
      <c r="R94" s="205" t="s">
        <v>16</v>
      </c>
      <c r="S94" s="203">
        <v>18</v>
      </c>
      <c r="T94" s="204">
        <v>8658</v>
      </c>
      <c r="U94" s="216">
        <v>12636</v>
      </c>
    </row>
    <row r="95" spans="1:21" ht="13.5" thickBot="1" x14ac:dyDescent="0.25">
      <c r="A95" s="2" t="s">
        <v>359</v>
      </c>
      <c r="B95" s="1" t="s">
        <v>358</v>
      </c>
      <c r="C95" s="214" t="s">
        <v>24</v>
      </c>
      <c r="D95" s="203">
        <v>40</v>
      </c>
      <c r="E95" s="204">
        <v>0</v>
      </c>
      <c r="F95" s="204">
        <v>0</v>
      </c>
      <c r="G95" s="203">
        <v>0</v>
      </c>
      <c r="H95" s="204">
        <v>0</v>
      </c>
      <c r="I95" s="204">
        <v>0</v>
      </c>
      <c r="J95" s="203">
        <v>0</v>
      </c>
      <c r="K95" s="204">
        <v>0</v>
      </c>
      <c r="L95" s="204">
        <v>0</v>
      </c>
      <c r="M95" s="203">
        <v>0</v>
      </c>
      <c r="N95" s="204">
        <v>0</v>
      </c>
      <c r="O95" s="204">
        <v>0</v>
      </c>
      <c r="P95" s="203">
        <v>40</v>
      </c>
      <c r="Q95" s="204">
        <v>20000</v>
      </c>
      <c r="R95" s="204">
        <v>40000</v>
      </c>
      <c r="S95" s="203">
        <v>18</v>
      </c>
      <c r="T95" s="204">
        <v>5000</v>
      </c>
      <c r="U95" s="216">
        <v>20000</v>
      </c>
    </row>
    <row r="96" spans="1:21" ht="13.5" thickBot="1" x14ac:dyDescent="0.25">
      <c r="A96" s="2" t="s">
        <v>369</v>
      </c>
      <c r="B96" s="1" t="s">
        <v>368</v>
      </c>
      <c r="C96" s="214" t="s">
        <v>24</v>
      </c>
      <c r="D96" s="205" t="s">
        <v>16</v>
      </c>
      <c r="E96" s="205" t="s">
        <v>16</v>
      </c>
      <c r="F96" s="205" t="s">
        <v>16</v>
      </c>
      <c r="G96" s="205" t="s">
        <v>16</v>
      </c>
      <c r="H96" s="205" t="s">
        <v>16</v>
      </c>
      <c r="I96" s="205" t="s">
        <v>16</v>
      </c>
      <c r="J96" s="205" t="s">
        <v>16</v>
      </c>
      <c r="K96" s="205" t="s">
        <v>16</v>
      </c>
      <c r="L96" s="205" t="s">
        <v>16</v>
      </c>
      <c r="M96" s="205" t="s">
        <v>16</v>
      </c>
      <c r="N96" s="205" t="s">
        <v>16</v>
      </c>
      <c r="O96" s="205" t="s">
        <v>16</v>
      </c>
      <c r="P96" s="203">
        <v>1</v>
      </c>
      <c r="Q96" s="204">
        <v>465</v>
      </c>
      <c r="R96" s="204">
        <v>975</v>
      </c>
      <c r="S96" s="203">
        <v>18</v>
      </c>
      <c r="T96" s="204">
        <v>8402</v>
      </c>
      <c r="U96" s="216">
        <v>11500</v>
      </c>
    </row>
    <row r="97" spans="1:21" ht="13.5" thickBot="1" x14ac:dyDescent="0.25">
      <c r="A97" s="2" t="s">
        <v>377</v>
      </c>
      <c r="B97" s="1" t="s">
        <v>376</v>
      </c>
      <c r="C97" s="214" t="s">
        <v>24</v>
      </c>
      <c r="D97" s="203">
        <v>32</v>
      </c>
      <c r="E97" s="204">
        <v>18000</v>
      </c>
      <c r="F97" s="204">
        <v>25000</v>
      </c>
      <c r="G97" s="205" t="s">
        <v>16</v>
      </c>
      <c r="H97" s="205" t="s">
        <v>16</v>
      </c>
      <c r="I97" s="205" t="s">
        <v>16</v>
      </c>
      <c r="J97" s="205" t="s">
        <v>16</v>
      </c>
      <c r="K97" s="205" t="s">
        <v>16</v>
      </c>
      <c r="L97" s="205" t="s">
        <v>16</v>
      </c>
      <c r="M97" s="205" t="s">
        <v>16</v>
      </c>
      <c r="N97" s="205" t="s">
        <v>16</v>
      </c>
      <c r="O97" s="205" t="s">
        <v>16</v>
      </c>
      <c r="P97" s="205" t="s">
        <v>16</v>
      </c>
      <c r="Q97" s="205" t="s">
        <v>16</v>
      </c>
      <c r="R97" s="205" t="s">
        <v>16</v>
      </c>
      <c r="S97" s="203">
        <v>3</v>
      </c>
      <c r="T97" s="204">
        <v>2000</v>
      </c>
      <c r="U97" s="216">
        <v>3000</v>
      </c>
    </row>
    <row r="98" spans="1:21" ht="13.5" thickBot="1" x14ac:dyDescent="0.25">
      <c r="A98" s="2" t="s">
        <v>381</v>
      </c>
      <c r="B98" s="1" t="s">
        <v>380</v>
      </c>
      <c r="C98" s="214" t="s">
        <v>24</v>
      </c>
      <c r="D98" s="203">
        <v>0</v>
      </c>
      <c r="E98" s="204">
        <v>0</v>
      </c>
      <c r="F98" s="204">
        <v>0</v>
      </c>
      <c r="G98" s="203">
        <v>0</v>
      </c>
      <c r="H98" s="204">
        <v>0</v>
      </c>
      <c r="I98" s="204">
        <v>0</v>
      </c>
      <c r="J98" s="203">
        <v>0</v>
      </c>
      <c r="K98" s="204">
        <v>0</v>
      </c>
      <c r="L98" s="204">
        <v>0</v>
      </c>
      <c r="M98" s="203">
        <v>0</v>
      </c>
      <c r="N98" s="204">
        <v>0</v>
      </c>
      <c r="O98" s="204">
        <v>0</v>
      </c>
      <c r="P98" s="203">
        <v>0</v>
      </c>
      <c r="Q98" s="204">
        <v>0</v>
      </c>
      <c r="R98" s="204">
        <v>0</v>
      </c>
      <c r="S98" s="203">
        <v>18</v>
      </c>
      <c r="T98" s="204">
        <v>6000</v>
      </c>
      <c r="U98" s="216">
        <v>15000</v>
      </c>
    </row>
    <row r="99" spans="1:21" ht="13.5" thickBot="1" x14ac:dyDescent="0.25">
      <c r="A99" s="2" t="s">
        <v>387</v>
      </c>
      <c r="B99" s="1" t="s">
        <v>386</v>
      </c>
      <c r="C99" s="214" t="s">
        <v>24</v>
      </c>
      <c r="D99" s="205" t="s">
        <v>16</v>
      </c>
      <c r="E99" s="205" t="s">
        <v>16</v>
      </c>
      <c r="F99" s="205" t="s">
        <v>16</v>
      </c>
      <c r="G99" s="205" t="s">
        <v>16</v>
      </c>
      <c r="H99" s="205" t="s">
        <v>16</v>
      </c>
      <c r="I99" s="205" t="s">
        <v>16</v>
      </c>
      <c r="J99" s="205" t="s">
        <v>16</v>
      </c>
      <c r="K99" s="205" t="s">
        <v>16</v>
      </c>
      <c r="L99" s="205" t="s">
        <v>16</v>
      </c>
      <c r="M99" s="203">
        <v>33</v>
      </c>
      <c r="N99" s="204">
        <v>15873</v>
      </c>
      <c r="O99" s="204">
        <v>18876</v>
      </c>
      <c r="P99" s="205" t="s">
        <v>16</v>
      </c>
      <c r="Q99" s="205" t="s">
        <v>16</v>
      </c>
      <c r="R99" s="205" t="s">
        <v>16</v>
      </c>
      <c r="S99" s="205" t="s">
        <v>16</v>
      </c>
      <c r="T99" s="205" t="s">
        <v>16</v>
      </c>
      <c r="U99" s="215" t="s">
        <v>16</v>
      </c>
    </row>
    <row r="100" spans="1:21" ht="13.5" thickBot="1" x14ac:dyDescent="0.25">
      <c r="A100" s="2" t="s">
        <v>391</v>
      </c>
      <c r="B100" s="1" t="s">
        <v>390</v>
      </c>
      <c r="C100" s="214" t="s">
        <v>24</v>
      </c>
      <c r="D100" s="203">
        <v>25</v>
      </c>
      <c r="E100" s="204">
        <v>11000</v>
      </c>
      <c r="F100" s="204">
        <v>13000</v>
      </c>
      <c r="G100" s="205" t="s">
        <v>16</v>
      </c>
      <c r="H100" s="205" t="s">
        <v>16</v>
      </c>
      <c r="I100" s="205" t="s">
        <v>16</v>
      </c>
      <c r="J100" s="205" t="s">
        <v>16</v>
      </c>
      <c r="K100" s="205" t="s">
        <v>16</v>
      </c>
      <c r="L100" s="205" t="s">
        <v>16</v>
      </c>
      <c r="M100" s="205" t="s">
        <v>16</v>
      </c>
      <c r="N100" s="205" t="s">
        <v>16</v>
      </c>
      <c r="O100" s="205" t="s">
        <v>16</v>
      </c>
      <c r="P100" s="205" t="s">
        <v>16</v>
      </c>
      <c r="Q100" s="205" t="s">
        <v>16</v>
      </c>
      <c r="R100" s="205" t="s">
        <v>16</v>
      </c>
      <c r="S100" s="203">
        <v>15</v>
      </c>
      <c r="T100" s="204">
        <v>7000</v>
      </c>
      <c r="U100" s="216">
        <v>10000</v>
      </c>
    </row>
    <row r="101" spans="1:21" ht="13.5" thickBot="1" x14ac:dyDescent="0.25">
      <c r="A101" s="2" t="s">
        <v>397</v>
      </c>
      <c r="B101" s="1" t="s">
        <v>396</v>
      </c>
      <c r="C101" s="214" t="s">
        <v>24</v>
      </c>
      <c r="D101" s="203">
        <v>0</v>
      </c>
      <c r="E101" s="204">
        <v>0</v>
      </c>
      <c r="F101" s="204">
        <v>0</v>
      </c>
      <c r="G101" s="203">
        <v>0</v>
      </c>
      <c r="H101" s="204">
        <v>0</v>
      </c>
      <c r="I101" s="204">
        <v>0</v>
      </c>
      <c r="J101" s="203">
        <v>0</v>
      </c>
      <c r="K101" s="204">
        <v>0</v>
      </c>
      <c r="L101" s="204">
        <v>0</v>
      </c>
      <c r="M101" s="203">
        <v>0</v>
      </c>
      <c r="N101" s="204">
        <v>0</v>
      </c>
      <c r="O101" s="204">
        <v>0</v>
      </c>
      <c r="P101" s="203">
        <v>0</v>
      </c>
      <c r="Q101" s="204">
        <v>0</v>
      </c>
      <c r="R101" s="204">
        <v>0</v>
      </c>
      <c r="S101" s="207">
        <v>19</v>
      </c>
      <c r="T101" s="206">
        <v>9880</v>
      </c>
      <c r="U101" s="217">
        <v>14820</v>
      </c>
    </row>
    <row r="102" spans="1:21" ht="13.5" thickBot="1" x14ac:dyDescent="0.25">
      <c r="A102" s="2" t="s">
        <v>403</v>
      </c>
      <c r="B102" s="1" t="s">
        <v>402</v>
      </c>
      <c r="C102" s="214" t="s">
        <v>24</v>
      </c>
      <c r="D102" s="203">
        <v>0</v>
      </c>
      <c r="E102" s="204">
        <v>0</v>
      </c>
      <c r="F102" s="204">
        <v>0</v>
      </c>
      <c r="G102" s="205" t="s">
        <v>16</v>
      </c>
      <c r="H102" s="205" t="s">
        <v>16</v>
      </c>
      <c r="I102" s="205" t="s">
        <v>16</v>
      </c>
      <c r="J102" s="205" t="s">
        <v>16</v>
      </c>
      <c r="K102" s="205" t="s">
        <v>16</v>
      </c>
      <c r="L102" s="205" t="s">
        <v>16</v>
      </c>
      <c r="M102" s="205" t="s">
        <v>16</v>
      </c>
      <c r="N102" s="205" t="s">
        <v>16</v>
      </c>
      <c r="O102" s="205" t="s">
        <v>16</v>
      </c>
      <c r="P102" s="205" t="s">
        <v>16</v>
      </c>
      <c r="Q102" s="205" t="s">
        <v>16</v>
      </c>
      <c r="R102" s="205" t="s">
        <v>16</v>
      </c>
      <c r="S102" s="203">
        <v>8</v>
      </c>
      <c r="T102" s="204">
        <v>2129</v>
      </c>
      <c r="U102" s="216">
        <v>7137</v>
      </c>
    </row>
    <row r="103" spans="1:21" ht="13.5" thickBot="1" x14ac:dyDescent="0.25">
      <c r="A103" s="2" t="s">
        <v>407</v>
      </c>
      <c r="B103" s="1" t="s">
        <v>406</v>
      </c>
      <c r="C103" s="214" t="s">
        <v>24</v>
      </c>
      <c r="D103" s="203">
        <v>20</v>
      </c>
      <c r="E103" s="204">
        <v>11360</v>
      </c>
      <c r="F103" s="204">
        <v>11360</v>
      </c>
      <c r="G103" s="203">
        <v>0</v>
      </c>
      <c r="H103" s="204">
        <v>0</v>
      </c>
      <c r="I103" s="204">
        <v>0</v>
      </c>
      <c r="J103" s="203">
        <v>0</v>
      </c>
      <c r="K103" s="204">
        <v>0</v>
      </c>
      <c r="L103" s="204">
        <v>0</v>
      </c>
      <c r="M103" s="203">
        <v>0</v>
      </c>
      <c r="N103" s="204">
        <v>0</v>
      </c>
      <c r="O103" s="204">
        <v>0</v>
      </c>
      <c r="P103" s="203">
        <v>0</v>
      </c>
      <c r="Q103" s="204">
        <v>0</v>
      </c>
      <c r="R103" s="204">
        <v>0</v>
      </c>
      <c r="S103" s="203">
        <v>14</v>
      </c>
      <c r="T103" s="204">
        <v>6734</v>
      </c>
      <c r="U103" s="216">
        <v>6734</v>
      </c>
    </row>
    <row r="104" spans="1:21" ht="13.5" thickBot="1" x14ac:dyDescent="0.25">
      <c r="A104" s="2" t="s">
        <v>411</v>
      </c>
      <c r="B104" s="1" t="s">
        <v>410</v>
      </c>
      <c r="C104" s="214" t="s">
        <v>24</v>
      </c>
      <c r="D104" s="205" t="s">
        <v>16</v>
      </c>
      <c r="E104" s="205" t="s">
        <v>16</v>
      </c>
      <c r="F104" s="205" t="s">
        <v>16</v>
      </c>
      <c r="G104" s="205" t="s">
        <v>16</v>
      </c>
      <c r="H104" s="205" t="s">
        <v>16</v>
      </c>
      <c r="I104" s="205" t="s">
        <v>16</v>
      </c>
      <c r="J104" s="205" t="s">
        <v>16</v>
      </c>
      <c r="K104" s="205" t="s">
        <v>16</v>
      </c>
      <c r="L104" s="205" t="s">
        <v>16</v>
      </c>
      <c r="M104" s="205" t="s">
        <v>16</v>
      </c>
      <c r="N104" s="205" t="s">
        <v>16</v>
      </c>
      <c r="O104" s="205" t="s">
        <v>16</v>
      </c>
      <c r="P104" s="205" t="s">
        <v>16</v>
      </c>
      <c r="Q104" s="205" t="s">
        <v>16</v>
      </c>
      <c r="R104" s="205" t="s">
        <v>16</v>
      </c>
      <c r="S104" s="203">
        <v>11</v>
      </c>
      <c r="T104" s="204">
        <v>4000</v>
      </c>
      <c r="U104" s="216">
        <v>10000</v>
      </c>
    </row>
    <row r="105" spans="1:21" ht="13.5" thickBot="1" x14ac:dyDescent="0.25">
      <c r="A105" s="2" t="s">
        <v>413</v>
      </c>
      <c r="B105" s="1" t="s">
        <v>412</v>
      </c>
      <c r="C105" s="214" t="s">
        <v>24</v>
      </c>
      <c r="D105" s="205" t="s">
        <v>16</v>
      </c>
      <c r="E105" s="205" t="s">
        <v>16</v>
      </c>
      <c r="F105" s="205" t="s">
        <v>16</v>
      </c>
      <c r="G105" s="203">
        <v>40</v>
      </c>
      <c r="H105" s="204">
        <v>21632</v>
      </c>
      <c r="I105" s="204">
        <v>22048</v>
      </c>
      <c r="J105" s="203">
        <v>35</v>
      </c>
      <c r="K105" s="204">
        <v>15834</v>
      </c>
      <c r="L105" s="204">
        <v>16471</v>
      </c>
      <c r="M105" s="203">
        <v>35</v>
      </c>
      <c r="N105" s="204">
        <v>15834</v>
      </c>
      <c r="O105" s="204">
        <v>16198</v>
      </c>
      <c r="P105" s="205" t="s">
        <v>16</v>
      </c>
      <c r="Q105" s="205" t="s">
        <v>16</v>
      </c>
      <c r="R105" s="205" t="s">
        <v>16</v>
      </c>
      <c r="S105" s="203">
        <v>20</v>
      </c>
      <c r="T105" s="204">
        <v>7873</v>
      </c>
      <c r="U105" s="216">
        <v>9256</v>
      </c>
    </row>
    <row r="106" spans="1:21" ht="13.5" thickBot="1" x14ac:dyDescent="0.25">
      <c r="A106" s="2" t="s">
        <v>415</v>
      </c>
      <c r="B106" s="1" t="s">
        <v>414</v>
      </c>
      <c r="C106" s="214" t="s">
        <v>24</v>
      </c>
      <c r="D106" s="205" t="s">
        <v>16</v>
      </c>
      <c r="E106" s="205" t="s">
        <v>16</v>
      </c>
      <c r="F106" s="205" t="s">
        <v>16</v>
      </c>
      <c r="G106" s="205" t="s">
        <v>16</v>
      </c>
      <c r="H106" s="205" t="s">
        <v>16</v>
      </c>
      <c r="I106" s="205" t="s">
        <v>16</v>
      </c>
      <c r="J106" s="203">
        <v>30</v>
      </c>
      <c r="K106" s="204">
        <v>12800</v>
      </c>
      <c r="L106" s="204">
        <v>18800</v>
      </c>
      <c r="M106" s="203">
        <v>23</v>
      </c>
      <c r="N106" s="204">
        <v>10200</v>
      </c>
      <c r="O106" s="204">
        <v>12900</v>
      </c>
      <c r="P106" s="205" t="s">
        <v>16</v>
      </c>
      <c r="Q106" s="205" t="s">
        <v>16</v>
      </c>
      <c r="R106" s="205" t="s">
        <v>16</v>
      </c>
      <c r="S106" s="203">
        <v>8</v>
      </c>
      <c r="T106" s="204">
        <v>3652</v>
      </c>
      <c r="U106" s="216">
        <v>4200</v>
      </c>
    </row>
    <row r="107" spans="1:21" ht="13.5" thickBot="1" x14ac:dyDescent="0.25">
      <c r="A107" s="2" t="s">
        <v>429</v>
      </c>
      <c r="B107" s="1" t="s">
        <v>428</v>
      </c>
      <c r="C107" s="214" t="s">
        <v>24</v>
      </c>
      <c r="D107" s="203">
        <v>0</v>
      </c>
      <c r="E107" s="204">
        <v>0</v>
      </c>
      <c r="F107" s="204">
        <v>0</v>
      </c>
      <c r="G107" s="203">
        <v>0</v>
      </c>
      <c r="H107" s="204">
        <v>0</v>
      </c>
      <c r="I107" s="204">
        <v>0</v>
      </c>
      <c r="J107" s="203">
        <v>34</v>
      </c>
      <c r="K107" s="204">
        <v>18</v>
      </c>
      <c r="L107" s="204">
        <v>26520</v>
      </c>
      <c r="M107" s="203">
        <v>15</v>
      </c>
      <c r="N107" s="204">
        <v>5000</v>
      </c>
      <c r="O107" s="204">
        <v>8840</v>
      </c>
      <c r="P107" s="203">
        <v>0</v>
      </c>
      <c r="Q107" s="204">
        <v>0</v>
      </c>
      <c r="R107" s="204">
        <v>0</v>
      </c>
      <c r="S107" s="203">
        <v>10</v>
      </c>
      <c r="T107" s="204">
        <v>3500</v>
      </c>
      <c r="U107" s="216">
        <v>4500</v>
      </c>
    </row>
    <row r="108" spans="1:21" ht="13.5" thickBot="1" x14ac:dyDescent="0.25">
      <c r="A108" s="2" t="s">
        <v>441</v>
      </c>
      <c r="B108" s="1" t="s">
        <v>440</v>
      </c>
      <c r="C108" s="214" t="s">
        <v>24</v>
      </c>
      <c r="D108" s="203">
        <v>18</v>
      </c>
      <c r="E108" s="204">
        <v>11925</v>
      </c>
      <c r="F108" s="204">
        <v>12448</v>
      </c>
      <c r="G108" s="203">
        <v>25</v>
      </c>
      <c r="H108" s="204">
        <v>17810</v>
      </c>
      <c r="I108" s="204">
        <v>20540</v>
      </c>
      <c r="J108" s="203">
        <v>20</v>
      </c>
      <c r="K108" s="204">
        <v>12375</v>
      </c>
      <c r="L108" s="204">
        <v>12736</v>
      </c>
      <c r="M108" s="203">
        <v>20</v>
      </c>
      <c r="N108" s="204">
        <v>10800</v>
      </c>
      <c r="O108" s="204">
        <v>11980</v>
      </c>
      <c r="P108" s="205" t="s">
        <v>16</v>
      </c>
      <c r="Q108" s="205" t="s">
        <v>16</v>
      </c>
      <c r="R108" s="205" t="s">
        <v>16</v>
      </c>
      <c r="S108" s="203">
        <v>25</v>
      </c>
      <c r="T108" s="204">
        <v>17784</v>
      </c>
      <c r="U108" s="216">
        <v>18050</v>
      </c>
    </row>
    <row r="109" spans="1:21" ht="13.5" thickBot="1" x14ac:dyDescent="0.25">
      <c r="A109" s="2" t="s">
        <v>443</v>
      </c>
      <c r="B109" s="1" t="s">
        <v>442</v>
      </c>
      <c r="C109" s="214" t="s">
        <v>24</v>
      </c>
      <c r="D109" s="205" t="s">
        <v>16</v>
      </c>
      <c r="E109" s="205" t="s">
        <v>16</v>
      </c>
      <c r="F109" s="205" t="s">
        <v>16</v>
      </c>
      <c r="G109" s="205" t="s">
        <v>16</v>
      </c>
      <c r="H109" s="205" t="s">
        <v>16</v>
      </c>
      <c r="I109" s="205" t="s">
        <v>16</v>
      </c>
      <c r="J109" s="203">
        <v>20</v>
      </c>
      <c r="K109" s="204">
        <v>14560</v>
      </c>
      <c r="L109" s="204">
        <v>14560</v>
      </c>
      <c r="M109" s="205" t="s">
        <v>16</v>
      </c>
      <c r="N109" s="205" t="s">
        <v>16</v>
      </c>
      <c r="O109" s="205" t="s">
        <v>16</v>
      </c>
      <c r="P109" s="205" t="s">
        <v>16</v>
      </c>
      <c r="Q109" s="205" t="s">
        <v>16</v>
      </c>
      <c r="R109" s="205" t="s">
        <v>16</v>
      </c>
      <c r="S109" s="207">
        <v>36</v>
      </c>
      <c r="T109" s="206">
        <v>26208</v>
      </c>
      <c r="U109" s="217">
        <v>26208</v>
      </c>
    </row>
    <row r="110" spans="1:21" ht="13.5" thickBot="1" x14ac:dyDescent="0.25">
      <c r="A110" s="2" t="s">
        <v>465</v>
      </c>
      <c r="B110" s="1" t="s">
        <v>464</v>
      </c>
      <c r="C110" s="214" t="s">
        <v>24</v>
      </c>
      <c r="D110" s="205" t="s">
        <v>16</v>
      </c>
      <c r="E110" s="205" t="s">
        <v>16</v>
      </c>
      <c r="F110" s="205" t="s">
        <v>16</v>
      </c>
      <c r="G110" s="205" t="s">
        <v>16</v>
      </c>
      <c r="H110" s="205" t="s">
        <v>16</v>
      </c>
      <c r="I110" s="205" t="s">
        <v>16</v>
      </c>
      <c r="J110" s="205" t="s">
        <v>16</v>
      </c>
      <c r="K110" s="205" t="s">
        <v>16</v>
      </c>
      <c r="L110" s="205" t="s">
        <v>16</v>
      </c>
      <c r="M110" s="203">
        <v>17</v>
      </c>
      <c r="N110" s="204">
        <v>8398</v>
      </c>
      <c r="O110" s="204">
        <v>8398</v>
      </c>
      <c r="P110" s="205" t="s">
        <v>16</v>
      </c>
      <c r="Q110" s="205" t="s">
        <v>16</v>
      </c>
      <c r="R110" s="205" t="s">
        <v>16</v>
      </c>
      <c r="S110" s="203">
        <v>6</v>
      </c>
      <c r="T110" s="204">
        <v>2933</v>
      </c>
      <c r="U110" s="216">
        <v>2933</v>
      </c>
    </row>
    <row r="111" spans="1:21" ht="13.5" thickBot="1" x14ac:dyDescent="0.25">
      <c r="A111" s="2" t="s">
        <v>472</v>
      </c>
      <c r="B111" s="1" t="s">
        <v>471</v>
      </c>
      <c r="C111" s="214" t="s">
        <v>24</v>
      </c>
      <c r="D111" s="203">
        <v>0</v>
      </c>
      <c r="E111" s="204">
        <v>0</v>
      </c>
      <c r="F111" s="204">
        <v>0</v>
      </c>
      <c r="G111" s="203">
        <v>0</v>
      </c>
      <c r="H111" s="204">
        <v>0</v>
      </c>
      <c r="I111" s="204">
        <v>0</v>
      </c>
      <c r="J111" s="203">
        <v>0</v>
      </c>
      <c r="K111" s="204">
        <v>0</v>
      </c>
      <c r="L111" s="204">
        <v>0</v>
      </c>
      <c r="M111" s="203">
        <v>0</v>
      </c>
      <c r="N111" s="204">
        <v>0</v>
      </c>
      <c r="O111" s="204">
        <v>0</v>
      </c>
      <c r="P111" s="203">
        <v>0</v>
      </c>
      <c r="Q111" s="204">
        <v>0</v>
      </c>
      <c r="R111" s="204">
        <v>0</v>
      </c>
      <c r="S111" s="203">
        <v>9</v>
      </c>
      <c r="T111" s="204">
        <v>4862</v>
      </c>
      <c r="U111" s="216">
        <v>5862</v>
      </c>
    </row>
    <row r="112" spans="1:21" ht="13.5" thickBot="1" x14ac:dyDescent="0.25">
      <c r="A112" s="2" t="s">
        <v>478</v>
      </c>
      <c r="B112" s="1" t="s">
        <v>477</v>
      </c>
      <c r="C112" s="214" t="s">
        <v>24</v>
      </c>
      <c r="D112" s="203">
        <v>0</v>
      </c>
      <c r="E112" s="204">
        <v>0</v>
      </c>
      <c r="F112" s="204">
        <v>0</v>
      </c>
      <c r="G112" s="203">
        <v>15</v>
      </c>
      <c r="H112" s="204">
        <v>6240</v>
      </c>
      <c r="I112" s="204">
        <v>14560</v>
      </c>
      <c r="J112" s="203">
        <v>34</v>
      </c>
      <c r="K112" s="204">
        <v>19000</v>
      </c>
      <c r="L112" s="204">
        <v>24752</v>
      </c>
      <c r="M112" s="203">
        <v>0</v>
      </c>
      <c r="N112" s="204">
        <v>0</v>
      </c>
      <c r="O112" s="204">
        <v>0</v>
      </c>
      <c r="P112" s="203">
        <v>0</v>
      </c>
      <c r="Q112" s="204">
        <v>0</v>
      </c>
      <c r="R112" s="204">
        <v>0</v>
      </c>
      <c r="S112" s="203">
        <v>0</v>
      </c>
      <c r="T112" s="204">
        <v>0</v>
      </c>
      <c r="U112" s="216">
        <v>0</v>
      </c>
    </row>
    <row r="113" spans="1:21" ht="13.5" thickBot="1" x14ac:dyDescent="0.25">
      <c r="A113" s="2" t="s">
        <v>482</v>
      </c>
      <c r="B113" s="1" t="s">
        <v>481</v>
      </c>
      <c r="C113" s="214" t="s">
        <v>24</v>
      </c>
      <c r="D113" s="205" t="s">
        <v>16</v>
      </c>
      <c r="E113" s="205" t="s">
        <v>16</v>
      </c>
      <c r="F113" s="205" t="s">
        <v>16</v>
      </c>
      <c r="G113" s="205" t="s">
        <v>16</v>
      </c>
      <c r="H113" s="205" t="s">
        <v>16</v>
      </c>
      <c r="I113" s="205" t="s">
        <v>16</v>
      </c>
      <c r="J113" s="205" t="s">
        <v>16</v>
      </c>
      <c r="K113" s="205" t="s">
        <v>16</v>
      </c>
      <c r="L113" s="205" t="s">
        <v>16</v>
      </c>
      <c r="M113" s="205" t="s">
        <v>16</v>
      </c>
      <c r="N113" s="205" t="s">
        <v>16</v>
      </c>
      <c r="O113" s="205" t="s">
        <v>16</v>
      </c>
      <c r="P113" s="205" t="s">
        <v>16</v>
      </c>
      <c r="Q113" s="205" t="s">
        <v>16</v>
      </c>
      <c r="R113" s="205" t="s">
        <v>16</v>
      </c>
      <c r="S113" s="203">
        <v>20</v>
      </c>
      <c r="T113" s="204">
        <v>7000</v>
      </c>
      <c r="U113" s="216">
        <v>10920</v>
      </c>
    </row>
    <row r="114" spans="1:21" ht="13.5" thickBot="1" x14ac:dyDescent="0.25">
      <c r="A114" s="2" t="s">
        <v>494</v>
      </c>
      <c r="B114" s="1" t="s">
        <v>493</v>
      </c>
      <c r="C114" s="214" t="s">
        <v>24</v>
      </c>
      <c r="D114" s="203">
        <v>0</v>
      </c>
      <c r="E114" s="204">
        <v>0</v>
      </c>
      <c r="F114" s="204">
        <v>0</v>
      </c>
      <c r="G114" s="203">
        <v>0</v>
      </c>
      <c r="H114" s="204">
        <v>0</v>
      </c>
      <c r="I114" s="204">
        <v>0</v>
      </c>
      <c r="J114" s="203">
        <v>0</v>
      </c>
      <c r="K114" s="204">
        <v>11500</v>
      </c>
      <c r="L114" s="204">
        <v>11500</v>
      </c>
      <c r="M114" s="203">
        <v>34</v>
      </c>
      <c r="N114" s="204">
        <v>10000</v>
      </c>
      <c r="O114" s="204">
        <v>10000</v>
      </c>
      <c r="P114" s="203">
        <v>0</v>
      </c>
      <c r="Q114" s="204">
        <v>0</v>
      </c>
      <c r="R114" s="204">
        <v>0</v>
      </c>
      <c r="S114" s="203">
        <v>20</v>
      </c>
      <c r="T114" s="204">
        <v>8300</v>
      </c>
      <c r="U114" s="215" t="s">
        <v>16</v>
      </c>
    </row>
    <row r="115" spans="1:21" ht="13.5" thickBot="1" x14ac:dyDescent="0.25">
      <c r="A115" s="2" t="s">
        <v>496</v>
      </c>
      <c r="B115" s="1" t="s">
        <v>495</v>
      </c>
      <c r="C115" s="214" t="s">
        <v>24</v>
      </c>
      <c r="D115" s="205" t="s">
        <v>16</v>
      </c>
      <c r="E115" s="205" t="s">
        <v>16</v>
      </c>
      <c r="F115" s="205" t="s">
        <v>16</v>
      </c>
      <c r="G115" s="205" t="s">
        <v>16</v>
      </c>
      <c r="H115" s="205" t="s">
        <v>16</v>
      </c>
      <c r="I115" s="205" t="s">
        <v>16</v>
      </c>
      <c r="J115" s="203">
        <v>16</v>
      </c>
      <c r="K115" s="204">
        <v>9000</v>
      </c>
      <c r="L115" s="204">
        <v>12000</v>
      </c>
      <c r="M115" s="203">
        <v>12</v>
      </c>
      <c r="N115" s="204">
        <v>3000</v>
      </c>
      <c r="O115" s="204">
        <v>8000</v>
      </c>
      <c r="P115" s="205" t="s">
        <v>16</v>
      </c>
      <c r="Q115" s="205" t="s">
        <v>16</v>
      </c>
      <c r="R115" s="205" t="s">
        <v>16</v>
      </c>
      <c r="S115" s="205" t="s">
        <v>16</v>
      </c>
      <c r="T115" s="205" t="s">
        <v>16</v>
      </c>
      <c r="U115" s="215" t="s">
        <v>16</v>
      </c>
    </row>
    <row r="116" spans="1:21" ht="13.5" thickBot="1" x14ac:dyDescent="0.25">
      <c r="A116" s="2" t="s">
        <v>504</v>
      </c>
      <c r="B116" s="1" t="s">
        <v>503</v>
      </c>
      <c r="C116" s="214" t="s">
        <v>24</v>
      </c>
      <c r="D116" s="203">
        <v>22</v>
      </c>
      <c r="E116" s="204">
        <v>8325</v>
      </c>
      <c r="F116" s="204">
        <v>9198</v>
      </c>
      <c r="G116" s="205" t="s">
        <v>16</v>
      </c>
      <c r="H116" s="205" t="s">
        <v>16</v>
      </c>
      <c r="I116" s="205" t="s">
        <v>16</v>
      </c>
      <c r="J116" s="203">
        <v>26</v>
      </c>
      <c r="K116" s="204">
        <v>8513</v>
      </c>
      <c r="L116" s="204">
        <v>10204</v>
      </c>
      <c r="M116" s="205" t="s">
        <v>16</v>
      </c>
      <c r="N116" s="205" t="s">
        <v>16</v>
      </c>
      <c r="O116" s="205" t="s">
        <v>16</v>
      </c>
      <c r="P116" s="205" t="s">
        <v>16</v>
      </c>
      <c r="Q116" s="205" t="s">
        <v>16</v>
      </c>
      <c r="R116" s="205" t="s">
        <v>16</v>
      </c>
      <c r="S116" s="205" t="s">
        <v>16</v>
      </c>
      <c r="T116" s="205" t="s">
        <v>16</v>
      </c>
      <c r="U116" s="215" t="s">
        <v>16</v>
      </c>
    </row>
    <row r="117" spans="1:21" ht="13.5" thickBot="1" x14ac:dyDescent="0.25">
      <c r="A117" s="2" t="s">
        <v>506</v>
      </c>
      <c r="B117" s="1" t="s">
        <v>505</v>
      </c>
      <c r="C117" s="214" t="s">
        <v>24</v>
      </c>
      <c r="D117" s="205" t="s">
        <v>16</v>
      </c>
      <c r="E117" s="205" t="s">
        <v>16</v>
      </c>
      <c r="F117" s="205" t="s">
        <v>16</v>
      </c>
      <c r="G117" s="205" t="s">
        <v>16</v>
      </c>
      <c r="H117" s="205" t="s">
        <v>16</v>
      </c>
      <c r="I117" s="205" t="s">
        <v>16</v>
      </c>
      <c r="J117" s="205" t="s">
        <v>16</v>
      </c>
      <c r="K117" s="205" t="s">
        <v>16</v>
      </c>
      <c r="L117" s="205" t="s">
        <v>16</v>
      </c>
      <c r="M117" s="205" t="s">
        <v>16</v>
      </c>
      <c r="N117" s="205" t="s">
        <v>16</v>
      </c>
      <c r="O117" s="205" t="s">
        <v>16</v>
      </c>
      <c r="P117" s="205" t="s">
        <v>16</v>
      </c>
      <c r="Q117" s="205" t="s">
        <v>16</v>
      </c>
      <c r="R117" s="205" t="s">
        <v>16</v>
      </c>
      <c r="S117" s="203">
        <v>52</v>
      </c>
      <c r="T117" s="204">
        <v>28120</v>
      </c>
      <c r="U117" s="216">
        <v>37805</v>
      </c>
    </row>
    <row r="118" spans="1:21" ht="13.5" thickBot="1" x14ac:dyDescent="0.25">
      <c r="A118" s="2" t="s">
        <v>512</v>
      </c>
      <c r="B118" s="1" t="s">
        <v>511</v>
      </c>
      <c r="C118" s="214" t="s">
        <v>24</v>
      </c>
      <c r="D118" s="203">
        <v>20</v>
      </c>
      <c r="E118" s="204">
        <v>2875</v>
      </c>
      <c r="F118" s="204">
        <v>10373</v>
      </c>
      <c r="G118" s="203">
        <v>0</v>
      </c>
      <c r="H118" s="204">
        <v>0</v>
      </c>
      <c r="I118" s="204">
        <v>0</v>
      </c>
      <c r="J118" s="203">
        <v>0</v>
      </c>
      <c r="K118" s="204">
        <v>0</v>
      </c>
      <c r="L118" s="204">
        <v>0</v>
      </c>
      <c r="M118" s="203">
        <v>0</v>
      </c>
      <c r="N118" s="204">
        <v>0</v>
      </c>
      <c r="O118" s="204">
        <v>0</v>
      </c>
      <c r="P118" s="203">
        <v>0</v>
      </c>
      <c r="Q118" s="204">
        <v>0</v>
      </c>
      <c r="R118" s="204">
        <v>0</v>
      </c>
      <c r="S118" s="203">
        <v>10</v>
      </c>
      <c r="T118" s="204">
        <v>2875</v>
      </c>
      <c r="U118" s="216">
        <v>9000</v>
      </c>
    </row>
    <row r="119" spans="1:21" ht="13.5" thickBot="1" x14ac:dyDescent="0.25">
      <c r="A119" s="2" t="s">
        <v>530</v>
      </c>
      <c r="B119" s="1" t="s">
        <v>529</v>
      </c>
      <c r="C119" s="214" t="s">
        <v>24</v>
      </c>
      <c r="D119" s="203">
        <v>0</v>
      </c>
      <c r="E119" s="204">
        <v>0</v>
      </c>
      <c r="F119" s="204">
        <v>0</v>
      </c>
      <c r="G119" s="203">
        <v>0</v>
      </c>
      <c r="H119" s="204">
        <v>0</v>
      </c>
      <c r="I119" s="204">
        <v>0</v>
      </c>
      <c r="J119" s="203">
        <v>0</v>
      </c>
      <c r="K119" s="204">
        <v>0</v>
      </c>
      <c r="L119" s="204">
        <v>0</v>
      </c>
      <c r="M119" s="203">
        <v>0</v>
      </c>
      <c r="N119" s="204">
        <v>0</v>
      </c>
      <c r="O119" s="204">
        <v>0</v>
      </c>
      <c r="P119" s="203">
        <v>0</v>
      </c>
      <c r="Q119" s="204">
        <v>0</v>
      </c>
      <c r="R119" s="204">
        <v>0</v>
      </c>
      <c r="S119" s="203">
        <v>30</v>
      </c>
      <c r="T119" s="204">
        <v>2701</v>
      </c>
      <c r="U119" s="216">
        <v>22955</v>
      </c>
    </row>
    <row r="120" spans="1:21" ht="13.5" thickBot="1" x14ac:dyDescent="0.25">
      <c r="A120" s="2" t="s">
        <v>532</v>
      </c>
      <c r="B120" s="1" t="s">
        <v>531</v>
      </c>
      <c r="C120" s="214" t="s">
        <v>24</v>
      </c>
      <c r="D120" s="203">
        <v>45</v>
      </c>
      <c r="E120" s="204">
        <v>25000</v>
      </c>
      <c r="F120" s="204">
        <v>30000</v>
      </c>
      <c r="G120" s="203">
        <v>45</v>
      </c>
      <c r="H120" s="204">
        <v>25000</v>
      </c>
      <c r="I120" s="204">
        <v>35000</v>
      </c>
      <c r="J120" s="205" t="s">
        <v>16</v>
      </c>
      <c r="K120" s="205" t="s">
        <v>16</v>
      </c>
      <c r="L120" s="205" t="s">
        <v>16</v>
      </c>
      <c r="M120" s="205" t="s">
        <v>16</v>
      </c>
      <c r="N120" s="205" t="s">
        <v>16</v>
      </c>
      <c r="O120" s="205" t="s">
        <v>16</v>
      </c>
      <c r="P120" s="203">
        <v>14</v>
      </c>
      <c r="Q120" s="204">
        <v>12000</v>
      </c>
      <c r="R120" s="204">
        <v>18200</v>
      </c>
      <c r="S120" s="203">
        <v>33</v>
      </c>
      <c r="T120" s="204">
        <v>14500</v>
      </c>
      <c r="U120" s="216">
        <v>19000</v>
      </c>
    </row>
    <row r="121" spans="1:21" ht="13.5" thickBot="1" x14ac:dyDescent="0.25">
      <c r="A121" s="2" t="s">
        <v>544</v>
      </c>
      <c r="B121" s="1" t="s">
        <v>543</v>
      </c>
      <c r="C121" s="214" t="s">
        <v>24</v>
      </c>
      <c r="D121" s="203">
        <v>35</v>
      </c>
      <c r="E121" s="204">
        <v>18000</v>
      </c>
      <c r="F121" s="204">
        <v>25000</v>
      </c>
      <c r="G121" s="203">
        <v>1</v>
      </c>
      <c r="H121" s="204">
        <v>100</v>
      </c>
      <c r="I121" s="204">
        <v>100</v>
      </c>
      <c r="J121" s="203">
        <v>1</v>
      </c>
      <c r="K121" s="204">
        <v>100</v>
      </c>
      <c r="L121" s="204">
        <v>100</v>
      </c>
      <c r="M121" s="203">
        <v>1</v>
      </c>
      <c r="N121" s="204">
        <v>100</v>
      </c>
      <c r="O121" s="204">
        <v>100</v>
      </c>
      <c r="P121" s="203">
        <v>1</v>
      </c>
      <c r="Q121" s="204">
        <v>100</v>
      </c>
      <c r="R121" s="204">
        <v>100</v>
      </c>
      <c r="S121" s="203">
        <v>20</v>
      </c>
      <c r="T121" s="204">
        <v>10000</v>
      </c>
      <c r="U121" s="216">
        <v>16000</v>
      </c>
    </row>
    <row r="122" spans="1:21" ht="13.5" thickBot="1" x14ac:dyDescent="0.25">
      <c r="A122" s="2" t="s">
        <v>546</v>
      </c>
      <c r="B122" s="1" t="s">
        <v>545</v>
      </c>
      <c r="C122" s="214" t="s">
        <v>24</v>
      </c>
      <c r="D122" s="203">
        <v>32</v>
      </c>
      <c r="E122" s="204">
        <v>0</v>
      </c>
      <c r="F122" s="204">
        <v>0</v>
      </c>
      <c r="G122" s="203">
        <v>0</v>
      </c>
      <c r="H122" s="204">
        <v>0</v>
      </c>
      <c r="I122" s="204">
        <v>0</v>
      </c>
      <c r="J122" s="203">
        <v>32</v>
      </c>
      <c r="K122" s="204">
        <v>19968</v>
      </c>
      <c r="L122" s="204">
        <v>22000</v>
      </c>
      <c r="M122" s="203">
        <v>32</v>
      </c>
      <c r="N122" s="204">
        <v>18304</v>
      </c>
      <c r="O122" s="204">
        <v>20000</v>
      </c>
      <c r="P122" s="203">
        <v>0</v>
      </c>
      <c r="Q122" s="204">
        <v>0</v>
      </c>
      <c r="R122" s="204">
        <v>0</v>
      </c>
      <c r="S122" s="203">
        <v>30</v>
      </c>
      <c r="T122" s="204">
        <v>14820</v>
      </c>
      <c r="U122" s="216">
        <v>17056</v>
      </c>
    </row>
    <row r="123" spans="1:21" ht="13.5" thickBot="1" x14ac:dyDescent="0.25">
      <c r="A123" s="2" t="s">
        <v>550</v>
      </c>
      <c r="B123" s="1" t="s">
        <v>549</v>
      </c>
      <c r="C123" s="214" t="s">
        <v>24</v>
      </c>
      <c r="D123" s="203">
        <v>0</v>
      </c>
      <c r="E123" s="204">
        <v>0</v>
      </c>
      <c r="F123" s="204">
        <v>0</v>
      </c>
      <c r="G123" s="203">
        <v>18</v>
      </c>
      <c r="H123" s="204">
        <v>9</v>
      </c>
      <c r="I123" s="204">
        <v>10</v>
      </c>
      <c r="J123" s="203">
        <v>0</v>
      </c>
      <c r="K123" s="204">
        <v>0</v>
      </c>
      <c r="L123" s="204">
        <v>0</v>
      </c>
      <c r="M123" s="203">
        <v>0</v>
      </c>
      <c r="N123" s="204">
        <v>0</v>
      </c>
      <c r="O123" s="204">
        <v>0</v>
      </c>
      <c r="P123" s="203">
        <v>0</v>
      </c>
      <c r="Q123" s="204">
        <v>0</v>
      </c>
      <c r="R123" s="204">
        <v>0</v>
      </c>
      <c r="S123" s="203">
        <v>0</v>
      </c>
      <c r="T123" s="204">
        <v>0</v>
      </c>
      <c r="U123" s="216">
        <v>0</v>
      </c>
    </row>
    <row r="124" spans="1:21" ht="13.5" thickBot="1" x14ac:dyDescent="0.25">
      <c r="A124" s="2" t="s">
        <v>558</v>
      </c>
      <c r="B124" s="1" t="s">
        <v>557</v>
      </c>
      <c r="C124" s="214" t="s">
        <v>24</v>
      </c>
      <c r="D124" s="203">
        <v>24</v>
      </c>
      <c r="E124" s="204">
        <v>18500</v>
      </c>
      <c r="F124" s="204">
        <v>26000</v>
      </c>
      <c r="G124" s="205" t="s">
        <v>16</v>
      </c>
      <c r="H124" s="205" t="s">
        <v>16</v>
      </c>
      <c r="I124" s="205" t="s">
        <v>16</v>
      </c>
      <c r="J124" s="205" t="s">
        <v>16</v>
      </c>
      <c r="K124" s="205" t="s">
        <v>16</v>
      </c>
      <c r="L124" s="205" t="s">
        <v>16</v>
      </c>
      <c r="M124" s="205" t="s">
        <v>16</v>
      </c>
      <c r="N124" s="205" t="s">
        <v>16</v>
      </c>
      <c r="O124" s="205" t="s">
        <v>16</v>
      </c>
      <c r="P124" s="205" t="s">
        <v>16</v>
      </c>
      <c r="Q124" s="205" t="s">
        <v>16</v>
      </c>
      <c r="R124" s="205" t="s">
        <v>16</v>
      </c>
      <c r="S124" s="203">
        <v>24</v>
      </c>
      <c r="T124" s="204">
        <v>13100</v>
      </c>
      <c r="U124" s="216">
        <v>16850</v>
      </c>
    </row>
    <row r="125" spans="1:21" ht="13.5" thickBot="1" x14ac:dyDescent="0.25">
      <c r="A125" s="2" t="s">
        <v>578</v>
      </c>
      <c r="B125" s="1" t="s">
        <v>577</v>
      </c>
      <c r="C125" s="214" t="s">
        <v>24</v>
      </c>
      <c r="D125" s="203">
        <v>30</v>
      </c>
      <c r="E125" s="204">
        <v>21600</v>
      </c>
      <c r="F125" s="204">
        <v>21600</v>
      </c>
      <c r="G125" s="205" t="s">
        <v>16</v>
      </c>
      <c r="H125" s="205" t="s">
        <v>16</v>
      </c>
      <c r="I125" s="205" t="s">
        <v>16</v>
      </c>
      <c r="J125" s="203">
        <v>28</v>
      </c>
      <c r="K125" s="204">
        <v>8958</v>
      </c>
      <c r="L125" s="204">
        <v>11895</v>
      </c>
      <c r="M125" s="205" t="s">
        <v>16</v>
      </c>
      <c r="N125" s="205" t="s">
        <v>16</v>
      </c>
      <c r="O125" s="205" t="s">
        <v>16</v>
      </c>
      <c r="P125" s="205" t="s">
        <v>16</v>
      </c>
      <c r="Q125" s="205" t="s">
        <v>16</v>
      </c>
      <c r="R125" s="205" t="s">
        <v>16</v>
      </c>
      <c r="S125" s="203">
        <v>15</v>
      </c>
      <c r="T125" s="204">
        <v>1495</v>
      </c>
      <c r="U125" s="216">
        <v>3050</v>
      </c>
    </row>
    <row r="126" spans="1:21" ht="13.5" thickBot="1" x14ac:dyDescent="0.25">
      <c r="A126" s="2" t="s">
        <v>584</v>
      </c>
      <c r="B126" s="1" t="s">
        <v>583</v>
      </c>
      <c r="C126" s="214" t="s">
        <v>24</v>
      </c>
      <c r="D126" s="203">
        <v>0</v>
      </c>
      <c r="E126" s="204">
        <v>0</v>
      </c>
      <c r="F126" s="204">
        <v>0</v>
      </c>
      <c r="G126" s="203">
        <v>0</v>
      </c>
      <c r="H126" s="204">
        <v>0</v>
      </c>
      <c r="I126" s="204">
        <v>0</v>
      </c>
      <c r="J126" s="203">
        <v>0</v>
      </c>
      <c r="K126" s="204">
        <v>0</v>
      </c>
      <c r="L126" s="204">
        <v>0</v>
      </c>
      <c r="M126" s="203">
        <v>0</v>
      </c>
      <c r="N126" s="204">
        <v>0</v>
      </c>
      <c r="O126" s="204">
        <v>0</v>
      </c>
      <c r="P126" s="203">
        <v>10</v>
      </c>
      <c r="Q126" s="204">
        <v>5000</v>
      </c>
      <c r="R126" s="204">
        <v>6000</v>
      </c>
      <c r="S126" s="203">
        <v>25</v>
      </c>
      <c r="T126" s="204">
        <v>5000</v>
      </c>
      <c r="U126" s="216">
        <v>10000</v>
      </c>
    </row>
    <row r="127" spans="1:21" ht="13.5" thickBot="1" x14ac:dyDescent="0.25">
      <c r="A127" s="2" t="s">
        <v>590</v>
      </c>
      <c r="B127" s="1" t="s">
        <v>589</v>
      </c>
      <c r="C127" s="214" t="s">
        <v>24</v>
      </c>
      <c r="D127" s="203">
        <v>28</v>
      </c>
      <c r="E127" s="204">
        <v>20741</v>
      </c>
      <c r="F127" s="204">
        <v>21168</v>
      </c>
      <c r="G127" s="205" t="s">
        <v>16</v>
      </c>
      <c r="H127" s="205" t="s">
        <v>16</v>
      </c>
      <c r="I127" s="205" t="s">
        <v>16</v>
      </c>
      <c r="J127" s="205" t="s">
        <v>16</v>
      </c>
      <c r="K127" s="205" t="s">
        <v>16</v>
      </c>
      <c r="L127" s="205" t="s">
        <v>16</v>
      </c>
      <c r="M127" s="205" t="s">
        <v>16</v>
      </c>
      <c r="N127" s="205" t="s">
        <v>16</v>
      </c>
      <c r="O127" s="205" t="s">
        <v>16</v>
      </c>
      <c r="P127" s="205" t="s">
        <v>16</v>
      </c>
      <c r="Q127" s="205" t="s">
        <v>16</v>
      </c>
      <c r="R127" s="205" t="s">
        <v>16</v>
      </c>
      <c r="S127" s="203">
        <v>12</v>
      </c>
      <c r="T127" s="204">
        <v>3584</v>
      </c>
      <c r="U127" s="216">
        <v>10908</v>
      </c>
    </row>
    <row r="128" spans="1:21" ht="13.5" thickBot="1" x14ac:dyDescent="0.25">
      <c r="A128" s="2" t="s">
        <v>602</v>
      </c>
      <c r="B128" s="1" t="s">
        <v>601</v>
      </c>
      <c r="C128" s="214" t="s">
        <v>24</v>
      </c>
      <c r="D128" s="203">
        <v>0</v>
      </c>
      <c r="E128" s="204">
        <v>0</v>
      </c>
      <c r="F128" s="204">
        <v>0</v>
      </c>
      <c r="G128" s="205" t="s">
        <v>16</v>
      </c>
      <c r="H128" s="205" t="s">
        <v>16</v>
      </c>
      <c r="I128" s="205" t="s">
        <v>16</v>
      </c>
      <c r="J128" s="203">
        <v>40</v>
      </c>
      <c r="K128" s="204">
        <v>30000</v>
      </c>
      <c r="L128" s="204">
        <v>34000</v>
      </c>
      <c r="M128" s="203">
        <v>40</v>
      </c>
      <c r="N128" s="204">
        <v>28500</v>
      </c>
      <c r="O128" s="204">
        <v>30000</v>
      </c>
      <c r="P128" s="205" t="s">
        <v>16</v>
      </c>
      <c r="Q128" s="205" t="s">
        <v>16</v>
      </c>
      <c r="R128" s="205" t="s">
        <v>16</v>
      </c>
      <c r="S128" s="203">
        <v>24</v>
      </c>
      <c r="T128" s="204">
        <v>11193</v>
      </c>
      <c r="U128" s="216">
        <v>14976</v>
      </c>
    </row>
    <row r="129" spans="1:21" ht="13.5" thickBot="1" x14ac:dyDescent="0.25">
      <c r="A129" s="2" t="s">
        <v>606</v>
      </c>
      <c r="B129" s="1" t="s">
        <v>605</v>
      </c>
      <c r="C129" s="214" t="s">
        <v>24</v>
      </c>
      <c r="D129" s="203">
        <v>6</v>
      </c>
      <c r="E129" s="205" t="s">
        <v>16</v>
      </c>
      <c r="F129" s="205" t="s">
        <v>16</v>
      </c>
      <c r="G129" s="205" t="s">
        <v>16</v>
      </c>
      <c r="H129" s="205" t="s">
        <v>16</v>
      </c>
      <c r="I129" s="205" t="s">
        <v>16</v>
      </c>
      <c r="J129" s="205" t="s">
        <v>16</v>
      </c>
      <c r="K129" s="205" t="s">
        <v>16</v>
      </c>
      <c r="L129" s="205" t="s">
        <v>16</v>
      </c>
      <c r="M129" s="205" t="s">
        <v>16</v>
      </c>
      <c r="N129" s="205" t="s">
        <v>16</v>
      </c>
      <c r="O129" s="205" t="s">
        <v>16</v>
      </c>
      <c r="P129" s="205" t="s">
        <v>16</v>
      </c>
      <c r="Q129" s="205" t="s">
        <v>16</v>
      </c>
      <c r="R129" s="205" t="s">
        <v>16</v>
      </c>
      <c r="S129" s="203">
        <v>6</v>
      </c>
      <c r="T129" s="204">
        <v>2000</v>
      </c>
      <c r="U129" s="216">
        <v>10000</v>
      </c>
    </row>
    <row r="130" spans="1:21" ht="13.5" thickBot="1" x14ac:dyDescent="0.25">
      <c r="A130" s="2" t="s">
        <v>620</v>
      </c>
      <c r="B130" s="1" t="s">
        <v>619</v>
      </c>
      <c r="C130" s="214" t="s">
        <v>24</v>
      </c>
      <c r="D130" s="203">
        <v>24</v>
      </c>
      <c r="E130" s="204">
        <v>12140</v>
      </c>
      <c r="F130" s="204">
        <v>12140</v>
      </c>
      <c r="G130" s="205" t="s">
        <v>16</v>
      </c>
      <c r="H130" s="205" t="s">
        <v>16</v>
      </c>
      <c r="I130" s="205" t="s">
        <v>16</v>
      </c>
      <c r="J130" s="205" t="s">
        <v>16</v>
      </c>
      <c r="K130" s="205" t="s">
        <v>16</v>
      </c>
      <c r="L130" s="205" t="s">
        <v>16</v>
      </c>
      <c r="M130" s="205" t="s">
        <v>16</v>
      </c>
      <c r="N130" s="205" t="s">
        <v>16</v>
      </c>
      <c r="O130" s="205" t="s">
        <v>16</v>
      </c>
      <c r="P130" s="205" t="s">
        <v>16</v>
      </c>
      <c r="Q130" s="205" t="s">
        <v>16</v>
      </c>
      <c r="R130" s="205" t="s">
        <v>16</v>
      </c>
      <c r="S130" s="203">
        <v>22</v>
      </c>
      <c r="T130" s="204">
        <v>7090</v>
      </c>
      <c r="U130" s="216">
        <v>7090</v>
      </c>
    </row>
    <row r="131" spans="1:21" ht="13.5" thickBot="1" x14ac:dyDescent="0.25">
      <c r="A131" s="2" t="s">
        <v>626</v>
      </c>
      <c r="B131" s="1" t="s">
        <v>625</v>
      </c>
      <c r="C131" s="214" t="s">
        <v>24</v>
      </c>
      <c r="D131" s="203">
        <v>25</v>
      </c>
      <c r="E131" s="204">
        <v>13000</v>
      </c>
      <c r="F131" s="204">
        <v>16000</v>
      </c>
      <c r="G131" s="205" t="s">
        <v>16</v>
      </c>
      <c r="H131" s="205" t="s">
        <v>16</v>
      </c>
      <c r="I131" s="205" t="s">
        <v>16</v>
      </c>
      <c r="J131" s="205" t="s">
        <v>16</v>
      </c>
      <c r="K131" s="205" t="s">
        <v>16</v>
      </c>
      <c r="L131" s="205" t="s">
        <v>16</v>
      </c>
      <c r="M131" s="205" t="s">
        <v>16</v>
      </c>
      <c r="N131" s="205" t="s">
        <v>16</v>
      </c>
      <c r="O131" s="205" t="s">
        <v>16</v>
      </c>
      <c r="P131" s="205" t="s">
        <v>16</v>
      </c>
      <c r="Q131" s="205" t="s">
        <v>16</v>
      </c>
      <c r="R131" s="205" t="s">
        <v>16</v>
      </c>
      <c r="S131" s="203">
        <v>11</v>
      </c>
      <c r="T131" s="204">
        <v>2000</v>
      </c>
      <c r="U131" s="216">
        <v>14500</v>
      </c>
    </row>
    <row r="132" spans="1:21" ht="13.5" thickBot="1" x14ac:dyDescent="0.25">
      <c r="A132" s="2" t="s">
        <v>628</v>
      </c>
      <c r="B132" s="1" t="s">
        <v>627</v>
      </c>
      <c r="C132" s="214" t="s">
        <v>24</v>
      </c>
      <c r="D132" s="203">
        <v>40</v>
      </c>
      <c r="E132" s="204">
        <v>20000</v>
      </c>
      <c r="F132" s="204">
        <v>27000</v>
      </c>
      <c r="G132" s="203">
        <v>0</v>
      </c>
      <c r="H132" s="204">
        <v>0</v>
      </c>
      <c r="I132" s="204">
        <v>0</v>
      </c>
      <c r="J132" s="203">
        <v>0</v>
      </c>
      <c r="K132" s="204">
        <v>0</v>
      </c>
      <c r="L132" s="204">
        <v>0</v>
      </c>
      <c r="M132" s="203">
        <v>0</v>
      </c>
      <c r="N132" s="204">
        <v>0</v>
      </c>
      <c r="O132" s="204">
        <v>0</v>
      </c>
      <c r="P132" s="203">
        <v>0</v>
      </c>
      <c r="Q132" s="204">
        <v>0</v>
      </c>
      <c r="R132" s="204">
        <v>0</v>
      </c>
      <c r="S132" s="203">
        <v>30</v>
      </c>
      <c r="T132" s="204">
        <v>9620</v>
      </c>
      <c r="U132" s="216">
        <v>14000</v>
      </c>
    </row>
    <row r="133" spans="1:21" ht="13.5" thickBot="1" x14ac:dyDescent="0.25">
      <c r="A133" s="2" t="s">
        <v>634</v>
      </c>
      <c r="B133" s="1" t="s">
        <v>633</v>
      </c>
      <c r="C133" s="214" t="s">
        <v>24</v>
      </c>
      <c r="D133" s="205" t="s">
        <v>16</v>
      </c>
      <c r="E133" s="205" t="s">
        <v>16</v>
      </c>
      <c r="F133" s="205" t="s">
        <v>16</v>
      </c>
      <c r="G133" s="205" t="s">
        <v>16</v>
      </c>
      <c r="H133" s="205" t="s">
        <v>16</v>
      </c>
      <c r="I133" s="205" t="s">
        <v>16</v>
      </c>
      <c r="J133" s="205" t="s">
        <v>16</v>
      </c>
      <c r="K133" s="205" t="s">
        <v>16</v>
      </c>
      <c r="L133" s="205" t="s">
        <v>16</v>
      </c>
      <c r="M133" s="205" t="s">
        <v>16</v>
      </c>
      <c r="N133" s="205" t="s">
        <v>16</v>
      </c>
      <c r="O133" s="205" t="s">
        <v>16</v>
      </c>
      <c r="P133" s="205" t="s">
        <v>16</v>
      </c>
      <c r="Q133" s="205" t="s">
        <v>16</v>
      </c>
      <c r="R133" s="205" t="s">
        <v>16</v>
      </c>
      <c r="S133" s="203">
        <v>24</v>
      </c>
      <c r="T133" s="204">
        <v>12480</v>
      </c>
      <c r="U133" s="216">
        <v>13728</v>
      </c>
    </row>
    <row r="134" spans="1:21" ht="13.5" thickBot="1" x14ac:dyDescent="0.25">
      <c r="A134" s="2" t="s">
        <v>640</v>
      </c>
      <c r="B134" s="1" t="s">
        <v>639</v>
      </c>
      <c r="C134" s="214" t="s">
        <v>24</v>
      </c>
      <c r="D134" s="205" t="s">
        <v>16</v>
      </c>
      <c r="E134" s="205" t="s">
        <v>16</v>
      </c>
      <c r="F134" s="205" t="s">
        <v>16</v>
      </c>
      <c r="G134" s="205" t="s">
        <v>16</v>
      </c>
      <c r="H134" s="205" t="s">
        <v>16</v>
      </c>
      <c r="I134" s="205" t="s">
        <v>16</v>
      </c>
      <c r="J134" s="203">
        <v>24</v>
      </c>
      <c r="K134" s="204">
        <v>10000</v>
      </c>
      <c r="L134" s="204">
        <v>18000</v>
      </c>
      <c r="M134" s="203">
        <v>12</v>
      </c>
      <c r="N134" s="204">
        <v>5500</v>
      </c>
      <c r="O134" s="204">
        <v>12000</v>
      </c>
      <c r="P134" s="205" t="s">
        <v>16</v>
      </c>
      <c r="Q134" s="205" t="s">
        <v>16</v>
      </c>
      <c r="R134" s="205" t="s">
        <v>16</v>
      </c>
      <c r="S134" s="203">
        <v>22</v>
      </c>
      <c r="T134" s="204">
        <v>10000</v>
      </c>
      <c r="U134" s="216">
        <v>18000</v>
      </c>
    </row>
    <row r="135" spans="1:21" ht="13.5" thickBot="1" x14ac:dyDescent="0.25">
      <c r="A135" s="2" t="s">
        <v>654</v>
      </c>
      <c r="B135" s="1" t="s">
        <v>653</v>
      </c>
      <c r="C135" s="214" t="s">
        <v>24</v>
      </c>
      <c r="D135" s="205" t="s">
        <v>16</v>
      </c>
      <c r="E135" s="205" t="s">
        <v>16</v>
      </c>
      <c r="F135" s="205" t="s">
        <v>16</v>
      </c>
      <c r="G135" s="205" t="s">
        <v>16</v>
      </c>
      <c r="H135" s="205" t="s">
        <v>16</v>
      </c>
      <c r="I135" s="205" t="s">
        <v>16</v>
      </c>
      <c r="J135" s="205" t="s">
        <v>16</v>
      </c>
      <c r="K135" s="205" t="s">
        <v>16</v>
      </c>
      <c r="L135" s="205" t="s">
        <v>16</v>
      </c>
      <c r="M135" s="205" t="s">
        <v>16</v>
      </c>
      <c r="N135" s="205" t="s">
        <v>16</v>
      </c>
      <c r="O135" s="205" t="s">
        <v>16</v>
      </c>
      <c r="P135" s="205" t="s">
        <v>16</v>
      </c>
      <c r="Q135" s="205" t="s">
        <v>16</v>
      </c>
      <c r="R135" s="205" t="s">
        <v>16</v>
      </c>
      <c r="S135" s="203">
        <v>18</v>
      </c>
      <c r="T135" s="204">
        <v>8000</v>
      </c>
      <c r="U135" s="216">
        <v>12000</v>
      </c>
    </row>
    <row r="136" spans="1:21" ht="13.5" thickBot="1" x14ac:dyDescent="0.25">
      <c r="A136" s="2" t="s">
        <v>666</v>
      </c>
      <c r="B136" s="1" t="s">
        <v>665</v>
      </c>
      <c r="C136" s="214" t="s">
        <v>24</v>
      </c>
      <c r="D136" s="205" t="s">
        <v>16</v>
      </c>
      <c r="E136" s="205" t="s">
        <v>16</v>
      </c>
      <c r="F136" s="205" t="s">
        <v>16</v>
      </c>
      <c r="G136" s="205" t="s">
        <v>16</v>
      </c>
      <c r="H136" s="204">
        <v>15000</v>
      </c>
      <c r="I136" s="204">
        <v>18000</v>
      </c>
      <c r="J136" s="205" t="s">
        <v>16</v>
      </c>
      <c r="K136" s="205" t="s">
        <v>16</v>
      </c>
      <c r="L136" s="205" t="s">
        <v>16</v>
      </c>
      <c r="M136" s="205" t="s">
        <v>16</v>
      </c>
      <c r="N136" s="205" t="s">
        <v>16</v>
      </c>
      <c r="O136" s="205" t="s">
        <v>16</v>
      </c>
      <c r="P136" s="205" t="s">
        <v>16</v>
      </c>
      <c r="Q136" s="205" t="s">
        <v>16</v>
      </c>
      <c r="R136" s="205" t="s">
        <v>16</v>
      </c>
      <c r="S136" s="203">
        <v>35</v>
      </c>
      <c r="T136" s="204">
        <v>16000</v>
      </c>
      <c r="U136" s="216">
        <v>23000</v>
      </c>
    </row>
    <row r="137" spans="1:21" ht="13.5" thickBot="1" x14ac:dyDescent="0.25">
      <c r="A137" s="2" t="s">
        <v>682</v>
      </c>
      <c r="B137" s="1" t="s">
        <v>681</v>
      </c>
      <c r="C137" s="214" t="s">
        <v>24</v>
      </c>
      <c r="D137" s="203">
        <v>24</v>
      </c>
      <c r="E137" s="204">
        <v>9400</v>
      </c>
      <c r="F137" s="204">
        <v>18144</v>
      </c>
      <c r="G137" s="205" t="s">
        <v>16</v>
      </c>
      <c r="H137" s="205" t="s">
        <v>16</v>
      </c>
      <c r="I137" s="205" t="s">
        <v>16</v>
      </c>
      <c r="J137" s="205" t="s">
        <v>16</v>
      </c>
      <c r="K137" s="205" t="s">
        <v>16</v>
      </c>
      <c r="L137" s="205" t="s">
        <v>16</v>
      </c>
      <c r="M137" s="205" t="s">
        <v>16</v>
      </c>
      <c r="N137" s="205" t="s">
        <v>16</v>
      </c>
      <c r="O137" s="205" t="s">
        <v>16</v>
      </c>
      <c r="P137" s="205" t="s">
        <v>16</v>
      </c>
      <c r="Q137" s="205" t="s">
        <v>16</v>
      </c>
      <c r="R137" s="205" t="s">
        <v>16</v>
      </c>
      <c r="S137" s="203">
        <v>24</v>
      </c>
      <c r="T137" s="204">
        <v>5200</v>
      </c>
      <c r="U137" s="216">
        <v>11040</v>
      </c>
    </row>
    <row r="138" spans="1:21" ht="13.5" thickBot="1" x14ac:dyDescent="0.25">
      <c r="A138" s="2" t="s">
        <v>692</v>
      </c>
      <c r="B138" s="1" t="s">
        <v>691</v>
      </c>
      <c r="C138" s="214" t="s">
        <v>24</v>
      </c>
      <c r="D138" s="203">
        <v>0</v>
      </c>
      <c r="E138" s="204">
        <v>0</v>
      </c>
      <c r="F138" s="204">
        <v>0</v>
      </c>
      <c r="G138" s="203">
        <v>35</v>
      </c>
      <c r="H138" s="204">
        <v>20000</v>
      </c>
      <c r="I138" s="204">
        <v>24000</v>
      </c>
      <c r="J138" s="203">
        <v>24</v>
      </c>
      <c r="K138" s="204">
        <v>14800</v>
      </c>
      <c r="L138" s="204">
        <v>16000</v>
      </c>
      <c r="M138" s="203">
        <v>0</v>
      </c>
      <c r="N138" s="204">
        <v>0</v>
      </c>
      <c r="O138" s="204">
        <v>0</v>
      </c>
      <c r="P138" s="203">
        <v>0</v>
      </c>
      <c r="Q138" s="204">
        <v>0</v>
      </c>
      <c r="R138" s="204">
        <v>0</v>
      </c>
      <c r="S138" s="203">
        <v>15</v>
      </c>
      <c r="T138" s="204">
        <v>5200</v>
      </c>
      <c r="U138" s="216">
        <v>7000</v>
      </c>
    </row>
    <row r="139" spans="1:21" ht="13.5" thickBot="1" x14ac:dyDescent="0.25">
      <c r="A139" s="2" t="s">
        <v>696</v>
      </c>
      <c r="B139" s="1" t="s">
        <v>695</v>
      </c>
      <c r="C139" s="214" t="s">
        <v>24</v>
      </c>
      <c r="D139" s="203">
        <v>36</v>
      </c>
      <c r="E139" s="204">
        <v>24336</v>
      </c>
      <c r="F139" s="204">
        <v>24823</v>
      </c>
      <c r="G139" s="205" t="s">
        <v>16</v>
      </c>
      <c r="H139" s="205" t="s">
        <v>16</v>
      </c>
      <c r="I139" s="205" t="s">
        <v>16</v>
      </c>
      <c r="J139" s="205" t="s">
        <v>16</v>
      </c>
      <c r="K139" s="205" t="s">
        <v>16</v>
      </c>
      <c r="L139" s="205" t="s">
        <v>16</v>
      </c>
      <c r="M139" s="205" t="s">
        <v>16</v>
      </c>
      <c r="N139" s="205" t="s">
        <v>16</v>
      </c>
      <c r="O139" s="205" t="s">
        <v>16</v>
      </c>
      <c r="P139" s="205" t="s">
        <v>16</v>
      </c>
      <c r="Q139" s="205" t="s">
        <v>16</v>
      </c>
      <c r="R139" s="205" t="s">
        <v>16</v>
      </c>
      <c r="S139" s="203">
        <v>16</v>
      </c>
      <c r="T139" s="204">
        <v>6157</v>
      </c>
      <c r="U139" s="216">
        <v>14618</v>
      </c>
    </row>
    <row r="140" spans="1:21" ht="13.5" thickBot="1" x14ac:dyDescent="0.25">
      <c r="A140" s="2" t="s">
        <v>702</v>
      </c>
      <c r="B140" s="1" t="s">
        <v>701</v>
      </c>
      <c r="C140" s="214" t="s">
        <v>24</v>
      </c>
      <c r="D140" s="203">
        <v>29</v>
      </c>
      <c r="E140" s="204">
        <v>11000</v>
      </c>
      <c r="F140" s="204">
        <v>16000</v>
      </c>
      <c r="G140" s="203">
        <v>0</v>
      </c>
      <c r="H140" s="204">
        <v>0</v>
      </c>
      <c r="I140" s="204">
        <v>0</v>
      </c>
      <c r="J140" s="203">
        <v>0</v>
      </c>
      <c r="K140" s="204">
        <v>0</v>
      </c>
      <c r="L140" s="204">
        <v>0</v>
      </c>
      <c r="M140" s="203">
        <v>0</v>
      </c>
      <c r="N140" s="204">
        <v>0</v>
      </c>
      <c r="O140" s="204">
        <v>0</v>
      </c>
      <c r="P140" s="203">
        <v>0</v>
      </c>
      <c r="Q140" s="204">
        <v>0</v>
      </c>
      <c r="R140" s="204">
        <v>0</v>
      </c>
      <c r="S140" s="203">
        <v>9</v>
      </c>
      <c r="T140" s="204">
        <v>3000</v>
      </c>
      <c r="U140" s="216">
        <v>7000</v>
      </c>
    </row>
    <row r="141" spans="1:21" ht="13.5" thickBot="1" x14ac:dyDescent="0.25">
      <c r="A141" s="2" t="s">
        <v>710</v>
      </c>
      <c r="B141" s="1" t="s">
        <v>709</v>
      </c>
      <c r="C141" s="214" t="s">
        <v>24</v>
      </c>
      <c r="D141" s="205" t="s">
        <v>16</v>
      </c>
      <c r="E141" s="205" t="s">
        <v>16</v>
      </c>
      <c r="F141" s="205" t="s">
        <v>16</v>
      </c>
      <c r="G141" s="205" t="s">
        <v>16</v>
      </c>
      <c r="H141" s="205" t="s">
        <v>16</v>
      </c>
      <c r="I141" s="205" t="s">
        <v>16</v>
      </c>
      <c r="J141" s="205" t="s">
        <v>16</v>
      </c>
      <c r="K141" s="205" t="s">
        <v>16</v>
      </c>
      <c r="L141" s="205" t="s">
        <v>16</v>
      </c>
      <c r="M141" s="205" t="s">
        <v>16</v>
      </c>
      <c r="N141" s="205" t="s">
        <v>16</v>
      </c>
      <c r="O141" s="205" t="s">
        <v>16</v>
      </c>
      <c r="P141" s="205" t="s">
        <v>16</v>
      </c>
      <c r="Q141" s="205" t="s">
        <v>16</v>
      </c>
      <c r="R141" s="205" t="s">
        <v>16</v>
      </c>
      <c r="S141" s="203">
        <v>38</v>
      </c>
      <c r="T141" s="204">
        <v>18278</v>
      </c>
      <c r="U141" s="216">
        <v>21341</v>
      </c>
    </row>
    <row r="142" spans="1:21" ht="13.5" thickBot="1" x14ac:dyDescent="0.25">
      <c r="A142" s="2" t="s">
        <v>732</v>
      </c>
      <c r="B142" s="1" t="s">
        <v>731</v>
      </c>
      <c r="C142" s="214" t="s">
        <v>24</v>
      </c>
      <c r="D142" s="203">
        <v>24</v>
      </c>
      <c r="E142" s="204">
        <v>15461</v>
      </c>
      <c r="F142" s="204">
        <v>17534</v>
      </c>
      <c r="G142" s="205" t="s">
        <v>16</v>
      </c>
      <c r="H142" s="205" t="s">
        <v>16</v>
      </c>
      <c r="I142" s="205" t="s">
        <v>16</v>
      </c>
      <c r="J142" s="203">
        <v>16</v>
      </c>
      <c r="K142" s="204">
        <v>9568</v>
      </c>
      <c r="L142" s="204">
        <v>10192</v>
      </c>
      <c r="M142" s="205" t="s">
        <v>16</v>
      </c>
      <c r="N142" s="205" t="s">
        <v>16</v>
      </c>
      <c r="O142" s="205" t="s">
        <v>16</v>
      </c>
      <c r="P142" s="205" t="s">
        <v>16</v>
      </c>
      <c r="Q142" s="205" t="s">
        <v>16</v>
      </c>
      <c r="R142" s="205" t="s">
        <v>16</v>
      </c>
      <c r="S142" s="203">
        <v>12</v>
      </c>
      <c r="T142" s="204">
        <v>6240</v>
      </c>
      <c r="U142" s="216">
        <v>9859</v>
      </c>
    </row>
    <row r="143" spans="1:21" ht="13.5" thickBot="1" x14ac:dyDescent="0.25">
      <c r="A143" s="2" t="s">
        <v>744</v>
      </c>
      <c r="B143" s="1" t="s">
        <v>743</v>
      </c>
      <c r="C143" s="214" t="s">
        <v>24</v>
      </c>
      <c r="D143" s="203">
        <v>30</v>
      </c>
      <c r="E143" s="204">
        <v>25000</v>
      </c>
      <c r="F143" s="204">
        <v>30000</v>
      </c>
      <c r="G143" s="205" t="s">
        <v>16</v>
      </c>
      <c r="H143" s="205" t="s">
        <v>16</v>
      </c>
      <c r="I143" s="205" t="s">
        <v>16</v>
      </c>
      <c r="J143" s="203">
        <v>20</v>
      </c>
      <c r="K143" s="204">
        <v>12345</v>
      </c>
      <c r="L143" s="204">
        <v>18720</v>
      </c>
      <c r="M143" s="203">
        <v>10</v>
      </c>
      <c r="N143" s="204">
        <v>2500</v>
      </c>
      <c r="O143" s="204">
        <v>8000</v>
      </c>
      <c r="P143" s="205" t="s">
        <v>16</v>
      </c>
      <c r="Q143" s="205" t="s">
        <v>16</v>
      </c>
      <c r="R143" s="205" t="s">
        <v>16</v>
      </c>
      <c r="S143" s="203">
        <v>4</v>
      </c>
      <c r="T143" s="204">
        <v>300</v>
      </c>
      <c r="U143" s="216">
        <v>2000</v>
      </c>
    </row>
    <row r="144" spans="1:21" ht="13.5" thickBot="1" x14ac:dyDescent="0.25">
      <c r="A144" s="2" t="s">
        <v>753</v>
      </c>
      <c r="B144" s="1" t="s">
        <v>752</v>
      </c>
      <c r="C144" s="214" t="s">
        <v>24</v>
      </c>
      <c r="D144" s="203">
        <v>22</v>
      </c>
      <c r="E144" s="204">
        <v>14500</v>
      </c>
      <c r="F144" s="204">
        <v>15000</v>
      </c>
      <c r="G144" s="205" t="s">
        <v>16</v>
      </c>
      <c r="H144" s="205" t="s">
        <v>16</v>
      </c>
      <c r="I144" s="205" t="s">
        <v>16</v>
      </c>
      <c r="J144" s="205" t="s">
        <v>16</v>
      </c>
      <c r="K144" s="205" t="s">
        <v>16</v>
      </c>
      <c r="L144" s="205" t="s">
        <v>16</v>
      </c>
      <c r="M144" s="205" t="s">
        <v>16</v>
      </c>
      <c r="N144" s="205" t="s">
        <v>16</v>
      </c>
      <c r="O144" s="205" t="s">
        <v>16</v>
      </c>
      <c r="P144" s="205" t="s">
        <v>16</v>
      </c>
      <c r="Q144" s="205" t="s">
        <v>16</v>
      </c>
      <c r="R144" s="205" t="s">
        <v>16</v>
      </c>
      <c r="S144" s="205" t="s">
        <v>16</v>
      </c>
      <c r="T144" s="205" t="s">
        <v>16</v>
      </c>
      <c r="U144" s="215" t="s">
        <v>16</v>
      </c>
    </row>
    <row r="145" spans="1:21" ht="13.5" thickBot="1" x14ac:dyDescent="0.25">
      <c r="A145" s="2" t="s">
        <v>761</v>
      </c>
      <c r="B145" s="1" t="s">
        <v>760</v>
      </c>
      <c r="C145" s="214" t="s">
        <v>24</v>
      </c>
      <c r="D145" s="205" t="s">
        <v>16</v>
      </c>
      <c r="E145" s="205" t="s">
        <v>16</v>
      </c>
      <c r="F145" s="205" t="s">
        <v>16</v>
      </c>
      <c r="G145" s="205" t="s">
        <v>16</v>
      </c>
      <c r="H145" s="205" t="s">
        <v>16</v>
      </c>
      <c r="I145" s="205" t="s">
        <v>16</v>
      </c>
      <c r="J145" s="203">
        <v>21</v>
      </c>
      <c r="K145" s="204">
        <v>12012</v>
      </c>
      <c r="L145" s="204">
        <v>12452</v>
      </c>
      <c r="M145" s="203">
        <v>21</v>
      </c>
      <c r="N145" s="204">
        <v>10500</v>
      </c>
      <c r="O145" s="204">
        <v>10920</v>
      </c>
      <c r="P145" s="205" t="s">
        <v>16</v>
      </c>
      <c r="Q145" s="205" t="s">
        <v>16</v>
      </c>
      <c r="R145" s="205" t="s">
        <v>16</v>
      </c>
      <c r="S145" s="205" t="s">
        <v>16</v>
      </c>
      <c r="T145" s="205" t="s">
        <v>16</v>
      </c>
      <c r="U145" s="215" t="s">
        <v>16</v>
      </c>
    </row>
    <row r="146" spans="1:21" ht="13.5" thickBot="1" x14ac:dyDescent="0.25">
      <c r="A146" s="2" t="s">
        <v>769</v>
      </c>
      <c r="B146" s="1" t="s">
        <v>768</v>
      </c>
      <c r="C146" s="214" t="s">
        <v>24</v>
      </c>
      <c r="D146" s="205" t="s">
        <v>16</v>
      </c>
      <c r="E146" s="205" t="s">
        <v>16</v>
      </c>
      <c r="F146" s="205" t="s">
        <v>16</v>
      </c>
      <c r="G146" s="205" t="s">
        <v>16</v>
      </c>
      <c r="H146" s="205" t="s">
        <v>16</v>
      </c>
      <c r="I146" s="205" t="s">
        <v>16</v>
      </c>
      <c r="J146" s="205" t="s">
        <v>16</v>
      </c>
      <c r="K146" s="205" t="s">
        <v>16</v>
      </c>
      <c r="L146" s="205" t="s">
        <v>16</v>
      </c>
      <c r="M146" s="205" t="s">
        <v>16</v>
      </c>
      <c r="N146" s="205" t="s">
        <v>16</v>
      </c>
      <c r="O146" s="205" t="s">
        <v>16</v>
      </c>
      <c r="P146" s="205" t="s">
        <v>16</v>
      </c>
      <c r="Q146" s="205" t="s">
        <v>16</v>
      </c>
      <c r="R146" s="205" t="s">
        <v>16</v>
      </c>
      <c r="S146" s="203">
        <v>21</v>
      </c>
      <c r="T146" s="204">
        <v>3000</v>
      </c>
      <c r="U146" s="216">
        <v>11111</v>
      </c>
    </row>
    <row r="147" spans="1:21" ht="13.5" thickBot="1" x14ac:dyDescent="0.25">
      <c r="A147" s="2" t="s">
        <v>783</v>
      </c>
      <c r="B147" s="1" t="s">
        <v>782</v>
      </c>
      <c r="C147" s="214" t="s">
        <v>24</v>
      </c>
      <c r="D147" s="203">
        <v>20</v>
      </c>
      <c r="E147" s="204">
        <v>16640</v>
      </c>
      <c r="F147" s="204">
        <v>18720</v>
      </c>
      <c r="G147" s="205" t="s">
        <v>16</v>
      </c>
      <c r="H147" s="205" t="s">
        <v>16</v>
      </c>
      <c r="I147" s="205" t="s">
        <v>16</v>
      </c>
      <c r="J147" s="205" t="s">
        <v>16</v>
      </c>
      <c r="K147" s="205" t="s">
        <v>16</v>
      </c>
      <c r="L147" s="205" t="s">
        <v>16</v>
      </c>
      <c r="M147" s="205" t="s">
        <v>16</v>
      </c>
      <c r="N147" s="205" t="s">
        <v>16</v>
      </c>
      <c r="O147" s="205" t="s">
        <v>16</v>
      </c>
      <c r="P147" s="205" t="s">
        <v>16</v>
      </c>
      <c r="Q147" s="205" t="s">
        <v>16</v>
      </c>
      <c r="R147" s="205" t="s">
        <v>16</v>
      </c>
      <c r="S147" s="203">
        <v>12</v>
      </c>
      <c r="T147" s="204">
        <v>6240</v>
      </c>
      <c r="U147" s="216">
        <v>11700</v>
      </c>
    </row>
    <row r="148" spans="1:21" ht="13.5" thickBot="1" x14ac:dyDescent="0.25">
      <c r="A148" s="2" t="s">
        <v>789</v>
      </c>
      <c r="B148" s="1" t="s">
        <v>788</v>
      </c>
      <c r="C148" s="214" t="s">
        <v>24</v>
      </c>
      <c r="D148" s="203">
        <v>15</v>
      </c>
      <c r="E148" s="204">
        <v>5850</v>
      </c>
      <c r="F148" s="204">
        <v>15000</v>
      </c>
      <c r="G148" s="205" t="s">
        <v>16</v>
      </c>
      <c r="H148" s="205" t="s">
        <v>16</v>
      </c>
      <c r="I148" s="205" t="s">
        <v>16</v>
      </c>
      <c r="J148" s="205" t="s">
        <v>16</v>
      </c>
      <c r="K148" s="205" t="s">
        <v>16</v>
      </c>
      <c r="L148" s="205" t="s">
        <v>16</v>
      </c>
      <c r="M148" s="205" t="s">
        <v>16</v>
      </c>
      <c r="N148" s="205" t="s">
        <v>16</v>
      </c>
      <c r="O148" s="205" t="s">
        <v>16</v>
      </c>
      <c r="P148" s="205" t="s">
        <v>16</v>
      </c>
      <c r="Q148" s="205" t="s">
        <v>16</v>
      </c>
      <c r="R148" s="205" t="s">
        <v>16</v>
      </c>
      <c r="S148" s="203">
        <v>16</v>
      </c>
      <c r="T148" s="204">
        <v>4000</v>
      </c>
      <c r="U148" s="216">
        <v>10000</v>
      </c>
    </row>
    <row r="149" spans="1:21" ht="13.5" thickBot="1" x14ac:dyDescent="0.25">
      <c r="A149" s="2" t="s">
        <v>801</v>
      </c>
      <c r="B149" s="1" t="s">
        <v>800</v>
      </c>
      <c r="C149" s="214" t="s">
        <v>24</v>
      </c>
      <c r="D149" s="205" t="s">
        <v>16</v>
      </c>
      <c r="E149" s="205" t="s">
        <v>16</v>
      </c>
      <c r="F149" s="205" t="s">
        <v>16</v>
      </c>
      <c r="G149" s="205" t="s">
        <v>16</v>
      </c>
      <c r="H149" s="205" t="s">
        <v>16</v>
      </c>
      <c r="I149" s="205" t="s">
        <v>16</v>
      </c>
      <c r="J149" s="203">
        <v>15</v>
      </c>
      <c r="K149" s="204">
        <v>12750</v>
      </c>
      <c r="L149" s="204">
        <v>14100</v>
      </c>
      <c r="M149" s="203">
        <v>14</v>
      </c>
      <c r="N149" s="204">
        <v>13650</v>
      </c>
      <c r="O149" s="204">
        <v>9100</v>
      </c>
      <c r="P149" s="205" t="s">
        <v>16</v>
      </c>
      <c r="Q149" s="205" t="s">
        <v>16</v>
      </c>
      <c r="R149" s="205" t="s">
        <v>16</v>
      </c>
      <c r="S149" s="203">
        <v>15</v>
      </c>
      <c r="T149" s="204">
        <v>6760</v>
      </c>
      <c r="U149" s="216">
        <v>15600</v>
      </c>
    </row>
    <row r="150" spans="1:21" ht="13.5" thickBot="1" x14ac:dyDescent="0.25">
      <c r="A150" s="2" t="s">
        <v>811</v>
      </c>
      <c r="B150" s="1" t="s">
        <v>810</v>
      </c>
      <c r="C150" s="214" t="s">
        <v>24</v>
      </c>
      <c r="D150" s="203">
        <v>37</v>
      </c>
      <c r="E150" s="204">
        <v>21000</v>
      </c>
      <c r="F150" s="204">
        <v>28000</v>
      </c>
      <c r="G150" s="203">
        <v>31</v>
      </c>
      <c r="H150" s="204">
        <v>15000</v>
      </c>
      <c r="I150" s="204">
        <v>20000</v>
      </c>
      <c r="J150" s="203">
        <v>0</v>
      </c>
      <c r="K150" s="204">
        <v>0</v>
      </c>
      <c r="L150" s="204">
        <v>0</v>
      </c>
      <c r="M150" s="203">
        <v>24</v>
      </c>
      <c r="N150" s="204">
        <v>9000</v>
      </c>
      <c r="O150" s="204">
        <v>14000</v>
      </c>
      <c r="P150" s="203">
        <v>0</v>
      </c>
      <c r="Q150" s="204">
        <v>0</v>
      </c>
      <c r="R150" s="204">
        <v>0</v>
      </c>
      <c r="S150" s="203">
        <v>18</v>
      </c>
      <c r="T150" s="204">
        <v>7000</v>
      </c>
      <c r="U150" s="216">
        <v>13000</v>
      </c>
    </row>
    <row r="151" spans="1:21" ht="13.5" thickBot="1" x14ac:dyDescent="0.25">
      <c r="A151" s="2" t="s">
        <v>829</v>
      </c>
      <c r="B151" s="1" t="s">
        <v>828</v>
      </c>
      <c r="C151" s="214" t="s">
        <v>24</v>
      </c>
      <c r="D151" s="205" t="s">
        <v>16</v>
      </c>
      <c r="E151" s="205" t="s">
        <v>16</v>
      </c>
      <c r="F151" s="205" t="s">
        <v>16</v>
      </c>
      <c r="G151" s="205" t="s">
        <v>16</v>
      </c>
      <c r="H151" s="205" t="s">
        <v>16</v>
      </c>
      <c r="I151" s="205" t="s">
        <v>16</v>
      </c>
      <c r="J151" s="203">
        <v>26</v>
      </c>
      <c r="K151" s="204">
        <v>18000</v>
      </c>
      <c r="L151" s="204">
        <v>31000</v>
      </c>
      <c r="M151" s="205" t="s">
        <v>16</v>
      </c>
      <c r="N151" s="205" t="s">
        <v>16</v>
      </c>
      <c r="O151" s="205" t="s">
        <v>16</v>
      </c>
      <c r="P151" s="205" t="s">
        <v>16</v>
      </c>
      <c r="Q151" s="205" t="s">
        <v>16</v>
      </c>
      <c r="R151" s="205" t="s">
        <v>16</v>
      </c>
      <c r="S151" s="203">
        <v>14</v>
      </c>
      <c r="T151" s="204">
        <v>4000</v>
      </c>
      <c r="U151" s="216">
        <v>17000</v>
      </c>
    </row>
    <row r="152" spans="1:21" ht="13.5" thickBot="1" x14ac:dyDescent="0.25">
      <c r="A152" s="2" t="s">
        <v>31</v>
      </c>
      <c r="B152" s="1" t="s">
        <v>30</v>
      </c>
      <c r="C152" s="214" t="s">
        <v>32</v>
      </c>
      <c r="D152" s="205" t="s">
        <v>16</v>
      </c>
      <c r="E152" s="205" t="s">
        <v>16</v>
      </c>
      <c r="F152" s="205" t="s">
        <v>16</v>
      </c>
      <c r="G152" s="205" t="s">
        <v>16</v>
      </c>
      <c r="H152" s="205" t="s">
        <v>16</v>
      </c>
      <c r="I152" s="205" t="s">
        <v>16</v>
      </c>
      <c r="J152" s="203">
        <v>29</v>
      </c>
      <c r="K152" s="204">
        <v>15502</v>
      </c>
      <c r="L152" s="204">
        <v>19604</v>
      </c>
      <c r="M152" s="203">
        <v>14</v>
      </c>
      <c r="N152" s="204">
        <v>6734</v>
      </c>
      <c r="O152" s="204">
        <v>8270</v>
      </c>
      <c r="P152" s="205" t="s">
        <v>16</v>
      </c>
      <c r="Q152" s="205" t="s">
        <v>16</v>
      </c>
      <c r="R152" s="205" t="s">
        <v>16</v>
      </c>
      <c r="S152" s="203">
        <v>12</v>
      </c>
      <c r="T152" s="204">
        <v>5772</v>
      </c>
      <c r="U152" s="216">
        <v>6396</v>
      </c>
    </row>
    <row r="153" spans="1:21" ht="13.5" thickBot="1" x14ac:dyDescent="0.25">
      <c r="A153" s="2" t="s">
        <v>34</v>
      </c>
      <c r="B153" s="1" t="s">
        <v>33</v>
      </c>
      <c r="C153" s="214" t="s">
        <v>32</v>
      </c>
      <c r="D153" s="203">
        <v>0</v>
      </c>
      <c r="E153" s="204">
        <v>0</v>
      </c>
      <c r="F153" s="204">
        <v>0</v>
      </c>
      <c r="G153" s="203">
        <v>0</v>
      </c>
      <c r="H153" s="204">
        <v>0</v>
      </c>
      <c r="I153" s="204">
        <v>0</v>
      </c>
      <c r="J153" s="203">
        <v>0</v>
      </c>
      <c r="K153" s="204">
        <v>0</v>
      </c>
      <c r="L153" s="204">
        <v>0</v>
      </c>
      <c r="M153" s="203">
        <v>0</v>
      </c>
      <c r="N153" s="204">
        <v>0</v>
      </c>
      <c r="O153" s="204">
        <v>0</v>
      </c>
      <c r="P153" s="203">
        <v>0</v>
      </c>
      <c r="Q153" s="204">
        <v>0</v>
      </c>
      <c r="R153" s="204">
        <v>0</v>
      </c>
      <c r="S153" s="203">
        <v>20</v>
      </c>
      <c r="T153" s="204">
        <v>10400</v>
      </c>
      <c r="U153" s="216">
        <v>13260</v>
      </c>
    </row>
    <row r="154" spans="1:21" ht="13.5" thickBot="1" x14ac:dyDescent="0.25">
      <c r="A154" s="2" t="s">
        <v>36</v>
      </c>
      <c r="B154" s="1" t="s">
        <v>35</v>
      </c>
      <c r="C154" s="214" t="s">
        <v>32</v>
      </c>
      <c r="D154" s="203">
        <v>0</v>
      </c>
      <c r="E154" s="204">
        <v>0</v>
      </c>
      <c r="F154" s="204">
        <v>0</v>
      </c>
      <c r="G154" s="203">
        <v>35</v>
      </c>
      <c r="H154" s="204">
        <v>33000</v>
      </c>
      <c r="I154" s="204">
        <v>44000</v>
      </c>
      <c r="J154" s="205" t="s">
        <v>16</v>
      </c>
      <c r="K154" s="205" t="s">
        <v>16</v>
      </c>
      <c r="L154" s="205" t="s">
        <v>16</v>
      </c>
      <c r="M154" s="203">
        <v>35</v>
      </c>
      <c r="N154" s="204">
        <v>25480</v>
      </c>
      <c r="O154" s="204">
        <v>26120</v>
      </c>
      <c r="P154" s="203">
        <v>35</v>
      </c>
      <c r="Q154" s="204">
        <v>25480</v>
      </c>
      <c r="R154" s="204">
        <v>27000</v>
      </c>
      <c r="S154" s="203">
        <v>35</v>
      </c>
      <c r="T154" s="204">
        <v>20000</v>
      </c>
      <c r="U154" s="216">
        <v>30000</v>
      </c>
    </row>
    <row r="155" spans="1:21" ht="13.5" thickBot="1" x14ac:dyDescent="0.25">
      <c r="A155" s="2" t="s">
        <v>38</v>
      </c>
      <c r="B155" s="1" t="s">
        <v>37</v>
      </c>
      <c r="C155" s="214" t="s">
        <v>32</v>
      </c>
      <c r="D155" s="203">
        <v>35</v>
      </c>
      <c r="E155" s="204">
        <v>23000</v>
      </c>
      <c r="F155" s="204">
        <v>36000</v>
      </c>
      <c r="G155" s="203">
        <v>18</v>
      </c>
      <c r="H155" s="204">
        <v>10000</v>
      </c>
      <c r="I155" s="204">
        <v>16000</v>
      </c>
      <c r="J155" s="205" t="s">
        <v>16</v>
      </c>
      <c r="K155" s="205" t="s">
        <v>16</v>
      </c>
      <c r="L155" s="205" t="s">
        <v>16</v>
      </c>
      <c r="M155" s="203">
        <v>35</v>
      </c>
      <c r="N155" s="204">
        <v>22000</v>
      </c>
      <c r="O155" s="204">
        <v>35000</v>
      </c>
      <c r="P155" s="203">
        <v>25</v>
      </c>
      <c r="Q155" s="204">
        <v>16000</v>
      </c>
      <c r="R155" s="204">
        <v>28000</v>
      </c>
      <c r="S155" s="203">
        <v>18</v>
      </c>
      <c r="T155" s="204">
        <v>8000</v>
      </c>
      <c r="U155" s="216">
        <v>14000</v>
      </c>
    </row>
    <row r="156" spans="1:21" ht="13.5" thickBot="1" x14ac:dyDescent="0.25">
      <c r="A156" s="2" t="s">
        <v>49</v>
      </c>
      <c r="B156" s="1" t="s">
        <v>48</v>
      </c>
      <c r="C156" s="214" t="s">
        <v>32</v>
      </c>
      <c r="D156" s="203">
        <v>0</v>
      </c>
      <c r="E156" s="204">
        <v>0</v>
      </c>
      <c r="F156" s="204">
        <v>0</v>
      </c>
      <c r="G156" s="203">
        <v>0</v>
      </c>
      <c r="H156" s="204">
        <v>0</v>
      </c>
      <c r="I156" s="204">
        <v>0</v>
      </c>
      <c r="J156" s="203">
        <v>40</v>
      </c>
      <c r="K156" s="204">
        <v>36704</v>
      </c>
      <c r="L156" s="204">
        <v>47736</v>
      </c>
      <c r="M156" s="203">
        <v>0</v>
      </c>
      <c r="N156" s="204">
        <v>0</v>
      </c>
      <c r="O156" s="204">
        <v>0</v>
      </c>
      <c r="P156" s="203">
        <v>0</v>
      </c>
      <c r="Q156" s="204">
        <v>0</v>
      </c>
      <c r="R156" s="204">
        <v>0</v>
      </c>
      <c r="S156" s="203">
        <v>15</v>
      </c>
      <c r="T156" s="204">
        <v>7363</v>
      </c>
      <c r="U156" s="216">
        <v>8291</v>
      </c>
    </row>
    <row r="157" spans="1:21" ht="13.5" thickBot="1" x14ac:dyDescent="0.25">
      <c r="A157" s="2" t="s">
        <v>57</v>
      </c>
      <c r="B157" s="1" t="s">
        <v>56</v>
      </c>
      <c r="C157" s="214" t="s">
        <v>32</v>
      </c>
      <c r="D157" s="203">
        <v>0</v>
      </c>
      <c r="E157" s="204">
        <v>0</v>
      </c>
      <c r="F157" s="204">
        <v>0</v>
      </c>
      <c r="G157" s="203">
        <v>0</v>
      </c>
      <c r="H157" s="204">
        <v>0</v>
      </c>
      <c r="I157" s="204">
        <v>0</v>
      </c>
      <c r="J157" s="203">
        <v>0</v>
      </c>
      <c r="K157" s="204">
        <v>23000</v>
      </c>
      <c r="L157" s="204">
        <v>30000</v>
      </c>
      <c r="M157" s="203">
        <v>20</v>
      </c>
      <c r="N157" s="204">
        <v>10500</v>
      </c>
      <c r="O157" s="204">
        <v>12000</v>
      </c>
      <c r="P157" s="203">
        <v>0</v>
      </c>
      <c r="Q157" s="204">
        <v>0</v>
      </c>
      <c r="R157" s="204">
        <v>0</v>
      </c>
      <c r="S157" s="203">
        <v>32</v>
      </c>
      <c r="T157" s="204">
        <v>9500</v>
      </c>
      <c r="U157" s="216">
        <v>26000</v>
      </c>
    </row>
    <row r="158" spans="1:21" ht="13.5" thickBot="1" x14ac:dyDescent="0.25">
      <c r="A158" s="2" t="s">
        <v>74</v>
      </c>
      <c r="B158" s="1" t="s">
        <v>73</v>
      </c>
      <c r="C158" s="214" t="s">
        <v>32</v>
      </c>
      <c r="D158" s="203">
        <v>44</v>
      </c>
      <c r="E158" s="204">
        <v>48000</v>
      </c>
      <c r="F158" s="204">
        <v>56000</v>
      </c>
      <c r="G158" s="205" t="s">
        <v>16</v>
      </c>
      <c r="H158" s="205" t="s">
        <v>16</v>
      </c>
      <c r="I158" s="205" t="s">
        <v>16</v>
      </c>
      <c r="J158" s="205" t="s">
        <v>16</v>
      </c>
      <c r="K158" s="205" t="s">
        <v>16</v>
      </c>
      <c r="L158" s="205" t="s">
        <v>16</v>
      </c>
      <c r="M158" s="205" t="s">
        <v>16</v>
      </c>
      <c r="N158" s="205" t="s">
        <v>16</v>
      </c>
      <c r="O158" s="205" t="s">
        <v>16</v>
      </c>
      <c r="P158" s="205" t="s">
        <v>16</v>
      </c>
      <c r="Q158" s="205" t="s">
        <v>16</v>
      </c>
      <c r="R158" s="205" t="s">
        <v>16</v>
      </c>
      <c r="S158" s="203">
        <v>20</v>
      </c>
      <c r="T158" s="204">
        <v>8000</v>
      </c>
      <c r="U158" s="216">
        <v>14000</v>
      </c>
    </row>
    <row r="159" spans="1:21" ht="13.5" thickBot="1" x14ac:dyDescent="0.25">
      <c r="A159" s="2" t="s">
        <v>84</v>
      </c>
      <c r="B159" s="1" t="s">
        <v>83</v>
      </c>
      <c r="C159" s="214" t="s">
        <v>32</v>
      </c>
      <c r="D159" s="203">
        <v>0</v>
      </c>
      <c r="E159" s="204">
        <v>0</v>
      </c>
      <c r="F159" s="204">
        <v>0</v>
      </c>
      <c r="G159" s="203">
        <v>35</v>
      </c>
      <c r="H159" s="204">
        <v>33000</v>
      </c>
      <c r="I159" s="205" t="s">
        <v>16</v>
      </c>
      <c r="J159" s="203">
        <v>30</v>
      </c>
      <c r="K159" s="204">
        <v>25000</v>
      </c>
      <c r="L159" s="205" t="s">
        <v>16</v>
      </c>
      <c r="M159" s="203">
        <v>20</v>
      </c>
      <c r="N159" s="204">
        <v>10</v>
      </c>
      <c r="O159" s="205" t="s">
        <v>16</v>
      </c>
      <c r="P159" s="205" t="s">
        <v>16</v>
      </c>
      <c r="Q159" s="205" t="s">
        <v>16</v>
      </c>
      <c r="R159" s="205" t="s">
        <v>16</v>
      </c>
      <c r="S159" s="203">
        <v>11</v>
      </c>
      <c r="T159" s="206">
        <v>5720</v>
      </c>
      <c r="U159" s="215" t="s">
        <v>16</v>
      </c>
    </row>
    <row r="160" spans="1:21" ht="13.5" thickBot="1" x14ac:dyDescent="0.25">
      <c r="A160" s="2" t="s">
        <v>104</v>
      </c>
      <c r="B160" s="1" t="s">
        <v>103</v>
      </c>
      <c r="C160" s="214" t="s">
        <v>32</v>
      </c>
      <c r="D160" s="203">
        <v>28</v>
      </c>
      <c r="E160" s="204">
        <v>15000</v>
      </c>
      <c r="F160" s="204">
        <v>20000</v>
      </c>
      <c r="G160" s="203">
        <v>40</v>
      </c>
      <c r="H160" s="204">
        <v>25000</v>
      </c>
      <c r="I160" s="204">
        <v>30000</v>
      </c>
      <c r="J160" s="205" t="s">
        <v>16</v>
      </c>
      <c r="K160" s="205" t="s">
        <v>16</v>
      </c>
      <c r="L160" s="205" t="s">
        <v>16</v>
      </c>
      <c r="M160" s="205" t="s">
        <v>16</v>
      </c>
      <c r="N160" s="205" t="s">
        <v>16</v>
      </c>
      <c r="O160" s="205" t="s">
        <v>16</v>
      </c>
      <c r="P160" s="205" t="s">
        <v>16</v>
      </c>
      <c r="Q160" s="205" t="s">
        <v>16</v>
      </c>
      <c r="R160" s="205" t="s">
        <v>16</v>
      </c>
      <c r="S160" s="203">
        <v>26</v>
      </c>
      <c r="T160" s="204">
        <v>11000</v>
      </c>
      <c r="U160" s="216">
        <v>18000</v>
      </c>
    </row>
    <row r="161" spans="1:21" ht="13.5" thickBot="1" x14ac:dyDescent="0.25">
      <c r="A161" s="2" t="s">
        <v>112</v>
      </c>
      <c r="B161" s="1" t="s">
        <v>111</v>
      </c>
      <c r="C161" s="214" t="s">
        <v>32</v>
      </c>
      <c r="D161" s="203">
        <v>36</v>
      </c>
      <c r="E161" s="204">
        <v>36888</v>
      </c>
      <c r="F161" s="204">
        <v>51823</v>
      </c>
      <c r="G161" s="203">
        <v>0</v>
      </c>
      <c r="H161" s="204">
        <v>0</v>
      </c>
      <c r="I161" s="204">
        <v>0</v>
      </c>
      <c r="J161" s="203">
        <v>0</v>
      </c>
      <c r="K161" s="204">
        <v>0</v>
      </c>
      <c r="L161" s="204">
        <v>0</v>
      </c>
      <c r="M161" s="203">
        <v>0</v>
      </c>
      <c r="N161" s="204">
        <v>0</v>
      </c>
      <c r="O161" s="204">
        <v>0</v>
      </c>
      <c r="P161" s="203">
        <v>0</v>
      </c>
      <c r="Q161" s="204">
        <v>0</v>
      </c>
      <c r="R161" s="204">
        <v>0</v>
      </c>
      <c r="S161" s="203">
        <v>20</v>
      </c>
      <c r="T161" s="204">
        <v>11455</v>
      </c>
      <c r="U161" s="216">
        <v>16723</v>
      </c>
    </row>
    <row r="162" spans="1:21" ht="13.5" thickBot="1" x14ac:dyDescent="0.25">
      <c r="A162" s="2" t="s">
        <v>116</v>
      </c>
      <c r="B162" s="1" t="s">
        <v>115</v>
      </c>
      <c r="C162" s="214" t="s">
        <v>32</v>
      </c>
      <c r="D162" s="205" t="s">
        <v>16</v>
      </c>
      <c r="E162" s="205" t="s">
        <v>16</v>
      </c>
      <c r="F162" s="205" t="s">
        <v>16</v>
      </c>
      <c r="G162" s="205" t="s">
        <v>16</v>
      </c>
      <c r="H162" s="205" t="s">
        <v>16</v>
      </c>
      <c r="I162" s="205" t="s">
        <v>16</v>
      </c>
      <c r="J162" s="205" t="s">
        <v>16</v>
      </c>
      <c r="K162" s="205" t="s">
        <v>16</v>
      </c>
      <c r="L162" s="205" t="s">
        <v>16</v>
      </c>
      <c r="M162" s="205" t="s">
        <v>16</v>
      </c>
      <c r="N162" s="205" t="s">
        <v>16</v>
      </c>
      <c r="O162" s="205" t="s">
        <v>16</v>
      </c>
      <c r="P162" s="205" t="s">
        <v>16</v>
      </c>
      <c r="Q162" s="205" t="s">
        <v>16</v>
      </c>
      <c r="R162" s="205" t="s">
        <v>16</v>
      </c>
      <c r="S162" s="203">
        <v>25</v>
      </c>
      <c r="T162" s="204">
        <v>15600</v>
      </c>
      <c r="U162" s="216">
        <v>20000</v>
      </c>
    </row>
    <row r="163" spans="1:21" ht="13.5" thickBot="1" x14ac:dyDescent="0.25">
      <c r="A163" s="2" t="s">
        <v>134</v>
      </c>
      <c r="B163" s="1" t="s">
        <v>133</v>
      </c>
      <c r="C163" s="214" t="s">
        <v>32</v>
      </c>
      <c r="D163" s="203">
        <v>40</v>
      </c>
      <c r="E163" s="204">
        <v>28000</v>
      </c>
      <c r="F163" s="204">
        <v>42000</v>
      </c>
      <c r="G163" s="203">
        <v>40</v>
      </c>
      <c r="H163" s="204">
        <v>25000</v>
      </c>
      <c r="I163" s="204">
        <v>36000</v>
      </c>
      <c r="J163" s="203">
        <v>40</v>
      </c>
      <c r="K163" s="204">
        <v>22000</v>
      </c>
      <c r="L163" s="204">
        <v>28000</v>
      </c>
      <c r="M163" s="205" t="s">
        <v>16</v>
      </c>
      <c r="N163" s="205" t="s">
        <v>16</v>
      </c>
      <c r="O163" s="205" t="s">
        <v>16</v>
      </c>
      <c r="P163" s="205" t="s">
        <v>16</v>
      </c>
      <c r="Q163" s="205" t="s">
        <v>16</v>
      </c>
      <c r="R163" s="205" t="s">
        <v>16</v>
      </c>
      <c r="S163" s="203">
        <v>25</v>
      </c>
      <c r="T163" s="204">
        <v>12025</v>
      </c>
      <c r="U163" s="216">
        <v>13500</v>
      </c>
    </row>
    <row r="164" spans="1:21" ht="13.5" thickBot="1" x14ac:dyDescent="0.25">
      <c r="A164" s="2" t="s">
        <v>136</v>
      </c>
      <c r="B164" s="1" t="s">
        <v>135</v>
      </c>
      <c r="C164" s="214" t="s">
        <v>32</v>
      </c>
      <c r="D164" s="203">
        <v>32</v>
      </c>
      <c r="E164" s="204">
        <v>15000</v>
      </c>
      <c r="F164" s="204">
        <v>40000</v>
      </c>
      <c r="G164" s="203">
        <v>26</v>
      </c>
      <c r="H164" s="204">
        <v>10000</v>
      </c>
      <c r="I164" s="204">
        <v>35000</v>
      </c>
      <c r="J164" s="203">
        <v>0</v>
      </c>
      <c r="K164" s="204">
        <v>0</v>
      </c>
      <c r="L164" s="204">
        <v>0</v>
      </c>
      <c r="M164" s="203">
        <v>0</v>
      </c>
      <c r="N164" s="204">
        <v>0</v>
      </c>
      <c r="O164" s="204">
        <v>0</v>
      </c>
      <c r="P164" s="203">
        <v>0</v>
      </c>
      <c r="Q164" s="204">
        <v>0</v>
      </c>
      <c r="R164" s="204">
        <v>0</v>
      </c>
      <c r="S164" s="203">
        <v>21</v>
      </c>
      <c r="T164" s="204">
        <v>6000</v>
      </c>
      <c r="U164" s="216">
        <v>25000</v>
      </c>
    </row>
    <row r="165" spans="1:21" ht="13.5" thickBot="1" x14ac:dyDescent="0.25">
      <c r="A165" s="2" t="s">
        <v>144</v>
      </c>
      <c r="B165" s="1" t="s">
        <v>143</v>
      </c>
      <c r="C165" s="214" t="s">
        <v>32</v>
      </c>
      <c r="D165" s="203">
        <v>47</v>
      </c>
      <c r="E165" s="204">
        <v>26393</v>
      </c>
      <c r="F165" s="204">
        <v>30721</v>
      </c>
      <c r="G165" s="205" t="s">
        <v>16</v>
      </c>
      <c r="H165" s="205" t="s">
        <v>16</v>
      </c>
      <c r="I165" s="205" t="s">
        <v>16</v>
      </c>
      <c r="J165" s="205" t="s">
        <v>16</v>
      </c>
      <c r="K165" s="205" t="s">
        <v>16</v>
      </c>
      <c r="L165" s="205" t="s">
        <v>16</v>
      </c>
      <c r="M165" s="205" t="s">
        <v>16</v>
      </c>
      <c r="N165" s="205" t="s">
        <v>16</v>
      </c>
      <c r="O165" s="205" t="s">
        <v>16</v>
      </c>
      <c r="P165" s="205" t="s">
        <v>16</v>
      </c>
      <c r="Q165" s="205" t="s">
        <v>16</v>
      </c>
      <c r="R165" s="205" t="s">
        <v>16</v>
      </c>
      <c r="S165" s="205" t="s">
        <v>16</v>
      </c>
      <c r="T165" s="205" t="s">
        <v>16</v>
      </c>
      <c r="U165" s="215" t="s">
        <v>16</v>
      </c>
    </row>
    <row r="166" spans="1:21" ht="13.5" thickBot="1" x14ac:dyDescent="0.25">
      <c r="A166" s="2" t="s">
        <v>152</v>
      </c>
      <c r="B166" s="1" t="s">
        <v>151</v>
      </c>
      <c r="C166" s="214" t="s">
        <v>32</v>
      </c>
      <c r="D166" s="203">
        <v>40</v>
      </c>
      <c r="E166" s="204">
        <v>31858</v>
      </c>
      <c r="F166" s="204">
        <v>37368</v>
      </c>
      <c r="G166" s="205" t="s">
        <v>16</v>
      </c>
      <c r="H166" s="205" t="s">
        <v>16</v>
      </c>
      <c r="I166" s="205" t="s">
        <v>16</v>
      </c>
      <c r="J166" s="205" t="s">
        <v>16</v>
      </c>
      <c r="K166" s="205" t="s">
        <v>16</v>
      </c>
      <c r="L166" s="205" t="s">
        <v>16</v>
      </c>
      <c r="M166" s="203">
        <v>40</v>
      </c>
      <c r="N166" s="204">
        <v>30887</v>
      </c>
      <c r="O166" s="204">
        <v>33209</v>
      </c>
      <c r="P166" s="205" t="s">
        <v>16</v>
      </c>
      <c r="Q166" s="205" t="s">
        <v>16</v>
      </c>
      <c r="R166" s="205" t="s">
        <v>16</v>
      </c>
      <c r="S166" s="203">
        <v>33</v>
      </c>
      <c r="T166" s="204">
        <v>21311</v>
      </c>
      <c r="U166" s="216">
        <v>28607</v>
      </c>
    </row>
    <row r="167" spans="1:21" ht="13.5" thickBot="1" x14ac:dyDescent="0.25">
      <c r="A167" s="2" t="s">
        <v>156</v>
      </c>
      <c r="B167" s="1" t="s">
        <v>155</v>
      </c>
      <c r="C167" s="214" t="s">
        <v>32</v>
      </c>
      <c r="D167" s="203">
        <v>37</v>
      </c>
      <c r="E167" s="204">
        <v>27975</v>
      </c>
      <c r="F167" s="204">
        <v>27975</v>
      </c>
      <c r="G167" s="203">
        <v>32</v>
      </c>
      <c r="H167" s="204">
        <v>19619</v>
      </c>
      <c r="I167" s="204">
        <v>19619</v>
      </c>
      <c r="J167" s="205" t="s">
        <v>16</v>
      </c>
      <c r="K167" s="205" t="s">
        <v>16</v>
      </c>
      <c r="L167" s="205" t="s">
        <v>16</v>
      </c>
      <c r="M167" s="203">
        <v>25</v>
      </c>
      <c r="N167" s="204">
        <v>13624</v>
      </c>
      <c r="O167" s="204">
        <v>13624</v>
      </c>
      <c r="P167" s="205" t="s">
        <v>16</v>
      </c>
      <c r="Q167" s="205" t="s">
        <v>16</v>
      </c>
      <c r="R167" s="205" t="s">
        <v>16</v>
      </c>
      <c r="S167" s="203">
        <v>37</v>
      </c>
      <c r="T167" s="204">
        <v>17797</v>
      </c>
      <c r="U167" s="216">
        <v>17797</v>
      </c>
    </row>
    <row r="168" spans="1:21" ht="13.5" thickBot="1" x14ac:dyDescent="0.25">
      <c r="A168" s="2" t="s">
        <v>160</v>
      </c>
      <c r="B168" s="1" t="s">
        <v>159</v>
      </c>
      <c r="C168" s="214" t="s">
        <v>32</v>
      </c>
      <c r="D168" s="203">
        <v>0</v>
      </c>
      <c r="E168" s="204">
        <v>0</v>
      </c>
      <c r="F168" s="204">
        <v>0</v>
      </c>
      <c r="G168" s="203">
        <v>0</v>
      </c>
      <c r="H168" s="204">
        <v>0</v>
      </c>
      <c r="I168" s="204">
        <v>0</v>
      </c>
      <c r="J168" s="203">
        <v>0</v>
      </c>
      <c r="K168" s="204">
        <v>0</v>
      </c>
      <c r="L168" s="204">
        <v>0</v>
      </c>
      <c r="M168" s="203">
        <v>0</v>
      </c>
      <c r="N168" s="204">
        <v>0</v>
      </c>
      <c r="O168" s="204">
        <v>0</v>
      </c>
      <c r="P168" s="203">
        <v>0</v>
      </c>
      <c r="Q168" s="204">
        <v>0</v>
      </c>
      <c r="R168" s="204">
        <v>0</v>
      </c>
      <c r="S168" s="203">
        <v>11</v>
      </c>
      <c r="T168" s="204">
        <v>5550</v>
      </c>
      <c r="U168" s="216">
        <v>12725</v>
      </c>
    </row>
    <row r="169" spans="1:21" ht="13.5" thickBot="1" x14ac:dyDescent="0.25">
      <c r="A169" s="2" t="s">
        <v>162</v>
      </c>
      <c r="B169" s="1" t="s">
        <v>161</v>
      </c>
      <c r="C169" s="214" t="s">
        <v>32</v>
      </c>
      <c r="D169" s="203">
        <v>0</v>
      </c>
      <c r="E169" s="204">
        <v>0</v>
      </c>
      <c r="F169" s="204">
        <v>0</v>
      </c>
      <c r="G169" s="203">
        <v>0</v>
      </c>
      <c r="H169" s="204">
        <v>0</v>
      </c>
      <c r="I169" s="204">
        <v>0</v>
      </c>
      <c r="J169" s="203">
        <v>0</v>
      </c>
      <c r="K169" s="204">
        <v>0</v>
      </c>
      <c r="L169" s="204">
        <v>0</v>
      </c>
      <c r="M169" s="203">
        <v>40</v>
      </c>
      <c r="N169" s="204">
        <v>29120</v>
      </c>
      <c r="O169" s="204">
        <v>29120</v>
      </c>
      <c r="P169" s="203">
        <v>0</v>
      </c>
      <c r="Q169" s="204">
        <v>0</v>
      </c>
      <c r="R169" s="204">
        <v>0</v>
      </c>
      <c r="S169" s="203">
        <v>0</v>
      </c>
      <c r="T169" s="204">
        <v>9620</v>
      </c>
      <c r="U169" s="216">
        <v>13468</v>
      </c>
    </row>
    <row r="170" spans="1:21" ht="13.5" thickBot="1" x14ac:dyDescent="0.25">
      <c r="A170" s="2" t="s">
        <v>168</v>
      </c>
      <c r="B170" s="1" t="s">
        <v>167</v>
      </c>
      <c r="C170" s="214" t="s">
        <v>32</v>
      </c>
      <c r="D170" s="205" t="s">
        <v>16</v>
      </c>
      <c r="E170" s="205" t="s">
        <v>16</v>
      </c>
      <c r="F170" s="205" t="s">
        <v>16</v>
      </c>
      <c r="G170" s="205" t="s">
        <v>16</v>
      </c>
      <c r="H170" s="205" t="s">
        <v>16</v>
      </c>
      <c r="I170" s="205" t="s">
        <v>16</v>
      </c>
      <c r="J170" s="203">
        <v>38</v>
      </c>
      <c r="K170" s="204">
        <v>35000</v>
      </c>
      <c r="L170" s="204">
        <v>42000</v>
      </c>
      <c r="M170" s="203">
        <v>38</v>
      </c>
      <c r="N170" s="204">
        <v>35000</v>
      </c>
      <c r="O170" s="204">
        <v>40000</v>
      </c>
      <c r="P170" s="203">
        <v>15</v>
      </c>
      <c r="Q170" s="204">
        <v>19800</v>
      </c>
      <c r="R170" s="204">
        <v>19800</v>
      </c>
      <c r="S170" s="203">
        <v>25</v>
      </c>
      <c r="T170" s="204">
        <v>16250</v>
      </c>
      <c r="U170" s="216">
        <v>19500</v>
      </c>
    </row>
    <row r="171" spans="1:21" ht="13.5" thickBot="1" x14ac:dyDescent="0.25">
      <c r="A171" s="2" t="s">
        <v>204</v>
      </c>
      <c r="B171" s="1" t="s">
        <v>203</v>
      </c>
      <c r="C171" s="214" t="s">
        <v>32</v>
      </c>
      <c r="D171" s="205" t="s">
        <v>16</v>
      </c>
      <c r="E171" s="205" t="s">
        <v>16</v>
      </c>
      <c r="F171" s="205" t="s">
        <v>16</v>
      </c>
      <c r="G171" s="205" t="s">
        <v>16</v>
      </c>
      <c r="H171" s="205" t="s">
        <v>16</v>
      </c>
      <c r="I171" s="205" t="s">
        <v>16</v>
      </c>
      <c r="J171" s="203">
        <v>36</v>
      </c>
      <c r="K171" s="204">
        <v>30000</v>
      </c>
      <c r="L171" s="204">
        <v>31000</v>
      </c>
      <c r="M171" s="203">
        <v>36</v>
      </c>
      <c r="N171" s="204">
        <v>17000</v>
      </c>
      <c r="O171" s="204">
        <v>25000</v>
      </c>
      <c r="P171" s="205" t="s">
        <v>16</v>
      </c>
      <c r="Q171" s="205" t="s">
        <v>16</v>
      </c>
      <c r="R171" s="205" t="s">
        <v>16</v>
      </c>
      <c r="S171" s="203">
        <v>25</v>
      </c>
      <c r="T171" s="204">
        <v>13500</v>
      </c>
      <c r="U171" s="216">
        <v>18000</v>
      </c>
    </row>
    <row r="172" spans="1:21" ht="13.5" thickBot="1" x14ac:dyDescent="0.25">
      <c r="A172" s="2" t="s">
        <v>229</v>
      </c>
      <c r="B172" s="1" t="s">
        <v>228</v>
      </c>
      <c r="C172" s="214" t="s">
        <v>32</v>
      </c>
      <c r="D172" s="203">
        <v>28</v>
      </c>
      <c r="E172" s="204">
        <v>21000</v>
      </c>
      <c r="F172" s="204">
        <v>22000</v>
      </c>
      <c r="G172" s="205" t="s">
        <v>16</v>
      </c>
      <c r="H172" s="205" t="s">
        <v>16</v>
      </c>
      <c r="I172" s="205" t="s">
        <v>16</v>
      </c>
      <c r="J172" s="205" t="s">
        <v>16</v>
      </c>
      <c r="K172" s="205" t="s">
        <v>16</v>
      </c>
      <c r="L172" s="205" t="s">
        <v>16</v>
      </c>
      <c r="M172" s="205" t="s">
        <v>16</v>
      </c>
      <c r="N172" s="205" t="s">
        <v>16</v>
      </c>
      <c r="O172" s="205" t="s">
        <v>16</v>
      </c>
      <c r="P172" s="203">
        <v>6</v>
      </c>
      <c r="Q172" s="204">
        <v>3600</v>
      </c>
      <c r="R172" s="204">
        <v>6000</v>
      </c>
      <c r="S172" s="203">
        <v>20</v>
      </c>
      <c r="T172" s="204">
        <v>8000</v>
      </c>
      <c r="U172" s="216">
        <v>15600</v>
      </c>
    </row>
    <row r="173" spans="1:21" ht="13.5" thickBot="1" x14ac:dyDescent="0.25">
      <c r="A173" s="2" t="s">
        <v>243</v>
      </c>
      <c r="B173" s="1" t="s">
        <v>242</v>
      </c>
      <c r="C173" s="214" t="s">
        <v>32</v>
      </c>
      <c r="D173" s="203">
        <v>16</v>
      </c>
      <c r="E173" s="204">
        <v>10000</v>
      </c>
      <c r="F173" s="204">
        <v>25000</v>
      </c>
      <c r="G173" s="203">
        <v>0</v>
      </c>
      <c r="H173" s="204">
        <v>0</v>
      </c>
      <c r="I173" s="204">
        <v>0</v>
      </c>
      <c r="J173" s="203">
        <v>0</v>
      </c>
      <c r="K173" s="204">
        <v>0</v>
      </c>
      <c r="L173" s="204">
        <v>0</v>
      </c>
      <c r="M173" s="203">
        <v>0</v>
      </c>
      <c r="N173" s="204">
        <v>0</v>
      </c>
      <c r="O173" s="204">
        <v>0</v>
      </c>
      <c r="P173" s="203">
        <v>0</v>
      </c>
      <c r="Q173" s="204">
        <v>0</v>
      </c>
      <c r="R173" s="204">
        <v>0</v>
      </c>
      <c r="S173" s="203">
        <v>20</v>
      </c>
      <c r="T173" s="204">
        <v>1500</v>
      </c>
      <c r="U173" s="216">
        <v>20000</v>
      </c>
    </row>
    <row r="174" spans="1:21" ht="13.5" thickBot="1" x14ac:dyDescent="0.25">
      <c r="A174" s="2" t="s">
        <v>257</v>
      </c>
      <c r="B174" s="1" t="s">
        <v>256</v>
      </c>
      <c r="C174" s="214" t="s">
        <v>32</v>
      </c>
      <c r="D174" s="205" t="s">
        <v>16</v>
      </c>
      <c r="E174" s="205" t="s">
        <v>16</v>
      </c>
      <c r="F174" s="205" t="s">
        <v>16</v>
      </c>
      <c r="G174" s="205" t="s">
        <v>16</v>
      </c>
      <c r="H174" s="205" t="s">
        <v>16</v>
      </c>
      <c r="I174" s="205" t="s">
        <v>16</v>
      </c>
      <c r="J174" s="205" t="s">
        <v>16</v>
      </c>
      <c r="K174" s="205" t="s">
        <v>16</v>
      </c>
      <c r="L174" s="205" t="s">
        <v>16</v>
      </c>
      <c r="M174" s="205" t="s">
        <v>16</v>
      </c>
      <c r="N174" s="205" t="s">
        <v>16</v>
      </c>
      <c r="O174" s="205" t="s">
        <v>16</v>
      </c>
      <c r="P174" s="205" t="s">
        <v>16</v>
      </c>
      <c r="Q174" s="205" t="s">
        <v>16</v>
      </c>
      <c r="R174" s="205" t="s">
        <v>16</v>
      </c>
      <c r="S174" s="203">
        <v>40</v>
      </c>
      <c r="T174" s="204">
        <v>31000</v>
      </c>
      <c r="U174" s="216">
        <v>32000</v>
      </c>
    </row>
    <row r="175" spans="1:21" ht="13.5" thickBot="1" x14ac:dyDescent="0.25">
      <c r="A175" s="2" t="s">
        <v>261</v>
      </c>
      <c r="B175" s="1" t="s">
        <v>260</v>
      </c>
      <c r="C175" s="214" t="s">
        <v>32</v>
      </c>
      <c r="D175" s="205" t="s">
        <v>16</v>
      </c>
      <c r="E175" s="205" t="s">
        <v>16</v>
      </c>
      <c r="F175" s="205" t="s">
        <v>16</v>
      </c>
      <c r="G175" s="205" t="s">
        <v>16</v>
      </c>
      <c r="H175" s="205" t="s">
        <v>16</v>
      </c>
      <c r="I175" s="205" t="s">
        <v>16</v>
      </c>
      <c r="J175" s="205" t="s">
        <v>16</v>
      </c>
      <c r="K175" s="205" t="s">
        <v>16</v>
      </c>
      <c r="L175" s="205" t="s">
        <v>16</v>
      </c>
      <c r="M175" s="205" t="s">
        <v>16</v>
      </c>
      <c r="N175" s="205" t="s">
        <v>16</v>
      </c>
      <c r="O175" s="205" t="s">
        <v>16</v>
      </c>
      <c r="P175" s="203">
        <v>29</v>
      </c>
      <c r="Q175" s="204">
        <v>30000</v>
      </c>
      <c r="R175" s="205" t="s">
        <v>16</v>
      </c>
      <c r="S175" s="205" t="s">
        <v>16</v>
      </c>
      <c r="T175" s="205" t="s">
        <v>16</v>
      </c>
      <c r="U175" s="215" t="s">
        <v>16</v>
      </c>
    </row>
    <row r="176" spans="1:21" ht="13.5" thickBot="1" x14ac:dyDescent="0.25">
      <c r="A176" s="2" t="s">
        <v>273</v>
      </c>
      <c r="B176" s="1" t="s">
        <v>272</v>
      </c>
      <c r="C176" s="214" t="s">
        <v>32</v>
      </c>
      <c r="D176" s="205" t="s">
        <v>16</v>
      </c>
      <c r="E176" s="205" t="s">
        <v>16</v>
      </c>
      <c r="F176" s="205" t="s">
        <v>16</v>
      </c>
      <c r="G176" s="205" t="s">
        <v>16</v>
      </c>
      <c r="H176" s="205" t="s">
        <v>16</v>
      </c>
      <c r="I176" s="205" t="s">
        <v>16</v>
      </c>
      <c r="J176" s="205" t="s">
        <v>16</v>
      </c>
      <c r="K176" s="204">
        <v>6500</v>
      </c>
      <c r="L176" s="204">
        <v>6500</v>
      </c>
      <c r="M176" s="205" t="s">
        <v>16</v>
      </c>
      <c r="N176" s="205" t="s">
        <v>16</v>
      </c>
      <c r="O176" s="205" t="s">
        <v>16</v>
      </c>
      <c r="P176" s="203">
        <v>15</v>
      </c>
      <c r="Q176" s="204">
        <v>7500</v>
      </c>
      <c r="R176" s="204">
        <v>8500</v>
      </c>
      <c r="S176" s="203">
        <v>15</v>
      </c>
      <c r="T176" s="204">
        <v>7500</v>
      </c>
      <c r="U176" s="216">
        <v>8500</v>
      </c>
    </row>
    <row r="177" spans="1:21" ht="13.5" thickBot="1" x14ac:dyDescent="0.25">
      <c r="A177" s="2" t="s">
        <v>297</v>
      </c>
      <c r="B177" s="1" t="s">
        <v>296</v>
      </c>
      <c r="C177" s="214" t="s">
        <v>32</v>
      </c>
      <c r="D177" s="203">
        <v>30</v>
      </c>
      <c r="E177" s="204">
        <v>23400</v>
      </c>
      <c r="F177" s="204">
        <v>26520</v>
      </c>
      <c r="G177" s="203">
        <v>40</v>
      </c>
      <c r="H177" s="204">
        <v>35360</v>
      </c>
      <c r="I177" s="204">
        <v>39000</v>
      </c>
      <c r="J177" s="203">
        <v>25</v>
      </c>
      <c r="K177" s="204">
        <v>16000</v>
      </c>
      <c r="L177" s="204">
        <v>22000</v>
      </c>
      <c r="M177" s="203">
        <v>15</v>
      </c>
      <c r="N177" s="204">
        <v>8500</v>
      </c>
      <c r="O177" s="204">
        <v>12000</v>
      </c>
      <c r="P177" s="205" t="s">
        <v>16</v>
      </c>
      <c r="Q177" s="205" t="s">
        <v>16</v>
      </c>
      <c r="R177" s="205" t="s">
        <v>16</v>
      </c>
      <c r="S177" s="203">
        <v>15</v>
      </c>
      <c r="T177" s="204">
        <v>7020</v>
      </c>
      <c r="U177" s="216">
        <v>7800</v>
      </c>
    </row>
    <row r="178" spans="1:21" ht="13.5" thickBot="1" x14ac:dyDescent="0.25">
      <c r="A178" s="2" t="s">
        <v>309</v>
      </c>
      <c r="B178" s="1" t="s">
        <v>308</v>
      </c>
      <c r="C178" s="214" t="s">
        <v>32</v>
      </c>
      <c r="D178" s="203">
        <v>0</v>
      </c>
      <c r="E178" s="205" t="s">
        <v>16</v>
      </c>
      <c r="F178" s="205" t="s">
        <v>16</v>
      </c>
      <c r="G178" s="205" t="s">
        <v>16</v>
      </c>
      <c r="H178" s="205" t="s">
        <v>16</v>
      </c>
      <c r="I178" s="205" t="s">
        <v>16</v>
      </c>
      <c r="J178" s="205" t="s">
        <v>16</v>
      </c>
      <c r="K178" s="205" t="s">
        <v>16</v>
      </c>
      <c r="L178" s="205" t="s">
        <v>16</v>
      </c>
      <c r="M178" s="205" t="s">
        <v>16</v>
      </c>
      <c r="N178" s="205" t="s">
        <v>16</v>
      </c>
      <c r="O178" s="205" t="s">
        <v>16</v>
      </c>
      <c r="P178" s="205" t="s">
        <v>16</v>
      </c>
      <c r="Q178" s="205" t="s">
        <v>16</v>
      </c>
      <c r="R178" s="205" t="s">
        <v>16</v>
      </c>
      <c r="S178" s="203">
        <v>15</v>
      </c>
      <c r="T178" s="204">
        <v>6240</v>
      </c>
      <c r="U178" s="216">
        <v>18304</v>
      </c>
    </row>
    <row r="179" spans="1:21" ht="13.5" thickBot="1" x14ac:dyDescent="0.25">
      <c r="A179" s="2" t="s">
        <v>315</v>
      </c>
      <c r="B179" s="1" t="s">
        <v>314</v>
      </c>
      <c r="C179" s="214" t="s">
        <v>32</v>
      </c>
      <c r="D179" s="205" t="s">
        <v>16</v>
      </c>
      <c r="E179" s="205" t="s">
        <v>16</v>
      </c>
      <c r="F179" s="205" t="s">
        <v>16</v>
      </c>
      <c r="G179" s="203">
        <v>20</v>
      </c>
      <c r="H179" s="204">
        <v>16234</v>
      </c>
      <c r="I179" s="204">
        <v>17826</v>
      </c>
      <c r="J179" s="205" t="s">
        <v>16</v>
      </c>
      <c r="K179" s="205" t="s">
        <v>16</v>
      </c>
      <c r="L179" s="205" t="s">
        <v>16</v>
      </c>
      <c r="M179" s="203">
        <v>15</v>
      </c>
      <c r="N179" s="204">
        <v>9563</v>
      </c>
      <c r="O179" s="204">
        <v>11981</v>
      </c>
      <c r="P179" s="205" t="s">
        <v>16</v>
      </c>
      <c r="Q179" s="205" t="s">
        <v>16</v>
      </c>
      <c r="R179" s="205" t="s">
        <v>16</v>
      </c>
      <c r="S179" s="203">
        <v>13</v>
      </c>
      <c r="T179" s="204">
        <v>8971</v>
      </c>
      <c r="U179" s="216">
        <v>9849</v>
      </c>
    </row>
    <row r="180" spans="1:21" ht="13.5" thickBot="1" x14ac:dyDescent="0.25">
      <c r="A180" s="2" t="s">
        <v>323</v>
      </c>
      <c r="B180" s="1" t="s">
        <v>322</v>
      </c>
      <c r="C180" s="214" t="s">
        <v>32</v>
      </c>
      <c r="D180" s="205" t="s">
        <v>16</v>
      </c>
      <c r="E180" s="205" t="s">
        <v>16</v>
      </c>
      <c r="F180" s="205" t="s">
        <v>16</v>
      </c>
      <c r="G180" s="205" t="s">
        <v>16</v>
      </c>
      <c r="H180" s="205" t="s">
        <v>16</v>
      </c>
      <c r="I180" s="205" t="s">
        <v>16</v>
      </c>
      <c r="J180" s="205" t="s">
        <v>16</v>
      </c>
      <c r="K180" s="205" t="s">
        <v>16</v>
      </c>
      <c r="L180" s="205" t="s">
        <v>16</v>
      </c>
      <c r="M180" s="205" t="s">
        <v>16</v>
      </c>
      <c r="N180" s="205" t="s">
        <v>16</v>
      </c>
      <c r="O180" s="205" t="s">
        <v>16</v>
      </c>
      <c r="P180" s="205" t="s">
        <v>16</v>
      </c>
      <c r="Q180" s="205" t="s">
        <v>16</v>
      </c>
      <c r="R180" s="205" t="s">
        <v>16</v>
      </c>
      <c r="S180" s="203">
        <v>40</v>
      </c>
      <c r="T180" s="204">
        <v>29500</v>
      </c>
      <c r="U180" s="216">
        <v>44500</v>
      </c>
    </row>
    <row r="181" spans="1:21" ht="13.5" thickBot="1" x14ac:dyDescent="0.25">
      <c r="A181" s="2" t="s">
        <v>337</v>
      </c>
      <c r="B181" s="1" t="s">
        <v>336</v>
      </c>
      <c r="C181" s="214" t="s">
        <v>32</v>
      </c>
      <c r="D181" s="203">
        <v>30</v>
      </c>
      <c r="E181" s="204">
        <v>15600</v>
      </c>
      <c r="F181" s="204">
        <v>27300</v>
      </c>
      <c r="G181" s="203">
        <v>34</v>
      </c>
      <c r="H181" s="204">
        <v>17680</v>
      </c>
      <c r="I181" s="204">
        <v>22984</v>
      </c>
      <c r="J181" s="205" t="s">
        <v>16</v>
      </c>
      <c r="K181" s="205" t="s">
        <v>16</v>
      </c>
      <c r="L181" s="205" t="s">
        <v>16</v>
      </c>
      <c r="M181" s="205" t="s">
        <v>16</v>
      </c>
      <c r="N181" s="205" t="s">
        <v>16</v>
      </c>
      <c r="O181" s="205" t="s">
        <v>16</v>
      </c>
      <c r="P181" s="205" t="s">
        <v>16</v>
      </c>
      <c r="Q181" s="205" t="s">
        <v>16</v>
      </c>
      <c r="R181" s="205" t="s">
        <v>16</v>
      </c>
      <c r="S181" s="203">
        <v>32</v>
      </c>
      <c r="T181" s="204">
        <v>16640</v>
      </c>
      <c r="U181" s="216">
        <v>21632</v>
      </c>
    </row>
    <row r="182" spans="1:21" ht="13.5" thickBot="1" x14ac:dyDescent="0.25">
      <c r="A182" s="2" t="s">
        <v>357</v>
      </c>
      <c r="B182" s="1" t="s">
        <v>356</v>
      </c>
      <c r="C182" s="214" t="s">
        <v>32</v>
      </c>
      <c r="D182" s="203">
        <v>34</v>
      </c>
      <c r="E182" s="204">
        <v>24000</v>
      </c>
      <c r="F182" s="204">
        <v>29000</v>
      </c>
      <c r="G182" s="205" t="s">
        <v>16</v>
      </c>
      <c r="H182" s="205" t="s">
        <v>16</v>
      </c>
      <c r="I182" s="205" t="s">
        <v>16</v>
      </c>
      <c r="J182" s="205" t="s">
        <v>16</v>
      </c>
      <c r="K182" s="205" t="s">
        <v>16</v>
      </c>
      <c r="L182" s="205" t="s">
        <v>16</v>
      </c>
      <c r="M182" s="203">
        <v>27</v>
      </c>
      <c r="N182" s="204">
        <v>13000</v>
      </c>
      <c r="O182" s="204">
        <v>18000</v>
      </c>
      <c r="P182" s="205" t="s">
        <v>16</v>
      </c>
      <c r="Q182" s="205" t="s">
        <v>16</v>
      </c>
      <c r="R182" s="205" t="s">
        <v>16</v>
      </c>
      <c r="S182" s="203">
        <v>19</v>
      </c>
      <c r="T182" s="204">
        <v>10000</v>
      </c>
      <c r="U182" s="216">
        <v>15000</v>
      </c>
    </row>
    <row r="183" spans="1:21" ht="13.5" thickBot="1" x14ac:dyDescent="0.25">
      <c r="A183" s="2" t="s">
        <v>365</v>
      </c>
      <c r="B183" s="1" t="s">
        <v>364</v>
      </c>
      <c r="C183" s="214" t="s">
        <v>32</v>
      </c>
      <c r="D183" s="205" t="s">
        <v>16</v>
      </c>
      <c r="E183" s="205" t="s">
        <v>16</v>
      </c>
      <c r="F183" s="205" t="s">
        <v>16</v>
      </c>
      <c r="G183" s="203">
        <v>40</v>
      </c>
      <c r="H183" s="204">
        <v>35000</v>
      </c>
      <c r="I183" s="204">
        <v>40000</v>
      </c>
      <c r="J183" s="205" t="s">
        <v>16</v>
      </c>
      <c r="K183" s="205" t="s">
        <v>16</v>
      </c>
      <c r="L183" s="205" t="s">
        <v>16</v>
      </c>
      <c r="M183" s="205" t="s">
        <v>16</v>
      </c>
      <c r="N183" s="205" t="s">
        <v>16</v>
      </c>
      <c r="O183" s="205" t="s">
        <v>16</v>
      </c>
      <c r="P183" s="205" t="s">
        <v>16</v>
      </c>
      <c r="Q183" s="205" t="s">
        <v>16</v>
      </c>
      <c r="R183" s="205" t="s">
        <v>16</v>
      </c>
      <c r="S183" s="203">
        <v>28</v>
      </c>
      <c r="T183" s="204">
        <v>20384</v>
      </c>
      <c r="U183" s="216">
        <v>26624</v>
      </c>
    </row>
    <row r="184" spans="1:21" ht="13.5" thickBot="1" x14ac:dyDescent="0.25">
      <c r="A184" s="2" t="s">
        <v>373</v>
      </c>
      <c r="B184" s="1" t="s">
        <v>372</v>
      </c>
      <c r="C184" s="214" t="s">
        <v>32</v>
      </c>
      <c r="D184" s="205" t="s">
        <v>16</v>
      </c>
      <c r="E184" s="205" t="s">
        <v>16</v>
      </c>
      <c r="F184" s="205" t="s">
        <v>16</v>
      </c>
      <c r="G184" s="203">
        <v>40</v>
      </c>
      <c r="H184" s="204">
        <v>22880</v>
      </c>
      <c r="I184" s="204">
        <v>31200</v>
      </c>
      <c r="J184" s="205" t="s">
        <v>16</v>
      </c>
      <c r="K184" s="205" t="s">
        <v>16</v>
      </c>
      <c r="L184" s="205" t="s">
        <v>16</v>
      </c>
      <c r="M184" s="205" t="s">
        <v>16</v>
      </c>
      <c r="N184" s="205" t="s">
        <v>16</v>
      </c>
      <c r="O184" s="205" t="s">
        <v>16</v>
      </c>
      <c r="P184" s="205" t="s">
        <v>16</v>
      </c>
      <c r="Q184" s="205" t="s">
        <v>16</v>
      </c>
      <c r="R184" s="205" t="s">
        <v>16</v>
      </c>
      <c r="S184" s="203">
        <v>29</v>
      </c>
      <c r="T184" s="204">
        <v>16588</v>
      </c>
      <c r="U184" s="216">
        <v>18096</v>
      </c>
    </row>
    <row r="185" spans="1:21" ht="13.5" thickBot="1" x14ac:dyDescent="0.25">
      <c r="A185" s="2" t="s">
        <v>393</v>
      </c>
      <c r="B185" s="1" t="s">
        <v>392</v>
      </c>
      <c r="C185" s="214" t="s">
        <v>32</v>
      </c>
      <c r="D185" s="205" t="s">
        <v>16</v>
      </c>
      <c r="E185" s="205" t="s">
        <v>16</v>
      </c>
      <c r="F185" s="205" t="s">
        <v>16</v>
      </c>
      <c r="G185" s="205" t="s">
        <v>16</v>
      </c>
      <c r="H185" s="205" t="s">
        <v>16</v>
      </c>
      <c r="I185" s="205" t="s">
        <v>16</v>
      </c>
      <c r="J185" s="205" t="s">
        <v>16</v>
      </c>
      <c r="K185" s="205" t="s">
        <v>16</v>
      </c>
      <c r="L185" s="205" t="s">
        <v>16</v>
      </c>
      <c r="M185" s="205" t="s">
        <v>16</v>
      </c>
      <c r="N185" s="205" t="s">
        <v>16</v>
      </c>
      <c r="O185" s="205" t="s">
        <v>16</v>
      </c>
      <c r="P185" s="203">
        <v>22</v>
      </c>
      <c r="Q185" s="204">
        <v>13080</v>
      </c>
      <c r="R185" s="204">
        <v>14965</v>
      </c>
      <c r="S185" s="203">
        <v>24</v>
      </c>
      <c r="T185" s="204">
        <v>12990</v>
      </c>
      <c r="U185" s="216">
        <v>15942</v>
      </c>
    </row>
    <row r="186" spans="1:21" ht="13.5" thickBot="1" x14ac:dyDescent="0.25">
      <c r="A186" s="2" t="s">
        <v>425</v>
      </c>
      <c r="B186" s="1" t="s">
        <v>424</v>
      </c>
      <c r="C186" s="214" t="s">
        <v>32</v>
      </c>
      <c r="D186" s="205" t="s">
        <v>16</v>
      </c>
      <c r="E186" s="205" t="s">
        <v>16</v>
      </c>
      <c r="F186" s="205" t="s">
        <v>16</v>
      </c>
      <c r="G186" s="205" t="s">
        <v>16</v>
      </c>
      <c r="H186" s="205" t="s">
        <v>16</v>
      </c>
      <c r="I186" s="205" t="s">
        <v>16</v>
      </c>
      <c r="J186" s="205" t="s">
        <v>16</v>
      </c>
      <c r="K186" s="205" t="s">
        <v>16</v>
      </c>
      <c r="L186" s="205" t="s">
        <v>16</v>
      </c>
      <c r="M186" s="205" t="s">
        <v>16</v>
      </c>
      <c r="N186" s="205" t="s">
        <v>16</v>
      </c>
      <c r="O186" s="205" t="s">
        <v>16</v>
      </c>
      <c r="P186" s="205" t="s">
        <v>16</v>
      </c>
      <c r="Q186" s="205" t="s">
        <v>16</v>
      </c>
      <c r="R186" s="205" t="s">
        <v>16</v>
      </c>
      <c r="S186" s="203">
        <v>24</v>
      </c>
      <c r="T186" s="204">
        <v>14260</v>
      </c>
      <c r="U186" s="216">
        <v>14260</v>
      </c>
    </row>
    <row r="187" spans="1:21" ht="13.5" thickBot="1" x14ac:dyDescent="0.25">
      <c r="A187" s="2" t="s">
        <v>423</v>
      </c>
      <c r="B187" s="1" t="s">
        <v>422</v>
      </c>
      <c r="C187" s="214" t="s">
        <v>32</v>
      </c>
      <c r="D187" s="205" t="s">
        <v>16</v>
      </c>
      <c r="E187" s="205" t="s">
        <v>16</v>
      </c>
      <c r="F187" s="205" t="s">
        <v>16</v>
      </c>
      <c r="G187" s="205" t="s">
        <v>16</v>
      </c>
      <c r="H187" s="205" t="s">
        <v>16</v>
      </c>
      <c r="I187" s="205" t="s">
        <v>16</v>
      </c>
      <c r="J187" s="205" t="s">
        <v>16</v>
      </c>
      <c r="K187" s="205" t="s">
        <v>16</v>
      </c>
      <c r="L187" s="205" t="s">
        <v>16</v>
      </c>
      <c r="M187" s="205" t="s">
        <v>16</v>
      </c>
      <c r="N187" s="205" t="s">
        <v>16</v>
      </c>
      <c r="O187" s="205" t="s">
        <v>16</v>
      </c>
      <c r="P187" s="205" t="s">
        <v>16</v>
      </c>
      <c r="Q187" s="205" t="s">
        <v>16</v>
      </c>
      <c r="R187" s="205" t="s">
        <v>16</v>
      </c>
      <c r="S187" s="203">
        <v>10</v>
      </c>
      <c r="T187" s="204">
        <v>4102</v>
      </c>
      <c r="U187" s="216">
        <v>5602</v>
      </c>
    </row>
    <row r="188" spans="1:21" ht="13.5" thickBot="1" x14ac:dyDescent="0.25">
      <c r="A188" s="2" t="s">
        <v>447</v>
      </c>
      <c r="B188" s="1" t="s">
        <v>446</v>
      </c>
      <c r="C188" s="214" t="s">
        <v>32</v>
      </c>
      <c r="D188" s="205" t="s">
        <v>16</v>
      </c>
      <c r="E188" s="205" t="s">
        <v>16</v>
      </c>
      <c r="F188" s="205" t="s">
        <v>16</v>
      </c>
      <c r="G188" s="205" t="s">
        <v>16</v>
      </c>
      <c r="H188" s="205" t="s">
        <v>16</v>
      </c>
      <c r="I188" s="205" t="s">
        <v>16</v>
      </c>
      <c r="J188" s="203">
        <v>40</v>
      </c>
      <c r="K188" s="204">
        <v>36875</v>
      </c>
      <c r="L188" s="204">
        <v>45198</v>
      </c>
      <c r="M188" s="203">
        <v>15</v>
      </c>
      <c r="N188" s="204">
        <v>32718</v>
      </c>
      <c r="O188" s="204">
        <v>41038</v>
      </c>
      <c r="P188" s="203">
        <v>24</v>
      </c>
      <c r="Q188" s="204">
        <v>27500</v>
      </c>
      <c r="R188" s="204">
        <v>36550</v>
      </c>
      <c r="S188" s="203">
        <v>29</v>
      </c>
      <c r="T188" s="204">
        <v>20280</v>
      </c>
      <c r="U188" s="216">
        <v>28080</v>
      </c>
    </row>
    <row r="189" spans="1:21" ht="13.5" thickBot="1" x14ac:dyDescent="0.25">
      <c r="A189" s="2" t="s">
        <v>461</v>
      </c>
      <c r="B189" s="1" t="s">
        <v>460</v>
      </c>
      <c r="C189" s="214" t="s">
        <v>32</v>
      </c>
      <c r="D189" s="205" t="s">
        <v>16</v>
      </c>
      <c r="E189" s="205" t="s">
        <v>16</v>
      </c>
      <c r="F189" s="205" t="s">
        <v>16</v>
      </c>
      <c r="G189" s="205" t="s">
        <v>16</v>
      </c>
      <c r="H189" s="205" t="s">
        <v>16</v>
      </c>
      <c r="I189" s="205" t="s">
        <v>16</v>
      </c>
      <c r="J189" s="205" t="s">
        <v>16</v>
      </c>
      <c r="K189" s="205" t="s">
        <v>16</v>
      </c>
      <c r="L189" s="205" t="s">
        <v>16</v>
      </c>
      <c r="M189" s="205" t="s">
        <v>16</v>
      </c>
      <c r="N189" s="205" t="s">
        <v>16</v>
      </c>
      <c r="O189" s="205" t="s">
        <v>16</v>
      </c>
      <c r="P189" s="203">
        <v>22</v>
      </c>
      <c r="Q189" s="204">
        <v>22696</v>
      </c>
      <c r="R189" s="204">
        <v>25546</v>
      </c>
      <c r="S189" s="203">
        <v>40</v>
      </c>
      <c r="T189" s="204">
        <v>32343</v>
      </c>
      <c r="U189" s="216">
        <v>36519</v>
      </c>
    </row>
    <row r="190" spans="1:21" ht="13.5" thickBot="1" x14ac:dyDescent="0.25">
      <c r="A190" s="2" t="s">
        <v>484</v>
      </c>
      <c r="B190" s="1" t="s">
        <v>483</v>
      </c>
      <c r="C190" s="214" t="s">
        <v>32</v>
      </c>
      <c r="D190" s="205" t="s">
        <v>16</v>
      </c>
      <c r="E190" s="205" t="s">
        <v>16</v>
      </c>
      <c r="F190" s="205" t="s">
        <v>16</v>
      </c>
      <c r="G190" s="203">
        <v>24</v>
      </c>
      <c r="H190" s="204">
        <v>11500</v>
      </c>
      <c r="I190" s="204">
        <v>15000</v>
      </c>
      <c r="J190" s="205" t="s">
        <v>16</v>
      </c>
      <c r="K190" s="204">
        <v>22000</v>
      </c>
      <c r="L190" s="204">
        <v>28000</v>
      </c>
      <c r="M190" s="205" t="s">
        <v>16</v>
      </c>
      <c r="N190" s="205" t="s">
        <v>16</v>
      </c>
      <c r="O190" s="205" t="s">
        <v>16</v>
      </c>
      <c r="P190" s="205" t="s">
        <v>16</v>
      </c>
      <c r="Q190" s="205" t="s">
        <v>16</v>
      </c>
      <c r="R190" s="205" t="s">
        <v>16</v>
      </c>
      <c r="S190" s="203">
        <v>20</v>
      </c>
      <c r="T190" s="204">
        <v>10000</v>
      </c>
      <c r="U190" s="216">
        <v>15000</v>
      </c>
    </row>
    <row r="191" spans="1:21" ht="13.5" thickBot="1" x14ac:dyDescent="0.25">
      <c r="A191" s="2" t="s">
        <v>490</v>
      </c>
      <c r="B191" s="1" t="s">
        <v>489</v>
      </c>
      <c r="C191" s="214" t="s">
        <v>32</v>
      </c>
      <c r="D191" s="203">
        <v>40</v>
      </c>
      <c r="E191" s="204">
        <v>16000</v>
      </c>
      <c r="F191" s="204">
        <v>34000</v>
      </c>
      <c r="G191" s="205" t="s">
        <v>16</v>
      </c>
      <c r="H191" s="205" t="s">
        <v>16</v>
      </c>
      <c r="I191" s="205" t="s">
        <v>16</v>
      </c>
      <c r="J191" s="205" t="s">
        <v>16</v>
      </c>
      <c r="K191" s="205" t="s">
        <v>16</v>
      </c>
      <c r="L191" s="205" t="s">
        <v>16</v>
      </c>
      <c r="M191" s="205" t="s">
        <v>16</v>
      </c>
      <c r="N191" s="205" t="s">
        <v>16</v>
      </c>
      <c r="O191" s="205" t="s">
        <v>16</v>
      </c>
      <c r="P191" s="205" t="s">
        <v>16</v>
      </c>
      <c r="Q191" s="205" t="s">
        <v>16</v>
      </c>
      <c r="R191" s="205" t="s">
        <v>16</v>
      </c>
      <c r="S191" s="203">
        <v>19</v>
      </c>
      <c r="T191" s="204">
        <v>8000</v>
      </c>
      <c r="U191" s="216">
        <v>16500</v>
      </c>
    </row>
    <row r="192" spans="1:21" ht="13.5" thickBot="1" x14ac:dyDescent="0.25">
      <c r="A192" s="2" t="s">
        <v>510</v>
      </c>
      <c r="B192" s="1" t="s">
        <v>509</v>
      </c>
      <c r="C192" s="214" t="s">
        <v>32</v>
      </c>
      <c r="D192" s="203">
        <v>0</v>
      </c>
      <c r="E192" s="204">
        <v>0</v>
      </c>
      <c r="F192" s="204">
        <v>0</v>
      </c>
      <c r="G192" s="203">
        <v>0</v>
      </c>
      <c r="H192" s="204">
        <v>0</v>
      </c>
      <c r="I192" s="204">
        <v>0</v>
      </c>
      <c r="J192" s="203">
        <v>0</v>
      </c>
      <c r="K192" s="204">
        <v>0</v>
      </c>
      <c r="L192" s="204">
        <v>0</v>
      </c>
      <c r="M192" s="203">
        <v>21</v>
      </c>
      <c r="N192" s="204">
        <v>21242</v>
      </c>
      <c r="O192" s="204">
        <v>21242</v>
      </c>
      <c r="P192" s="203">
        <v>0</v>
      </c>
      <c r="Q192" s="204">
        <v>0</v>
      </c>
      <c r="R192" s="204">
        <v>0</v>
      </c>
      <c r="S192" s="203">
        <v>21</v>
      </c>
      <c r="T192" s="204">
        <v>16770</v>
      </c>
      <c r="U192" s="216">
        <v>16770</v>
      </c>
    </row>
    <row r="193" spans="1:21" ht="13.5" thickBot="1" x14ac:dyDescent="0.25">
      <c r="A193" s="2" t="s">
        <v>522</v>
      </c>
      <c r="B193" s="1" t="s">
        <v>521</v>
      </c>
      <c r="C193" s="214" t="s">
        <v>32</v>
      </c>
      <c r="D193" s="203">
        <v>30</v>
      </c>
      <c r="E193" s="204">
        <v>23400</v>
      </c>
      <c r="F193" s="204">
        <v>24180</v>
      </c>
      <c r="G193" s="203">
        <v>0</v>
      </c>
      <c r="H193" s="204">
        <v>0</v>
      </c>
      <c r="I193" s="204">
        <v>0</v>
      </c>
      <c r="J193" s="203">
        <v>0</v>
      </c>
      <c r="K193" s="204">
        <v>0</v>
      </c>
      <c r="L193" s="204">
        <v>0</v>
      </c>
      <c r="M193" s="203">
        <v>0</v>
      </c>
      <c r="N193" s="204">
        <v>0</v>
      </c>
      <c r="O193" s="204">
        <v>0</v>
      </c>
      <c r="P193" s="203">
        <v>0</v>
      </c>
      <c r="Q193" s="204">
        <v>0</v>
      </c>
      <c r="R193" s="204">
        <v>0</v>
      </c>
      <c r="S193" s="203">
        <v>20</v>
      </c>
      <c r="T193" s="204">
        <v>200</v>
      </c>
      <c r="U193" s="216">
        <v>8874</v>
      </c>
    </row>
    <row r="194" spans="1:21" ht="13.5" thickBot="1" x14ac:dyDescent="0.25">
      <c r="A194" s="2" t="s">
        <v>528</v>
      </c>
      <c r="B194" s="1" t="s">
        <v>527</v>
      </c>
      <c r="C194" s="214" t="s">
        <v>32</v>
      </c>
      <c r="D194" s="203">
        <v>32</v>
      </c>
      <c r="E194" s="204">
        <v>18720</v>
      </c>
      <c r="F194" s="204">
        <v>32715</v>
      </c>
      <c r="G194" s="203">
        <v>30</v>
      </c>
      <c r="H194" s="204">
        <v>17160</v>
      </c>
      <c r="I194" s="204">
        <v>24061</v>
      </c>
      <c r="J194" s="205" t="s">
        <v>16</v>
      </c>
      <c r="K194" s="205" t="s">
        <v>16</v>
      </c>
      <c r="L194" s="205" t="s">
        <v>16</v>
      </c>
      <c r="M194" s="205" t="s">
        <v>16</v>
      </c>
      <c r="N194" s="205" t="s">
        <v>16</v>
      </c>
      <c r="O194" s="205" t="s">
        <v>16</v>
      </c>
      <c r="P194" s="205" t="s">
        <v>16</v>
      </c>
      <c r="Q194" s="205" t="s">
        <v>16</v>
      </c>
      <c r="R194" s="205" t="s">
        <v>16</v>
      </c>
      <c r="S194" s="203">
        <v>15</v>
      </c>
      <c r="T194" s="204">
        <v>7215</v>
      </c>
      <c r="U194" s="216">
        <v>10382</v>
      </c>
    </row>
    <row r="195" spans="1:21" ht="13.5" thickBot="1" x14ac:dyDescent="0.25">
      <c r="A195" s="2" t="s">
        <v>538</v>
      </c>
      <c r="B195" s="1" t="s">
        <v>537</v>
      </c>
      <c r="C195" s="214" t="s">
        <v>32</v>
      </c>
      <c r="D195" s="203">
        <v>0</v>
      </c>
      <c r="E195" s="204">
        <v>0</v>
      </c>
      <c r="F195" s="204">
        <v>0</v>
      </c>
      <c r="G195" s="203">
        <v>0</v>
      </c>
      <c r="H195" s="204">
        <v>0</v>
      </c>
      <c r="I195" s="204">
        <v>0</v>
      </c>
      <c r="J195" s="203">
        <v>26</v>
      </c>
      <c r="K195" s="204">
        <v>18252</v>
      </c>
      <c r="L195" s="204">
        <v>18252</v>
      </c>
      <c r="M195" s="203">
        <v>17</v>
      </c>
      <c r="N195" s="204">
        <v>10829</v>
      </c>
      <c r="O195" s="204">
        <v>10829</v>
      </c>
      <c r="P195" s="203">
        <v>0</v>
      </c>
      <c r="Q195" s="204">
        <v>0</v>
      </c>
      <c r="R195" s="204">
        <v>0</v>
      </c>
      <c r="S195" s="203">
        <v>3</v>
      </c>
      <c r="T195" s="204">
        <v>1885</v>
      </c>
      <c r="U195" s="216">
        <v>1885</v>
      </c>
    </row>
    <row r="196" spans="1:21" ht="13.5" thickBot="1" x14ac:dyDescent="0.25">
      <c r="A196" s="2" t="s">
        <v>542</v>
      </c>
      <c r="B196" s="1" t="s">
        <v>541</v>
      </c>
      <c r="C196" s="214" t="s">
        <v>32</v>
      </c>
      <c r="D196" s="203">
        <v>21</v>
      </c>
      <c r="E196" s="204">
        <v>11180</v>
      </c>
      <c r="F196" s="204">
        <v>11739</v>
      </c>
      <c r="G196" s="205" t="s">
        <v>16</v>
      </c>
      <c r="H196" s="205" t="s">
        <v>16</v>
      </c>
      <c r="I196" s="205" t="s">
        <v>16</v>
      </c>
      <c r="J196" s="205" t="s">
        <v>16</v>
      </c>
      <c r="K196" s="205" t="s">
        <v>16</v>
      </c>
      <c r="L196" s="205" t="s">
        <v>16</v>
      </c>
      <c r="M196" s="205" t="s">
        <v>16</v>
      </c>
      <c r="N196" s="205" t="s">
        <v>16</v>
      </c>
      <c r="O196" s="205" t="s">
        <v>16</v>
      </c>
      <c r="P196" s="205" t="s">
        <v>16</v>
      </c>
      <c r="Q196" s="205" t="s">
        <v>16</v>
      </c>
      <c r="R196" s="205" t="s">
        <v>16</v>
      </c>
      <c r="S196" s="203">
        <v>12</v>
      </c>
      <c r="T196" s="204">
        <v>4628</v>
      </c>
      <c r="U196" s="216">
        <v>6942</v>
      </c>
    </row>
    <row r="197" spans="1:21" ht="13.5" thickBot="1" x14ac:dyDescent="0.25">
      <c r="A197" s="2" t="s">
        <v>554</v>
      </c>
      <c r="B197" s="1" t="s">
        <v>553</v>
      </c>
      <c r="C197" s="214" t="s">
        <v>32</v>
      </c>
      <c r="D197" s="203">
        <v>37</v>
      </c>
      <c r="E197" s="204">
        <v>35000</v>
      </c>
      <c r="F197" s="204">
        <v>45000</v>
      </c>
      <c r="G197" s="203">
        <v>37</v>
      </c>
      <c r="H197" s="204">
        <v>32728</v>
      </c>
      <c r="I197" s="204">
        <v>41411</v>
      </c>
      <c r="J197" s="203">
        <v>0</v>
      </c>
      <c r="K197" s="204">
        <v>14</v>
      </c>
      <c r="L197" s="204">
        <v>20</v>
      </c>
      <c r="M197" s="203">
        <v>0</v>
      </c>
      <c r="N197" s="204">
        <v>14</v>
      </c>
      <c r="O197" s="204">
        <v>20</v>
      </c>
      <c r="P197" s="203">
        <v>1</v>
      </c>
      <c r="Q197" s="204">
        <v>32728</v>
      </c>
      <c r="R197" s="204">
        <v>41411</v>
      </c>
      <c r="S197" s="207">
        <v>25</v>
      </c>
      <c r="T197" s="206">
        <v>18200</v>
      </c>
      <c r="U197" s="217">
        <v>26000</v>
      </c>
    </row>
    <row r="198" spans="1:21" ht="13.5" thickBot="1" x14ac:dyDescent="0.25">
      <c r="A198" s="2" t="s">
        <v>572</v>
      </c>
      <c r="B198" s="1" t="s">
        <v>571</v>
      </c>
      <c r="C198" s="214" t="s">
        <v>32</v>
      </c>
      <c r="D198" s="205" t="s">
        <v>16</v>
      </c>
      <c r="E198" s="205" t="s">
        <v>16</v>
      </c>
      <c r="F198" s="205" t="s">
        <v>16</v>
      </c>
      <c r="G198" s="203">
        <v>29</v>
      </c>
      <c r="H198" s="204">
        <v>13421</v>
      </c>
      <c r="I198" s="204">
        <v>13421</v>
      </c>
      <c r="J198" s="203">
        <v>29</v>
      </c>
      <c r="K198" s="204">
        <v>20930</v>
      </c>
      <c r="L198" s="204">
        <v>20930</v>
      </c>
      <c r="M198" s="203">
        <v>20</v>
      </c>
      <c r="N198" s="204">
        <v>9620</v>
      </c>
      <c r="O198" s="204">
        <v>9620</v>
      </c>
      <c r="P198" s="205" t="s">
        <v>16</v>
      </c>
      <c r="Q198" s="205" t="s">
        <v>16</v>
      </c>
      <c r="R198" s="205" t="s">
        <v>16</v>
      </c>
      <c r="S198" s="203">
        <v>20</v>
      </c>
      <c r="T198" s="204">
        <v>9620</v>
      </c>
      <c r="U198" s="216">
        <v>9620</v>
      </c>
    </row>
    <row r="199" spans="1:21" ht="13.5" thickBot="1" x14ac:dyDescent="0.25">
      <c r="A199" s="2" t="s">
        <v>582</v>
      </c>
      <c r="B199" s="1" t="s">
        <v>581</v>
      </c>
      <c r="C199" s="214" t="s">
        <v>32</v>
      </c>
      <c r="D199" s="203">
        <v>0</v>
      </c>
      <c r="E199" s="204">
        <v>0</v>
      </c>
      <c r="F199" s="204">
        <v>0</v>
      </c>
      <c r="G199" s="203">
        <v>32</v>
      </c>
      <c r="H199" s="204">
        <v>42525</v>
      </c>
      <c r="I199" s="204">
        <v>42525</v>
      </c>
      <c r="J199" s="203">
        <v>10</v>
      </c>
      <c r="K199" s="204">
        <v>780</v>
      </c>
      <c r="L199" s="204">
        <v>31200</v>
      </c>
      <c r="M199" s="203">
        <v>0</v>
      </c>
      <c r="N199" s="204">
        <v>0</v>
      </c>
      <c r="O199" s="204">
        <v>0</v>
      </c>
      <c r="P199" s="203">
        <v>0</v>
      </c>
      <c r="Q199" s="204">
        <v>0</v>
      </c>
      <c r="R199" s="204">
        <v>0</v>
      </c>
      <c r="S199" s="203">
        <v>19</v>
      </c>
      <c r="T199" s="204">
        <v>3775</v>
      </c>
      <c r="U199" s="216">
        <v>28505</v>
      </c>
    </row>
    <row r="200" spans="1:21" ht="13.5" thickBot="1" x14ac:dyDescent="0.25">
      <c r="A200" s="2" t="s">
        <v>586</v>
      </c>
      <c r="B200" s="1" t="s">
        <v>585</v>
      </c>
      <c r="C200" s="214" t="s">
        <v>32</v>
      </c>
      <c r="D200" s="205" t="s">
        <v>16</v>
      </c>
      <c r="E200" s="205" t="s">
        <v>16</v>
      </c>
      <c r="F200" s="205" t="s">
        <v>16</v>
      </c>
      <c r="G200" s="205" t="s">
        <v>16</v>
      </c>
      <c r="H200" s="205" t="s">
        <v>16</v>
      </c>
      <c r="I200" s="205" t="s">
        <v>16</v>
      </c>
      <c r="J200" s="203">
        <v>20</v>
      </c>
      <c r="K200" s="204">
        <v>13520</v>
      </c>
      <c r="L200" s="204">
        <v>16900</v>
      </c>
      <c r="M200" s="203">
        <v>20</v>
      </c>
      <c r="N200" s="204">
        <v>10400</v>
      </c>
      <c r="O200" s="204">
        <v>13000</v>
      </c>
      <c r="P200" s="203">
        <v>0</v>
      </c>
      <c r="Q200" s="204">
        <v>0</v>
      </c>
      <c r="R200" s="204">
        <v>0</v>
      </c>
      <c r="S200" s="203">
        <v>9</v>
      </c>
      <c r="T200" s="204">
        <v>4329</v>
      </c>
      <c r="U200" s="216">
        <v>5772</v>
      </c>
    </row>
    <row r="201" spans="1:21" ht="13.5" thickBot="1" x14ac:dyDescent="0.25">
      <c r="A201" s="2" t="s">
        <v>596</v>
      </c>
      <c r="B201" s="1" t="s">
        <v>595</v>
      </c>
      <c r="C201" s="214" t="s">
        <v>32</v>
      </c>
      <c r="D201" s="203">
        <v>20</v>
      </c>
      <c r="E201" s="204">
        <v>20800</v>
      </c>
      <c r="F201" s="204">
        <v>35500</v>
      </c>
      <c r="G201" s="205" t="s">
        <v>16</v>
      </c>
      <c r="H201" s="205" t="s">
        <v>16</v>
      </c>
      <c r="I201" s="205" t="s">
        <v>16</v>
      </c>
      <c r="J201" s="205" t="s">
        <v>16</v>
      </c>
      <c r="K201" s="205" t="s">
        <v>16</v>
      </c>
      <c r="L201" s="205" t="s">
        <v>16</v>
      </c>
      <c r="M201" s="203">
        <v>20</v>
      </c>
      <c r="N201" s="204">
        <v>8320</v>
      </c>
      <c r="O201" s="204">
        <v>10000</v>
      </c>
      <c r="P201" s="203">
        <v>40</v>
      </c>
      <c r="Q201" s="204">
        <v>23000</v>
      </c>
      <c r="R201" s="204">
        <v>23000</v>
      </c>
      <c r="S201" s="205" t="s">
        <v>16</v>
      </c>
      <c r="T201" s="205" t="s">
        <v>16</v>
      </c>
      <c r="U201" s="215" t="s">
        <v>16</v>
      </c>
    </row>
    <row r="202" spans="1:21" ht="13.5" thickBot="1" x14ac:dyDescent="0.25">
      <c r="A202" s="2" t="s">
        <v>604</v>
      </c>
      <c r="B202" s="1" t="s">
        <v>603</v>
      </c>
      <c r="C202" s="214" t="s">
        <v>32</v>
      </c>
      <c r="D202" s="203">
        <v>36</v>
      </c>
      <c r="E202" s="204">
        <v>63292</v>
      </c>
      <c r="F202" s="204">
        <v>63292</v>
      </c>
      <c r="G202" s="203">
        <v>32</v>
      </c>
      <c r="H202" s="204">
        <v>38480</v>
      </c>
      <c r="I202" s="204">
        <v>83200</v>
      </c>
      <c r="J202" s="203">
        <v>32</v>
      </c>
      <c r="K202" s="204">
        <v>42640</v>
      </c>
      <c r="L202" s="204">
        <v>104000</v>
      </c>
      <c r="M202" s="203">
        <v>28</v>
      </c>
      <c r="N202" s="204">
        <v>38480</v>
      </c>
      <c r="O202" s="204">
        <v>83200</v>
      </c>
      <c r="P202" s="205" t="s">
        <v>16</v>
      </c>
      <c r="Q202" s="205" t="s">
        <v>16</v>
      </c>
      <c r="R202" s="205" t="s">
        <v>16</v>
      </c>
      <c r="S202" s="203">
        <v>28</v>
      </c>
      <c r="T202" s="204">
        <v>21840</v>
      </c>
      <c r="U202" s="216">
        <v>43680</v>
      </c>
    </row>
    <row r="203" spans="1:21" ht="13.5" thickBot="1" x14ac:dyDescent="0.25">
      <c r="A203" s="2" t="s">
        <v>630</v>
      </c>
      <c r="B203" s="1" t="s">
        <v>629</v>
      </c>
      <c r="C203" s="214" t="s">
        <v>32</v>
      </c>
      <c r="D203" s="203">
        <v>36</v>
      </c>
      <c r="E203" s="204">
        <v>27000</v>
      </c>
      <c r="F203" s="204">
        <v>35000</v>
      </c>
      <c r="G203" s="205" t="s">
        <v>16</v>
      </c>
      <c r="H203" s="205" t="s">
        <v>16</v>
      </c>
      <c r="I203" s="205" t="s">
        <v>16</v>
      </c>
      <c r="J203" s="203">
        <v>31</v>
      </c>
      <c r="K203" s="204">
        <v>22000</v>
      </c>
      <c r="L203" s="204">
        <v>25000</v>
      </c>
      <c r="M203" s="203">
        <v>25</v>
      </c>
      <c r="N203" s="204">
        <v>15000</v>
      </c>
      <c r="O203" s="204">
        <v>20000</v>
      </c>
      <c r="P203" s="205" t="s">
        <v>16</v>
      </c>
      <c r="Q203" s="205" t="s">
        <v>16</v>
      </c>
      <c r="R203" s="205" t="s">
        <v>16</v>
      </c>
      <c r="S203" s="203">
        <v>20</v>
      </c>
      <c r="T203" s="204">
        <v>5000</v>
      </c>
      <c r="U203" s="216">
        <v>10000</v>
      </c>
    </row>
    <row r="204" spans="1:21" ht="13.5" thickBot="1" x14ac:dyDescent="0.25">
      <c r="A204" s="2" t="s">
        <v>638</v>
      </c>
      <c r="B204" s="1" t="s">
        <v>637</v>
      </c>
      <c r="C204" s="214" t="s">
        <v>32</v>
      </c>
      <c r="D204" s="205" t="s">
        <v>16</v>
      </c>
      <c r="E204" s="205" t="s">
        <v>16</v>
      </c>
      <c r="F204" s="205" t="s">
        <v>16</v>
      </c>
      <c r="G204" s="205" t="s">
        <v>16</v>
      </c>
      <c r="H204" s="205" t="s">
        <v>16</v>
      </c>
      <c r="I204" s="205" t="s">
        <v>16</v>
      </c>
      <c r="J204" s="205" t="s">
        <v>16</v>
      </c>
      <c r="K204" s="205" t="s">
        <v>16</v>
      </c>
      <c r="L204" s="205" t="s">
        <v>16</v>
      </c>
      <c r="M204" s="205" t="s">
        <v>16</v>
      </c>
      <c r="N204" s="205" t="s">
        <v>16</v>
      </c>
      <c r="O204" s="205" t="s">
        <v>16</v>
      </c>
      <c r="P204" s="205" t="s">
        <v>16</v>
      </c>
      <c r="Q204" s="205" t="s">
        <v>16</v>
      </c>
      <c r="R204" s="205" t="s">
        <v>16</v>
      </c>
      <c r="S204" s="205" t="s">
        <v>16</v>
      </c>
      <c r="T204" s="205" t="s">
        <v>16</v>
      </c>
      <c r="U204" s="215" t="s">
        <v>16</v>
      </c>
    </row>
    <row r="205" spans="1:21" ht="13.5" thickBot="1" x14ac:dyDescent="0.25">
      <c r="A205" s="2" t="s">
        <v>646</v>
      </c>
      <c r="B205" s="1" t="s">
        <v>645</v>
      </c>
      <c r="C205" s="214" t="s">
        <v>32</v>
      </c>
      <c r="D205" s="203">
        <v>36</v>
      </c>
      <c r="E205" s="204">
        <v>27000</v>
      </c>
      <c r="F205" s="204">
        <v>36000</v>
      </c>
      <c r="G205" s="203">
        <v>0</v>
      </c>
      <c r="H205" s="204">
        <v>0</v>
      </c>
      <c r="I205" s="204">
        <v>0</v>
      </c>
      <c r="J205" s="203">
        <v>32</v>
      </c>
      <c r="K205" s="204">
        <v>24500</v>
      </c>
      <c r="L205" s="204">
        <v>27000</v>
      </c>
      <c r="M205" s="203">
        <v>25</v>
      </c>
      <c r="N205" s="204">
        <v>12000</v>
      </c>
      <c r="O205" s="204">
        <v>15000</v>
      </c>
      <c r="P205" s="203">
        <v>0</v>
      </c>
      <c r="Q205" s="204">
        <v>0</v>
      </c>
      <c r="R205" s="204">
        <v>0</v>
      </c>
      <c r="S205" s="203">
        <v>22</v>
      </c>
      <c r="T205" s="204">
        <v>12000</v>
      </c>
      <c r="U205" s="216">
        <v>13000</v>
      </c>
    </row>
    <row r="206" spans="1:21" ht="13.5" thickBot="1" x14ac:dyDescent="0.25">
      <c r="A206" s="2" t="s">
        <v>656</v>
      </c>
      <c r="B206" s="1" t="s">
        <v>655</v>
      </c>
      <c r="C206" s="214" t="s">
        <v>32</v>
      </c>
      <c r="D206" s="205" t="s">
        <v>16</v>
      </c>
      <c r="E206" s="205" t="s">
        <v>16</v>
      </c>
      <c r="F206" s="205" t="s">
        <v>16</v>
      </c>
      <c r="G206" s="205" t="s">
        <v>16</v>
      </c>
      <c r="H206" s="205" t="s">
        <v>16</v>
      </c>
      <c r="I206" s="205" t="s">
        <v>16</v>
      </c>
      <c r="J206" s="205" t="s">
        <v>16</v>
      </c>
      <c r="K206" s="205" t="s">
        <v>16</v>
      </c>
      <c r="L206" s="205" t="s">
        <v>16</v>
      </c>
      <c r="M206" s="205" t="s">
        <v>16</v>
      </c>
      <c r="N206" s="204">
        <v>10066</v>
      </c>
      <c r="O206" s="204">
        <v>18720</v>
      </c>
      <c r="P206" s="205" t="s">
        <v>16</v>
      </c>
      <c r="Q206" s="205" t="s">
        <v>16</v>
      </c>
      <c r="R206" s="205" t="s">
        <v>16</v>
      </c>
      <c r="S206" s="205" t="s">
        <v>16</v>
      </c>
      <c r="T206" s="204">
        <v>8664</v>
      </c>
      <c r="U206" s="216">
        <v>13520</v>
      </c>
    </row>
    <row r="207" spans="1:21" ht="13.5" thickBot="1" x14ac:dyDescent="0.25">
      <c r="A207" s="2" t="s">
        <v>674</v>
      </c>
      <c r="B207" s="1" t="s">
        <v>673</v>
      </c>
      <c r="C207" s="214" t="s">
        <v>32</v>
      </c>
      <c r="D207" s="203">
        <v>0</v>
      </c>
      <c r="E207" s="204">
        <v>0</v>
      </c>
      <c r="F207" s="204">
        <v>0</v>
      </c>
      <c r="G207" s="203">
        <v>40</v>
      </c>
      <c r="H207" s="204">
        <v>31500</v>
      </c>
      <c r="I207" s="204">
        <v>37500</v>
      </c>
      <c r="J207" s="203">
        <v>0</v>
      </c>
      <c r="K207" s="204">
        <v>0</v>
      </c>
      <c r="L207" s="204">
        <v>0</v>
      </c>
      <c r="M207" s="203">
        <v>0</v>
      </c>
      <c r="N207" s="204">
        <v>0</v>
      </c>
      <c r="O207" s="204">
        <v>0</v>
      </c>
      <c r="P207" s="203">
        <v>40</v>
      </c>
      <c r="Q207" s="204">
        <v>31500</v>
      </c>
      <c r="R207" s="204">
        <v>37500</v>
      </c>
      <c r="S207" s="203">
        <v>20</v>
      </c>
      <c r="T207" s="204">
        <v>10920</v>
      </c>
      <c r="U207" s="216">
        <v>13000</v>
      </c>
    </row>
    <row r="208" spans="1:21" ht="13.5" thickBot="1" x14ac:dyDescent="0.25">
      <c r="A208" s="2" t="s">
        <v>676</v>
      </c>
      <c r="B208" s="1" t="s">
        <v>675</v>
      </c>
      <c r="C208" s="214" t="s">
        <v>32</v>
      </c>
      <c r="D208" s="205" t="s">
        <v>16</v>
      </c>
      <c r="E208" s="205" t="s">
        <v>16</v>
      </c>
      <c r="F208" s="205" t="s">
        <v>16</v>
      </c>
      <c r="G208" s="205" t="s">
        <v>16</v>
      </c>
      <c r="H208" s="205" t="s">
        <v>16</v>
      </c>
      <c r="I208" s="205" t="s">
        <v>16</v>
      </c>
      <c r="J208" s="203">
        <v>21</v>
      </c>
      <c r="K208" s="204">
        <v>10561</v>
      </c>
      <c r="L208" s="204">
        <v>10561</v>
      </c>
      <c r="M208" s="203">
        <v>15</v>
      </c>
      <c r="N208" s="204">
        <v>3785</v>
      </c>
      <c r="O208" s="204">
        <v>6942</v>
      </c>
      <c r="P208" s="203">
        <v>0</v>
      </c>
      <c r="Q208" s="205" t="s">
        <v>16</v>
      </c>
      <c r="R208" s="205" t="s">
        <v>16</v>
      </c>
      <c r="S208" s="203">
        <v>21</v>
      </c>
      <c r="T208" s="204">
        <v>16505</v>
      </c>
      <c r="U208" s="216">
        <v>16918</v>
      </c>
    </row>
    <row r="209" spans="1:21" ht="13.5" thickBot="1" x14ac:dyDescent="0.25">
      <c r="A209" s="2" t="s">
        <v>684</v>
      </c>
      <c r="B209" s="1" t="s">
        <v>683</v>
      </c>
      <c r="C209" s="214" t="s">
        <v>32</v>
      </c>
      <c r="D209" s="203">
        <v>29</v>
      </c>
      <c r="E209" s="204">
        <v>20857</v>
      </c>
      <c r="F209" s="204">
        <v>30521</v>
      </c>
      <c r="G209" s="205" t="s">
        <v>16</v>
      </c>
      <c r="H209" s="205" t="s">
        <v>16</v>
      </c>
      <c r="I209" s="205" t="s">
        <v>16</v>
      </c>
      <c r="J209" s="203">
        <v>25</v>
      </c>
      <c r="K209" s="204">
        <v>15969</v>
      </c>
      <c r="L209" s="204">
        <v>27615</v>
      </c>
      <c r="M209" s="203">
        <v>22</v>
      </c>
      <c r="N209" s="204">
        <v>12793</v>
      </c>
      <c r="O209" s="204">
        <v>24596</v>
      </c>
      <c r="P209" s="205" t="s">
        <v>16</v>
      </c>
      <c r="Q209" s="205" t="s">
        <v>16</v>
      </c>
      <c r="R209" s="205" t="s">
        <v>16</v>
      </c>
      <c r="S209" s="203">
        <v>15</v>
      </c>
      <c r="T209" s="204">
        <v>7600</v>
      </c>
      <c r="U209" s="216">
        <v>22360</v>
      </c>
    </row>
    <row r="210" spans="1:21" ht="13.5" thickBot="1" x14ac:dyDescent="0.25">
      <c r="A210" s="2" t="s">
        <v>690</v>
      </c>
      <c r="B210" s="1" t="s">
        <v>689</v>
      </c>
      <c r="C210" s="214" t="s">
        <v>32</v>
      </c>
      <c r="D210" s="205" t="s">
        <v>16</v>
      </c>
      <c r="E210" s="205" t="s">
        <v>16</v>
      </c>
      <c r="F210" s="205" t="s">
        <v>16</v>
      </c>
      <c r="G210" s="205" t="s">
        <v>16</v>
      </c>
      <c r="H210" s="205" t="s">
        <v>16</v>
      </c>
      <c r="I210" s="205" t="s">
        <v>16</v>
      </c>
      <c r="J210" s="203">
        <v>20</v>
      </c>
      <c r="K210" s="204">
        <v>12500</v>
      </c>
      <c r="L210" s="204">
        <v>15000</v>
      </c>
      <c r="M210" s="203">
        <v>20</v>
      </c>
      <c r="N210" s="204">
        <v>8000</v>
      </c>
      <c r="O210" s="204">
        <v>10000</v>
      </c>
      <c r="P210" s="203">
        <v>20</v>
      </c>
      <c r="Q210" s="204">
        <v>12000</v>
      </c>
      <c r="R210" s="204">
        <v>15000</v>
      </c>
      <c r="S210" s="203">
        <v>10</v>
      </c>
      <c r="T210" s="204">
        <v>4000</v>
      </c>
      <c r="U210" s="216">
        <v>5000</v>
      </c>
    </row>
    <row r="211" spans="1:21" ht="13.5" thickBot="1" x14ac:dyDescent="0.25">
      <c r="A211" s="2" t="s">
        <v>694</v>
      </c>
      <c r="B211" s="1" t="s">
        <v>693</v>
      </c>
      <c r="C211" s="214" t="s">
        <v>32</v>
      </c>
      <c r="D211" s="203">
        <v>0</v>
      </c>
      <c r="E211" s="204">
        <v>0</v>
      </c>
      <c r="F211" s="204">
        <v>0</v>
      </c>
      <c r="G211" s="203">
        <v>0</v>
      </c>
      <c r="H211" s="204">
        <v>18000</v>
      </c>
      <c r="I211" s="204">
        <v>20500</v>
      </c>
      <c r="J211" s="203">
        <v>37</v>
      </c>
      <c r="K211" s="204">
        <v>20000</v>
      </c>
      <c r="L211" s="204">
        <v>39000</v>
      </c>
      <c r="M211" s="203">
        <v>15</v>
      </c>
      <c r="N211" s="204">
        <v>7800</v>
      </c>
      <c r="O211" s="204">
        <v>19000</v>
      </c>
      <c r="P211" s="203">
        <v>14</v>
      </c>
      <c r="Q211" s="204">
        <v>7200</v>
      </c>
      <c r="R211" s="204">
        <v>11000</v>
      </c>
      <c r="S211" s="203">
        <v>25</v>
      </c>
      <c r="T211" s="204">
        <v>14000</v>
      </c>
      <c r="U211" s="216">
        <v>20000</v>
      </c>
    </row>
    <row r="212" spans="1:21" ht="13.5" thickBot="1" x14ac:dyDescent="0.25">
      <c r="A212" s="2" t="s">
        <v>700</v>
      </c>
      <c r="B212" s="1" t="s">
        <v>699</v>
      </c>
      <c r="C212" s="214" t="s">
        <v>32</v>
      </c>
      <c r="D212" s="203">
        <v>40</v>
      </c>
      <c r="E212" s="204">
        <v>32656</v>
      </c>
      <c r="F212" s="204">
        <v>32656</v>
      </c>
      <c r="G212" s="205" t="s">
        <v>16</v>
      </c>
      <c r="H212" s="205" t="s">
        <v>16</v>
      </c>
      <c r="I212" s="205" t="s">
        <v>16</v>
      </c>
      <c r="J212" s="205" t="s">
        <v>16</v>
      </c>
      <c r="K212" s="205" t="s">
        <v>16</v>
      </c>
      <c r="L212" s="205" t="s">
        <v>16</v>
      </c>
      <c r="M212" s="205" t="s">
        <v>16</v>
      </c>
      <c r="N212" s="205" t="s">
        <v>16</v>
      </c>
      <c r="O212" s="205" t="s">
        <v>16</v>
      </c>
      <c r="P212" s="205" t="s">
        <v>16</v>
      </c>
      <c r="Q212" s="205" t="s">
        <v>16</v>
      </c>
      <c r="R212" s="205" t="s">
        <v>16</v>
      </c>
      <c r="S212" s="203">
        <v>22</v>
      </c>
      <c r="T212" s="204">
        <v>11669</v>
      </c>
      <c r="U212" s="216">
        <v>12470</v>
      </c>
    </row>
    <row r="213" spans="1:21" ht="13.5" thickBot="1" x14ac:dyDescent="0.25">
      <c r="A213" s="2" t="s">
        <v>706</v>
      </c>
      <c r="B213" s="1" t="s">
        <v>705</v>
      </c>
      <c r="C213" s="214" t="s">
        <v>32</v>
      </c>
      <c r="D213" s="203">
        <v>35</v>
      </c>
      <c r="E213" s="204">
        <v>27000</v>
      </c>
      <c r="F213" s="204">
        <v>30000</v>
      </c>
      <c r="G213" s="203">
        <v>0</v>
      </c>
      <c r="H213" s="204">
        <v>0</v>
      </c>
      <c r="I213" s="204">
        <v>0</v>
      </c>
      <c r="J213" s="203">
        <v>70</v>
      </c>
      <c r="K213" s="204">
        <v>21000</v>
      </c>
      <c r="L213" s="204">
        <v>25000</v>
      </c>
      <c r="M213" s="203">
        <v>20</v>
      </c>
      <c r="N213" s="204">
        <v>8000</v>
      </c>
      <c r="O213" s="204">
        <v>10000</v>
      </c>
      <c r="P213" s="203">
        <v>0</v>
      </c>
      <c r="Q213" s="204">
        <v>0</v>
      </c>
      <c r="R213" s="204">
        <v>0</v>
      </c>
      <c r="S213" s="203">
        <v>9</v>
      </c>
      <c r="T213" s="204">
        <v>7500</v>
      </c>
      <c r="U213" s="216">
        <v>9500</v>
      </c>
    </row>
    <row r="214" spans="1:21" ht="13.5" thickBot="1" x14ac:dyDescent="0.25">
      <c r="A214" s="2" t="s">
        <v>718</v>
      </c>
      <c r="B214" s="1" t="s">
        <v>717</v>
      </c>
      <c r="C214" s="214" t="s">
        <v>32</v>
      </c>
      <c r="D214" s="205" t="s">
        <v>16</v>
      </c>
      <c r="E214" s="205" t="s">
        <v>16</v>
      </c>
      <c r="F214" s="205" t="s">
        <v>16</v>
      </c>
      <c r="G214" s="203">
        <v>40</v>
      </c>
      <c r="H214" s="204">
        <v>24000</v>
      </c>
      <c r="I214" s="204">
        <v>30000</v>
      </c>
      <c r="J214" s="203">
        <v>40</v>
      </c>
      <c r="K214" s="204">
        <v>24000</v>
      </c>
      <c r="L214" s="204">
        <v>35000</v>
      </c>
      <c r="M214" s="205" t="s">
        <v>16</v>
      </c>
      <c r="N214" s="205" t="s">
        <v>16</v>
      </c>
      <c r="O214" s="205" t="s">
        <v>16</v>
      </c>
      <c r="P214" s="205" t="s">
        <v>16</v>
      </c>
      <c r="Q214" s="205" t="s">
        <v>16</v>
      </c>
      <c r="R214" s="205" t="s">
        <v>16</v>
      </c>
      <c r="S214" s="203">
        <v>20</v>
      </c>
      <c r="T214" s="204">
        <v>9360</v>
      </c>
      <c r="U214" s="216">
        <v>16640</v>
      </c>
    </row>
    <row r="215" spans="1:21" ht="13.5" thickBot="1" x14ac:dyDescent="0.25">
      <c r="A215" s="2" t="s">
        <v>724</v>
      </c>
      <c r="B215" s="1" t="s">
        <v>723</v>
      </c>
      <c r="C215" s="214" t="s">
        <v>32</v>
      </c>
      <c r="D215" s="203">
        <v>36</v>
      </c>
      <c r="E215" s="204">
        <v>34000</v>
      </c>
      <c r="F215" s="204">
        <v>40000</v>
      </c>
      <c r="G215" s="203">
        <v>34</v>
      </c>
      <c r="H215" s="204">
        <v>16500</v>
      </c>
      <c r="I215" s="204">
        <v>21500</v>
      </c>
      <c r="J215" s="203">
        <v>28</v>
      </c>
      <c r="K215" s="204">
        <v>9500</v>
      </c>
      <c r="L215" s="204">
        <v>14000</v>
      </c>
      <c r="M215" s="203">
        <v>0</v>
      </c>
      <c r="N215" s="204">
        <v>0</v>
      </c>
      <c r="O215" s="204">
        <v>0</v>
      </c>
      <c r="P215" s="203">
        <v>0</v>
      </c>
      <c r="Q215" s="204">
        <v>0</v>
      </c>
      <c r="R215" s="204">
        <v>0</v>
      </c>
      <c r="S215" s="203">
        <v>13</v>
      </c>
      <c r="T215" s="204">
        <v>3000</v>
      </c>
      <c r="U215" s="216">
        <v>5500</v>
      </c>
    </row>
    <row r="216" spans="1:21" ht="13.5" thickBot="1" x14ac:dyDescent="0.25">
      <c r="A216" s="2" t="s">
        <v>726</v>
      </c>
      <c r="B216" s="1" t="s">
        <v>725</v>
      </c>
      <c r="C216" s="214" t="s">
        <v>32</v>
      </c>
      <c r="D216" s="205" t="s">
        <v>16</v>
      </c>
      <c r="E216" s="205" t="s">
        <v>16</v>
      </c>
      <c r="F216" s="205" t="s">
        <v>16</v>
      </c>
      <c r="G216" s="205" t="s">
        <v>16</v>
      </c>
      <c r="H216" s="205" t="s">
        <v>16</v>
      </c>
      <c r="I216" s="205" t="s">
        <v>16</v>
      </c>
      <c r="J216" s="203">
        <v>35</v>
      </c>
      <c r="K216" s="204">
        <v>25971</v>
      </c>
      <c r="L216" s="204">
        <v>26335</v>
      </c>
      <c r="M216" s="205" t="s">
        <v>16</v>
      </c>
      <c r="N216" s="205" t="s">
        <v>16</v>
      </c>
      <c r="O216" s="205" t="s">
        <v>16</v>
      </c>
      <c r="P216" s="203">
        <v>37</v>
      </c>
      <c r="Q216" s="204">
        <v>31571</v>
      </c>
      <c r="R216" s="204">
        <v>32253</v>
      </c>
      <c r="S216" s="203">
        <v>30</v>
      </c>
      <c r="T216" s="204">
        <v>19516</v>
      </c>
      <c r="U216" s="216">
        <v>20062</v>
      </c>
    </row>
    <row r="217" spans="1:21" ht="13.5" thickBot="1" x14ac:dyDescent="0.25">
      <c r="A217" s="2" t="s">
        <v>742</v>
      </c>
      <c r="B217" s="1" t="s">
        <v>741</v>
      </c>
      <c r="C217" s="214" t="s">
        <v>32</v>
      </c>
      <c r="D217" s="203">
        <v>40</v>
      </c>
      <c r="E217" s="204">
        <v>25000</v>
      </c>
      <c r="F217" s="204">
        <v>33000</v>
      </c>
      <c r="G217" s="203">
        <v>0</v>
      </c>
      <c r="H217" s="204">
        <v>0</v>
      </c>
      <c r="I217" s="204">
        <v>0</v>
      </c>
      <c r="J217" s="203">
        <v>0</v>
      </c>
      <c r="K217" s="204">
        <v>0</v>
      </c>
      <c r="L217" s="204">
        <v>0</v>
      </c>
      <c r="M217" s="203">
        <v>0</v>
      </c>
      <c r="N217" s="204">
        <v>0</v>
      </c>
      <c r="O217" s="204">
        <v>0</v>
      </c>
      <c r="P217" s="203">
        <v>0</v>
      </c>
      <c r="Q217" s="204">
        <v>0</v>
      </c>
      <c r="R217" s="204">
        <v>0</v>
      </c>
      <c r="S217" s="203">
        <v>40</v>
      </c>
      <c r="T217" s="204">
        <v>20000</v>
      </c>
      <c r="U217" s="216">
        <v>30000</v>
      </c>
    </row>
    <row r="218" spans="1:21" ht="13.5" thickBot="1" x14ac:dyDescent="0.25">
      <c r="A218" s="2" t="s">
        <v>747</v>
      </c>
      <c r="B218" s="1" t="s">
        <v>746</v>
      </c>
      <c r="C218" s="214" t="s">
        <v>32</v>
      </c>
      <c r="D218" s="203">
        <v>0</v>
      </c>
      <c r="E218" s="204">
        <v>0</v>
      </c>
      <c r="F218" s="204">
        <v>0</v>
      </c>
      <c r="G218" s="203">
        <v>0</v>
      </c>
      <c r="H218" s="204">
        <v>0</v>
      </c>
      <c r="I218" s="204">
        <v>0</v>
      </c>
      <c r="J218" s="203">
        <v>0</v>
      </c>
      <c r="K218" s="204">
        <v>0</v>
      </c>
      <c r="L218" s="204">
        <v>0</v>
      </c>
      <c r="M218" s="203">
        <v>0</v>
      </c>
      <c r="N218" s="204">
        <v>0</v>
      </c>
      <c r="O218" s="204">
        <v>0</v>
      </c>
      <c r="P218" s="203">
        <v>0</v>
      </c>
      <c r="Q218" s="204">
        <v>0</v>
      </c>
      <c r="R218" s="204">
        <v>0</v>
      </c>
      <c r="S218" s="203">
        <v>30</v>
      </c>
      <c r="T218" s="204">
        <v>6146</v>
      </c>
      <c r="U218" s="216">
        <v>22078</v>
      </c>
    </row>
    <row r="219" spans="1:21" ht="13.5" thickBot="1" x14ac:dyDescent="0.25">
      <c r="A219" s="2" t="s">
        <v>749</v>
      </c>
      <c r="B219" s="1" t="s">
        <v>748</v>
      </c>
      <c r="C219" s="214" t="s">
        <v>32</v>
      </c>
      <c r="D219" s="203">
        <v>40</v>
      </c>
      <c r="E219" s="204">
        <v>25000</v>
      </c>
      <c r="F219" s="204">
        <v>30000</v>
      </c>
      <c r="G219" s="205" t="s">
        <v>16</v>
      </c>
      <c r="H219" s="205" t="s">
        <v>16</v>
      </c>
      <c r="I219" s="205" t="s">
        <v>16</v>
      </c>
      <c r="J219" s="203">
        <v>40</v>
      </c>
      <c r="K219" s="204">
        <v>13</v>
      </c>
      <c r="L219" s="204">
        <v>15</v>
      </c>
      <c r="M219" s="205" t="s">
        <v>16</v>
      </c>
      <c r="N219" s="205" t="s">
        <v>16</v>
      </c>
      <c r="O219" s="205" t="s">
        <v>16</v>
      </c>
      <c r="P219" s="205" t="s">
        <v>16</v>
      </c>
      <c r="Q219" s="205" t="s">
        <v>16</v>
      </c>
      <c r="R219" s="205" t="s">
        <v>16</v>
      </c>
      <c r="S219" s="203">
        <v>25</v>
      </c>
      <c r="T219" s="204">
        <v>9</v>
      </c>
      <c r="U219" s="216">
        <v>11</v>
      </c>
    </row>
    <row r="220" spans="1:21" ht="13.5" thickBot="1" x14ac:dyDescent="0.25">
      <c r="A220" s="2" t="s">
        <v>759</v>
      </c>
      <c r="B220" s="1" t="s">
        <v>758</v>
      </c>
      <c r="C220" s="214" t="s">
        <v>32</v>
      </c>
      <c r="D220" s="205" t="s">
        <v>16</v>
      </c>
      <c r="E220" s="205" t="s">
        <v>16</v>
      </c>
      <c r="F220" s="205" t="s">
        <v>16</v>
      </c>
      <c r="G220" s="205" t="s">
        <v>16</v>
      </c>
      <c r="H220" s="205" t="s">
        <v>16</v>
      </c>
      <c r="I220" s="205" t="s">
        <v>16</v>
      </c>
      <c r="J220" s="205" t="s">
        <v>16</v>
      </c>
      <c r="K220" s="205" t="s">
        <v>16</v>
      </c>
      <c r="L220" s="205" t="s">
        <v>16</v>
      </c>
      <c r="M220" s="205" t="s">
        <v>16</v>
      </c>
      <c r="N220" s="205" t="s">
        <v>16</v>
      </c>
      <c r="O220" s="205" t="s">
        <v>16</v>
      </c>
      <c r="P220" s="205" t="s">
        <v>16</v>
      </c>
      <c r="Q220" s="205" t="s">
        <v>16</v>
      </c>
      <c r="R220" s="205" t="s">
        <v>16</v>
      </c>
      <c r="S220" s="203">
        <v>23</v>
      </c>
      <c r="T220" s="204">
        <v>8278</v>
      </c>
      <c r="U220" s="216">
        <v>17576</v>
      </c>
    </row>
    <row r="221" spans="1:21" ht="13.5" thickBot="1" x14ac:dyDescent="0.25">
      <c r="A221" s="2" t="s">
        <v>763</v>
      </c>
      <c r="B221" s="1" t="s">
        <v>762</v>
      </c>
      <c r="C221" s="214" t="s">
        <v>32</v>
      </c>
      <c r="D221" s="205" t="s">
        <v>16</v>
      </c>
      <c r="E221" s="205" t="s">
        <v>16</v>
      </c>
      <c r="F221" s="205" t="s">
        <v>16</v>
      </c>
      <c r="G221" s="203">
        <v>40</v>
      </c>
      <c r="H221" s="204">
        <v>28000</v>
      </c>
      <c r="I221" s="204">
        <v>36000</v>
      </c>
      <c r="J221" s="205" t="s">
        <v>16</v>
      </c>
      <c r="K221" s="205" t="s">
        <v>16</v>
      </c>
      <c r="L221" s="205" t="s">
        <v>16</v>
      </c>
      <c r="M221" s="205" t="s">
        <v>16</v>
      </c>
      <c r="N221" s="205" t="s">
        <v>16</v>
      </c>
      <c r="O221" s="205" t="s">
        <v>16</v>
      </c>
      <c r="P221" s="205" t="s">
        <v>16</v>
      </c>
      <c r="Q221" s="205" t="s">
        <v>16</v>
      </c>
      <c r="R221" s="205" t="s">
        <v>16</v>
      </c>
      <c r="S221" s="203">
        <v>20</v>
      </c>
      <c r="T221" s="204">
        <v>10244</v>
      </c>
      <c r="U221" s="216">
        <v>16536</v>
      </c>
    </row>
    <row r="222" spans="1:21" ht="13.5" thickBot="1" x14ac:dyDescent="0.25">
      <c r="A222" s="2" t="s">
        <v>765</v>
      </c>
      <c r="B222" s="1" t="s">
        <v>764</v>
      </c>
      <c r="C222" s="214" t="s">
        <v>32</v>
      </c>
      <c r="D222" s="203">
        <v>0</v>
      </c>
      <c r="E222" s="204">
        <v>0</v>
      </c>
      <c r="F222" s="204">
        <v>0</v>
      </c>
      <c r="G222" s="203">
        <v>0</v>
      </c>
      <c r="H222" s="204">
        <v>0</v>
      </c>
      <c r="I222" s="204">
        <v>0</v>
      </c>
      <c r="J222" s="203">
        <v>0</v>
      </c>
      <c r="K222" s="204">
        <v>0</v>
      </c>
      <c r="L222" s="204">
        <v>0</v>
      </c>
      <c r="M222" s="203">
        <v>14</v>
      </c>
      <c r="N222" s="204">
        <v>7000</v>
      </c>
      <c r="O222" s="204">
        <v>8000</v>
      </c>
      <c r="P222" s="203">
        <v>0</v>
      </c>
      <c r="Q222" s="204">
        <v>0</v>
      </c>
      <c r="R222" s="204">
        <v>0</v>
      </c>
      <c r="S222" s="203">
        <v>14</v>
      </c>
      <c r="T222" s="204">
        <v>7000</v>
      </c>
      <c r="U222" s="216">
        <v>8000</v>
      </c>
    </row>
    <row r="223" spans="1:21" ht="13.5" thickBot="1" x14ac:dyDescent="0.25">
      <c r="A223" s="2" t="s">
        <v>773</v>
      </c>
      <c r="B223" s="1" t="s">
        <v>772</v>
      </c>
      <c r="C223" s="214" t="s">
        <v>32</v>
      </c>
      <c r="D223" s="203">
        <v>40</v>
      </c>
      <c r="E223" s="204">
        <v>36658</v>
      </c>
      <c r="F223" s="204">
        <v>36658</v>
      </c>
      <c r="G223" s="203">
        <v>0</v>
      </c>
      <c r="H223" s="204">
        <v>0</v>
      </c>
      <c r="I223" s="204">
        <v>0</v>
      </c>
      <c r="J223" s="203">
        <v>0</v>
      </c>
      <c r="K223" s="204">
        <v>0</v>
      </c>
      <c r="L223" s="204">
        <v>0</v>
      </c>
      <c r="M223" s="203">
        <v>0</v>
      </c>
      <c r="N223" s="204">
        <v>0</v>
      </c>
      <c r="O223" s="204">
        <v>0</v>
      </c>
      <c r="P223" s="203">
        <v>0</v>
      </c>
      <c r="Q223" s="204">
        <v>0</v>
      </c>
      <c r="R223" s="204">
        <v>0</v>
      </c>
      <c r="S223" s="203">
        <v>28</v>
      </c>
      <c r="T223" s="204">
        <v>14480</v>
      </c>
      <c r="U223" s="216">
        <v>14480</v>
      </c>
    </row>
    <row r="224" spans="1:21" ht="13.5" thickBot="1" x14ac:dyDescent="0.25">
      <c r="A224" s="2" t="s">
        <v>803</v>
      </c>
      <c r="B224" s="1" t="s">
        <v>802</v>
      </c>
      <c r="C224" s="214" t="s">
        <v>32</v>
      </c>
      <c r="D224" s="205" t="s">
        <v>16</v>
      </c>
      <c r="E224" s="205" t="s">
        <v>16</v>
      </c>
      <c r="F224" s="205" t="s">
        <v>16</v>
      </c>
      <c r="G224" s="205" t="s">
        <v>16</v>
      </c>
      <c r="H224" s="205" t="s">
        <v>16</v>
      </c>
      <c r="I224" s="205" t="s">
        <v>16</v>
      </c>
      <c r="J224" s="205" t="s">
        <v>16</v>
      </c>
      <c r="K224" s="205" t="s">
        <v>16</v>
      </c>
      <c r="L224" s="205" t="s">
        <v>16</v>
      </c>
      <c r="M224" s="203">
        <v>19</v>
      </c>
      <c r="N224" s="204">
        <v>10008</v>
      </c>
      <c r="O224" s="204">
        <v>11200</v>
      </c>
      <c r="P224" s="205" t="s">
        <v>16</v>
      </c>
      <c r="Q224" s="205" t="s">
        <v>16</v>
      </c>
      <c r="R224" s="205" t="s">
        <v>16</v>
      </c>
      <c r="S224" s="203">
        <v>20</v>
      </c>
      <c r="T224" s="204">
        <v>9600</v>
      </c>
      <c r="U224" s="216">
        <v>10600</v>
      </c>
    </row>
    <row r="225" spans="1:21" ht="13.5" thickBot="1" x14ac:dyDescent="0.25">
      <c r="A225" s="2" t="s">
        <v>817</v>
      </c>
      <c r="B225" s="1" t="s">
        <v>816</v>
      </c>
      <c r="C225" s="214" t="s">
        <v>32</v>
      </c>
      <c r="D225" s="205" t="s">
        <v>16</v>
      </c>
      <c r="E225" s="205" t="s">
        <v>16</v>
      </c>
      <c r="F225" s="205" t="s">
        <v>16</v>
      </c>
      <c r="G225" s="205" t="s">
        <v>16</v>
      </c>
      <c r="H225" s="205" t="s">
        <v>16</v>
      </c>
      <c r="I225" s="205" t="s">
        <v>16</v>
      </c>
      <c r="J225" s="205" t="s">
        <v>16</v>
      </c>
      <c r="K225" s="205" t="s">
        <v>16</v>
      </c>
      <c r="L225" s="205" t="s">
        <v>16</v>
      </c>
      <c r="M225" s="205" t="s">
        <v>16</v>
      </c>
      <c r="N225" s="205" t="s">
        <v>16</v>
      </c>
      <c r="O225" s="205" t="s">
        <v>16</v>
      </c>
      <c r="P225" s="205" t="s">
        <v>16</v>
      </c>
      <c r="Q225" s="205" t="s">
        <v>16</v>
      </c>
      <c r="R225" s="205" t="s">
        <v>16</v>
      </c>
      <c r="S225" s="205" t="s">
        <v>16</v>
      </c>
      <c r="T225" s="205" t="s">
        <v>16</v>
      </c>
      <c r="U225" s="215" t="s">
        <v>16</v>
      </c>
    </row>
    <row r="226" spans="1:21" ht="13.5" thickBot="1" x14ac:dyDescent="0.25">
      <c r="A226" s="2" t="s">
        <v>819</v>
      </c>
      <c r="B226" s="1" t="s">
        <v>818</v>
      </c>
      <c r="C226" s="214" t="s">
        <v>32</v>
      </c>
      <c r="D226" s="203">
        <v>35</v>
      </c>
      <c r="E226" s="204">
        <v>30000</v>
      </c>
      <c r="F226" s="204">
        <v>40000</v>
      </c>
      <c r="G226" s="203">
        <v>40</v>
      </c>
      <c r="H226" s="204">
        <v>19000</v>
      </c>
      <c r="I226" s="204">
        <v>39000</v>
      </c>
      <c r="J226" s="205" t="s">
        <v>16</v>
      </c>
      <c r="K226" s="205" t="s">
        <v>16</v>
      </c>
      <c r="L226" s="205" t="s">
        <v>16</v>
      </c>
      <c r="M226" s="205" t="s">
        <v>16</v>
      </c>
      <c r="N226" s="205" t="s">
        <v>16</v>
      </c>
      <c r="O226" s="205" t="s">
        <v>16</v>
      </c>
      <c r="P226" s="203">
        <v>20</v>
      </c>
      <c r="Q226" s="204">
        <v>10000</v>
      </c>
      <c r="R226" s="204">
        <v>24000</v>
      </c>
      <c r="S226" s="203">
        <v>40</v>
      </c>
      <c r="T226" s="204">
        <v>19000</v>
      </c>
      <c r="U226" s="216">
        <v>32000</v>
      </c>
    </row>
    <row r="227" spans="1:21" ht="13.5" thickBot="1" x14ac:dyDescent="0.25">
      <c r="A227" s="2" t="s">
        <v>823</v>
      </c>
      <c r="B227" s="1" t="s">
        <v>822</v>
      </c>
      <c r="C227" s="214" t="s">
        <v>32</v>
      </c>
      <c r="D227" s="203">
        <v>35</v>
      </c>
      <c r="E227" s="204">
        <v>33535</v>
      </c>
      <c r="F227" s="204">
        <v>33535</v>
      </c>
      <c r="G227" s="203">
        <v>0</v>
      </c>
      <c r="H227" s="204">
        <v>0</v>
      </c>
      <c r="I227" s="204">
        <v>0</v>
      </c>
      <c r="J227" s="203">
        <v>34</v>
      </c>
      <c r="K227" s="204">
        <v>28240</v>
      </c>
      <c r="L227" s="204">
        <v>28240</v>
      </c>
      <c r="M227" s="203">
        <v>28</v>
      </c>
      <c r="N227" s="204">
        <v>16224</v>
      </c>
      <c r="O227" s="204">
        <v>17000</v>
      </c>
      <c r="P227" s="203">
        <v>0</v>
      </c>
      <c r="Q227" s="204">
        <v>0</v>
      </c>
      <c r="R227" s="204">
        <v>0</v>
      </c>
      <c r="S227" s="203">
        <v>20</v>
      </c>
      <c r="T227" s="204">
        <v>16016</v>
      </c>
      <c r="U227" s="216">
        <v>17000</v>
      </c>
    </row>
    <row r="228" spans="1:21" ht="13.5" thickBot="1" x14ac:dyDescent="0.25">
      <c r="A228" s="2" t="s">
        <v>825</v>
      </c>
      <c r="B228" s="1" t="s">
        <v>824</v>
      </c>
      <c r="C228" s="214" t="s">
        <v>32</v>
      </c>
      <c r="D228" s="203">
        <v>36</v>
      </c>
      <c r="E228" s="204">
        <v>27883</v>
      </c>
      <c r="F228" s="204">
        <v>34080</v>
      </c>
      <c r="G228" s="205" t="s">
        <v>16</v>
      </c>
      <c r="H228" s="205" t="s">
        <v>16</v>
      </c>
      <c r="I228" s="205" t="s">
        <v>16</v>
      </c>
      <c r="J228" s="203">
        <v>26</v>
      </c>
      <c r="K228" s="204">
        <v>17438</v>
      </c>
      <c r="L228" s="204">
        <v>21313</v>
      </c>
      <c r="M228" s="203">
        <v>22</v>
      </c>
      <c r="N228" s="204">
        <v>10187</v>
      </c>
      <c r="O228" s="204">
        <v>12451</v>
      </c>
      <c r="P228" s="205" t="s">
        <v>16</v>
      </c>
      <c r="Q228" s="205" t="s">
        <v>16</v>
      </c>
      <c r="R228" s="205" t="s">
        <v>16</v>
      </c>
      <c r="S228" s="203">
        <v>12</v>
      </c>
      <c r="T228" s="204">
        <v>6013</v>
      </c>
      <c r="U228" s="216">
        <v>6520</v>
      </c>
    </row>
    <row r="229" spans="1:21" ht="13.5" thickBot="1" x14ac:dyDescent="0.25">
      <c r="A229" s="2" t="s">
        <v>831</v>
      </c>
      <c r="B229" s="1" t="s">
        <v>830</v>
      </c>
      <c r="C229" s="214" t="s">
        <v>32</v>
      </c>
      <c r="D229" s="203">
        <v>34</v>
      </c>
      <c r="E229" s="204">
        <v>24274</v>
      </c>
      <c r="F229" s="204">
        <v>27412</v>
      </c>
      <c r="G229" s="203">
        <v>22</v>
      </c>
      <c r="H229" s="204">
        <v>13510</v>
      </c>
      <c r="I229" s="204">
        <v>14800</v>
      </c>
      <c r="J229" s="203">
        <v>20</v>
      </c>
      <c r="K229" s="204">
        <v>9921</v>
      </c>
      <c r="L229" s="204">
        <v>10914</v>
      </c>
      <c r="M229" s="203">
        <v>18</v>
      </c>
      <c r="N229" s="204">
        <v>8929</v>
      </c>
      <c r="O229" s="204">
        <v>9748</v>
      </c>
      <c r="P229" s="205" t="s">
        <v>16</v>
      </c>
      <c r="Q229" s="204">
        <v>1240</v>
      </c>
      <c r="R229" s="205" t="s">
        <v>16</v>
      </c>
      <c r="S229" s="203">
        <v>8</v>
      </c>
      <c r="T229" s="204">
        <v>3830</v>
      </c>
      <c r="U229" s="216">
        <v>3202</v>
      </c>
    </row>
    <row r="230" spans="1:21" ht="13.5" thickBot="1" x14ac:dyDescent="0.25">
      <c r="A230" s="2" t="s">
        <v>26</v>
      </c>
      <c r="B230" s="1" t="s">
        <v>25</v>
      </c>
      <c r="C230" s="214" t="s">
        <v>29</v>
      </c>
      <c r="D230" s="205" t="s">
        <v>16</v>
      </c>
      <c r="E230" s="205" t="s">
        <v>16</v>
      </c>
      <c r="F230" s="205" t="s">
        <v>16</v>
      </c>
      <c r="G230" s="203">
        <v>0</v>
      </c>
      <c r="H230" s="204">
        <v>0</v>
      </c>
      <c r="I230" s="204">
        <v>0</v>
      </c>
      <c r="J230" s="205" t="s">
        <v>16</v>
      </c>
      <c r="K230" s="205" t="s">
        <v>16</v>
      </c>
      <c r="L230" s="205" t="s">
        <v>16</v>
      </c>
      <c r="M230" s="205" t="s">
        <v>16</v>
      </c>
      <c r="N230" s="204">
        <v>38792</v>
      </c>
      <c r="O230" s="204">
        <v>47299</v>
      </c>
      <c r="P230" s="205" t="s">
        <v>16</v>
      </c>
      <c r="Q230" s="205" t="s">
        <v>16</v>
      </c>
      <c r="R230" s="205" t="s">
        <v>16</v>
      </c>
      <c r="S230" s="205" t="s">
        <v>16</v>
      </c>
      <c r="T230" s="204">
        <v>11586</v>
      </c>
      <c r="U230" s="216">
        <v>14134</v>
      </c>
    </row>
    <row r="231" spans="1:21" ht="13.5" thickBot="1" x14ac:dyDescent="0.25">
      <c r="A231" s="2" t="s">
        <v>42</v>
      </c>
      <c r="B231" s="1" t="s">
        <v>41</v>
      </c>
      <c r="C231" s="214" t="s">
        <v>29</v>
      </c>
      <c r="D231" s="203">
        <v>40</v>
      </c>
      <c r="E231" s="204">
        <v>35000</v>
      </c>
      <c r="F231" s="204">
        <v>55000</v>
      </c>
      <c r="G231" s="203">
        <v>40</v>
      </c>
      <c r="H231" s="204">
        <v>25000</v>
      </c>
      <c r="I231" s="204">
        <v>45000</v>
      </c>
      <c r="J231" s="203">
        <v>28</v>
      </c>
      <c r="K231" s="204">
        <v>15600</v>
      </c>
      <c r="L231" s="204">
        <v>26000</v>
      </c>
      <c r="M231" s="203">
        <v>28</v>
      </c>
      <c r="N231" s="204">
        <v>10400</v>
      </c>
      <c r="O231" s="204">
        <v>14560</v>
      </c>
      <c r="P231" s="203">
        <v>40</v>
      </c>
      <c r="Q231" s="204">
        <v>25000</v>
      </c>
      <c r="R231" s="204">
        <v>45000</v>
      </c>
      <c r="S231" s="203">
        <v>20</v>
      </c>
      <c r="T231" s="204">
        <v>10400</v>
      </c>
      <c r="U231" s="216">
        <v>14560</v>
      </c>
    </row>
    <row r="232" spans="1:21" ht="13.5" thickBot="1" x14ac:dyDescent="0.25">
      <c r="A232" s="2" t="s">
        <v>70</v>
      </c>
      <c r="B232" s="1" t="s">
        <v>69</v>
      </c>
      <c r="C232" s="214" t="s">
        <v>29</v>
      </c>
      <c r="D232" s="203">
        <v>0</v>
      </c>
      <c r="E232" s="204">
        <v>0</v>
      </c>
      <c r="F232" s="204">
        <v>0</v>
      </c>
      <c r="G232" s="203">
        <v>40</v>
      </c>
      <c r="H232" s="204">
        <v>48000</v>
      </c>
      <c r="I232" s="204">
        <v>54000</v>
      </c>
      <c r="J232" s="203">
        <v>40</v>
      </c>
      <c r="K232" s="204">
        <v>45000</v>
      </c>
      <c r="L232" s="204">
        <v>48500</v>
      </c>
      <c r="M232" s="203">
        <v>24</v>
      </c>
      <c r="N232" s="204">
        <v>22464</v>
      </c>
      <c r="O232" s="204">
        <v>26208</v>
      </c>
      <c r="P232" s="203">
        <v>28</v>
      </c>
      <c r="Q232" s="204">
        <v>23296</v>
      </c>
      <c r="R232" s="204">
        <v>24752</v>
      </c>
      <c r="S232" s="203">
        <v>24</v>
      </c>
      <c r="T232" s="204">
        <v>12490</v>
      </c>
      <c r="U232" s="216">
        <v>14976</v>
      </c>
    </row>
    <row r="233" spans="1:21" ht="13.5" thickBot="1" x14ac:dyDescent="0.25">
      <c r="A233" s="2" t="s">
        <v>76</v>
      </c>
      <c r="B233" s="1" t="s">
        <v>75</v>
      </c>
      <c r="C233" s="214" t="s">
        <v>29</v>
      </c>
      <c r="D233" s="205" t="s">
        <v>16</v>
      </c>
      <c r="E233" s="205" t="s">
        <v>16</v>
      </c>
      <c r="F233" s="205" t="s">
        <v>16</v>
      </c>
      <c r="G233" s="205" t="s">
        <v>16</v>
      </c>
      <c r="H233" s="205" t="s">
        <v>16</v>
      </c>
      <c r="I233" s="205" t="s">
        <v>16</v>
      </c>
      <c r="J233" s="203">
        <v>39</v>
      </c>
      <c r="K233" s="204">
        <v>40000</v>
      </c>
      <c r="L233" s="204">
        <v>48400</v>
      </c>
      <c r="M233" s="205" t="s">
        <v>16</v>
      </c>
      <c r="N233" s="205" t="s">
        <v>16</v>
      </c>
      <c r="O233" s="205" t="s">
        <v>16</v>
      </c>
      <c r="P233" s="205" t="s">
        <v>16</v>
      </c>
      <c r="Q233" s="205" t="s">
        <v>16</v>
      </c>
      <c r="R233" s="205" t="s">
        <v>16</v>
      </c>
      <c r="S233" s="203">
        <v>39</v>
      </c>
      <c r="T233" s="204">
        <v>40000</v>
      </c>
      <c r="U233" s="216">
        <v>42500</v>
      </c>
    </row>
    <row r="234" spans="1:21" ht="13.5" thickBot="1" x14ac:dyDescent="0.25">
      <c r="A234" s="2" t="s">
        <v>96</v>
      </c>
      <c r="B234" s="1" t="s">
        <v>95</v>
      </c>
      <c r="C234" s="214" t="s">
        <v>29</v>
      </c>
      <c r="D234" s="205" t="s">
        <v>16</v>
      </c>
      <c r="E234" s="205" t="s">
        <v>16</v>
      </c>
      <c r="F234" s="205" t="s">
        <v>16</v>
      </c>
      <c r="G234" s="205" t="s">
        <v>16</v>
      </c>
      <c r="H234" s="204">
        <v>35000</v>
      </c>
      <c r="I234" s="204">
        <v>45000</v>
      </c>
      <c r="J234" s="205" t="s">
        <v>16</v>
      </c>
      <c r="K234" s="205" t="s">
        <v>16</v>
      </c>
      <c r="L234" s="205" t="s">
        <v>16</v>
      </c>
      <c r="M234" s="203">
        <v>0</v>
      </c>
      <c r="N234" s="204">
        <v>0</v>
      </c>
      <c r="O234" s="204">
        <v>0</v>
      </c>
      <c r="P234" s="205" t="s">
        <v>16</v>
      </c>
      <c r="Q234" s="205" t="s">
        <v>16</v>
      </c>
      <c r="R234" s="205" t="s">
        <v>16</v>
      </c>
      <c r="S234" s="203">
        <v>28</v>
      </c>
      <c r="T234" s="204">
        <v>10000</v>
      </c>
      <c r="U234" s="216">
        <v>25000</v>
      </c>
    </row>
    <row r="235" spans="1:21" ht="13.5" thickBot="1" x14ac:dyDescent="0.25">
      <c r="A235" s="2" t="s">
        <v>102</v>
      </c>
      <c r="B235" s="1" t="s">
        <v>101</v>
      </c>
      <c r="C235" s="214" t="s">
        <v>29</v>
      </c>
      <c r="D235" s="203">
        <v>0</v>
      </c>
      <c r="E235" s="204">
        <v>0</v>
      </c>
      <c r="F235" s="204">
        <v>0</v>
      </c>
      <c r="G235" s="203">
        <v>0</v>
      </c>
      <c r="H235" s="204">
        <v>0</v>
      </c>
      <c r="I235" s="204">
        <v>0</v>
      </c>
      <c r="J235" s="203">
        <v>0</v>
      </c>
      <c r="K235" s="204">
        <v>0</v>
      </c>
      <c r="L235" s="204">
        <v>0</v>
      </c>
      <c r="M235" s="203">
        <v>28</v>
      </c>
      <c r="N235" s="204">
        <v>22440</v>
      </c>
      <c r="O235" s="204">
        <v>28560</v>
      </c>
      <c r="P235" s="203">
        <v>0</v>
      </c>
      <c r="Q235" s="204">
        <v>0</v>
      </c>
      <c r="R235" s="204">
        <v>0</v>
      </c>
      <c r="S235" s="203">
        <v>40</v>
      </c>
      <c r="T235" s="204">
        <v>33660</v>
      </c>
      <c r="U235" s="216">
        <v>41310</v>
      </c>
    </row>
    <row r="236" spans="1:21" ht="13.5" thickBot="1" x14ac:dyDescent="0.25">
      <c r="A236" s="2" t="s">
        <v>110</v>
      </c>
      <c r="B236" s="1" t="s">
        <v>109</v>
      </c>
      <c r="C236" s="214" t="s">
        <v>29</v>
      </c>
      <c r="D236" s="203">
        <v>40</v>
      </c>
      <c r="E236" s="204">
        <v>34046</v>
      </c>
      <c r="F236" s="204">
        <v>49919</v>
      </c>
      <c r="G236" s="203">
        <v>0</v>
      </c>
      <c r="H236" s="204">
        <v>0</v>
      </c>
      <c r="I236" s="204">
        <v>0</v>
      </c>
      <c r="J236" s="203">
        <v>28</v>
      </c>
      <c r="K236" s="204">
        <v>16787</v>
      </c>
      <c r="L236" s="204">
        <v>17821</v>
      </c>
      <c r="M236" s="203">
        <v>28</v>
      </c>
      <c r="N236" s="204">
        <v>13992</v>
      </c>
      <c r="O236" s="204">
        <v>14851</v>
      </c>
      <c r="P236" s="203">
        <v>0</v>
      </c>
      <c r="Q236" s="204">
        <v>0</v>
      </c>
      <c r="R236" s="204">
        <v>0</v>
      </c>
      <c r="S236" s="203">
        <v>28</v>
      </c>
      <c r="T236" s="204">
        <v>12958</v>
      </c>
      <c r="U236" s="216">
        <v>13759</v>
      </c>
    </row>
    <row r="237" spans="1:21" ht="13.5" thickBot="1" x14ac:dyDescent="0.25">
      <c r="A237" s="2" t="s">
        <v>122</v>
      </c>
      <c r="B237" s="1" t="s">
        <v>121</v>
      </c>
      <c r="C237" s="214" t="s">
        <v>29</v>
      </c>
      <c r="D237" s="203">
        <v>0</v>
      </c>
      <c r="E237" s="204">
        <v>0</v>
      </c>
      <c r="F237" s="204">
        <v>0</v>
      </c>
      <c r="G237" s="203">
        <v>40</v>
      </c>
      <c r="H237" s="204">
        <v>44304</v>
      </c>
      <c r="I237" s="204">
        <v>52957</v>
      </c>
      <c r="J237" s="203">
        <v>40</v>
      </c>
      <c r="K237" s="204">
        <v>35672</v>
      </c>
      <c r="L237" s="204">
        <v>42640</v>
      </c>
      <c r="M237" s="203">
        <v>40</v>
      </c>
      <c r="N237" s="204">
        <v>33280</v>
      </c>
      <c r="O237" s="204">
        <v>39770</v>
      </c>
      <c r="P237" s="203">
        <v>0</v>
      </c>
      <c r="Q237" s="204">
        <v>0</v>
      </c>
      <c r="R237" s="204">
        <v>0</v>
      </c>
      <c r="S237" s="203">
        <v>20</v>
      </c>
      <c r="T237" s="204">
        <v>11440</v>
      </c>
      <c r="U237" s="216">
        <v>13676</v>
      </c>
    </row>
    <row r="238" spans="1:21" ht="13.5" thickBot="1" x14ac:dyDescent="0.25">
      <c r="A238" s="2" t="s">
        <v>124</v>
      </c>
      <c r="B238" s="1" t="s">
        <v>123</v>
      </c>
      <c r="C238" s="214" t="s">
        <v>29</v>
      </c>
      <c r="D238" s="203">
        <v>0</v>
      </c>
      <c r="E238" s="204">
        <v>0</v>
      </c>
      <c r="F238" s="204">
        <v>0</v>
      </c>
      <c r="G238" s="203">
        <v>40</v>
      </c>
      <c r="H238" s="204">
        <v>28000</v>
      </c>
      <c r="I238" s="204">
        <v>45000</v>
      </c>
      <c r="J238" s="203">
        <v>0</v>
      </c>
      <c r="K238" s="204">
        <v>0</v>
      </c>
      <c r="L238" s="204">
        <v>0</v>
      </c>
      <c r="M238" s="203">
        <v>24</v>
      </c>
      <c r="N238" s="204">
        <v>22000</v>
      </c>
      <c r="O238" s="204">
        <v>36000</v>
      </c>
      <c r="P238" s="203">
        <v>0</v>
      </c>
      <c r="Q238" s="204">
        <v>0</v>
      </c>
      <c r="R238" s="204">
        <v>0</v>
      </c>
      <c r="S238" s="203">
        <v>25</v>
      </c>
      <c r="T238" s="204">
        <v>9000</v>
      </c>
      <c r="U238" s="216">
        <v>14000</v>
      </c>
    </row>
    <row r="239" spans="1:21" ht="13.5" thickBot="1" x14ac:dyDescent="0.25">
      <c r="A239" s="2" t="s">
        <v>128</v>
      </c>
      <c r="B239" s="1" t="s">
        <v>127</v>
      </c>
      <c r="C239" s="214" t="s">
        <v>29</v>
      </c>
      <c r="D239" s="203">
        <v>40</v>
      </c>
      <c r="E239" s="204">
        <v>43050</v>
      </c>
      <c r="F239" s="204">
        <v>43050</v>
      </c>
      <c r="G239" s="205" t="s">
        <v>16</v>
      </c>
      <c r="H239" s="205" t="s">
        <v>16</v>
      </c>
      <c r="I239" s="205" t="s">
        <v>16</v>
      </c>
      <c r="J239" s="203">
        <v>40</v>
      </c>
      <c r="K239" s="204">
        <v>42475</v>
      </c>
      <c r="L239" s="204">
        <v>42475</v>
      </c>
      <c r="M239" s="203">
        <v>18</v>
      </c>
      <c r="N239" s="204">
        <v>14768</v>
      </c>
      <c r="O239" s="204">
        <v>20986</v>
      </c>
      <c r="P239" s="205" t="s">
        <v>16</v>
      </c>
      <c r="Q239" s="205" t="s">
        <v>16</v>
      </c>
      <c r="R239" s="205" t="s">
        <v>16</v>
      </c>
      <c r="S239" s="203">
        <v>13</v>
      </c>
      <c r="T239" s="204">
        <v>3614</v>
      </c>
      <c r="U239" s="216">
        <v>12803</v>
      </c>
    </row>
    <row r="240" spans="1:21" ht="13.5" thickBot="1" x14ac:dyDescent="0.25">
      <c r="A240" s="2" t="s">
        <v>166</v>
      </c>
      <c r="B240" s="1" t="s">
        <v>165</v>
      </c>
      <c r="C240" s="214" t="s">
        <v>29</v>
      </c>
      <c r="D240" s="203">
        <v>40</v>
      </c>
      <c r="E240" s="204">
        <v>52000</v>
      </c>
      <c r="F240" s="204">
        <v>52000</v>
      </c>
      <c r="G240" s="203">
        <v>40</v>
      </c>
      <c r="H240" s="204">
        <v>45000</v>
      </c>
      <c r="I240" s="204">
        <v>45000</v>
      </c>
      <c r="J240" s="203">
        <v>40</v>
      </c>
      <c r="K240" s="204">
        <v>27000</v>
      </c>
      <c r="L240" s="204">
        <v>31000</v>
      </c>
      <c r="M240" s="203">
        <v>20</v>
      </c>
      <c r="N240" s="204">
        <v>11000</v>
      </c>
      <c r="O240" s="204">
        <v>13500</v>
      </c>
      <c r="P240" s="203">
        <v>40</v>
      </c>
      <c r="Q240" s="204">
        <v>25000</v>
      </c>
      <c r="R240" s="204">
        <v>37000</v>
      </c>
      <c r="S240" s="203">
        <v>15</v>
      </c>
      <c r="T240" s="204">
        <v>7800</v>
      </c>
      <c r="U240" s="216">
        <v>10000</v>
      </c>
    </row>
    <row r="241" spans="1:21" ht="13.5" thickBot="1" x14ac:dyDescent="0.25">
      <c r="A241" s="2" t="s">
        <v>170</v>
      </c>
      <c r="B241" s="1" t="s">
        <v>169</v>
      </c>
      <c r="C241" s="214" t="s">
        <v>29</v>
      </c>
      <c r="D241" s="203">
        <v>0</v>
      </c>
      <c r="E241" s="204">
        <v>0</v>
      </c>
      <c r="F241" s="204">
        <v>0</v>
      </c>
      <c r="G241" s="203">
        <v>0</v>
      </c>
      <c r="H241" s="204">
        <v>0</v>
      </c>
      <c r="I241" s="204">
        <v>0</v>
      </c>
      <c r="J241" s="203">
        <v>35</v>
      </c>
      <c r="K241" s="204">
        <v>0</v>
      </c>
      <c r="L241" s="204">
        <v>0</v>
      </c>
      <c r="M241" s="203">
        <v>35</v>
      </c>
      <c r="N241" s="204">
        <v>29102</v>
      </c>
      <c r="O241" s="204">
        <v>29948</v>
      </c>
      <c r="P241" s="203">
        <v>0</v>
      </c>
      <c r="Q241" s="204">
        <v>0</v>
      </c>
      <c r="R241" s="204">
        <v>0</v>
      </c>
      <c r="S241" s="203">
        <v>25</v>
      </c>
      <c r="T241" s="204">
        <v>7628</v>
      </c>
      <c r="U241" s="216">
        <v>36400</v>
      </c>
    </row>
    <row r="242" spans="1:21" ht="13.5" thickBot="1" x14ac:dyDescent="0.25">
      <c r="A242" s="2" t="s">
        <v>174</v>
      </c>
      <c r="B242" s="1" t="s">
        <v>173</v>
      </c>
      <c r="C242" s="214" t="s">
        <v>29</v>
      </c>
      <c r="D242" s="203">
        <v>40</v>
      </c>
      <c r="E242" s="204">
        <v>36000</v>
      </c>
      <c r="F242" s="204">
        <v>43000</v>
      </c>
      <c r="G242" s="205" t="s">
        <v>16</v>
      </c>
      <c r="H242" s="205" t="s">
        <v>16</v>
      </c>
      <c r="I242" s="205" t="s">
        <v>16</v>
      </c>
      <c r="J242" s="203">
        <v>40</v>
      </c>
      <c r="K242" s="204">
        <v>34000</v>
      </c>
      <c r="L242" s="204">
        <v>40000</v>
      </c>
      <c r="M242" s="205" t="s">
        <v>16</v>
      </c>
      <c r="N242" s="205" t="s">
        <v>16</v>
      </c>
      <c r="O242" s="205" t="s">
        <v>16</v>
      </c>
      <c r="P242" s="205" t="s">
        <v>16</v>
      </c>
      <c r="Q242" s="205" t="s">
        <v>16</v>
      </c>
      <c r="R242" s="205" t="s">
        <v>16</v>
      </c>
      <c r="S242" s="203">
        <v>24</v>
      </c>
      <c r="T242" s="204">
        <v>12000</v>
      </c>
      <c r="U242" s="216">
        <v>18000</v>
      </c>
    </row>
    <row r="243" spans="1:21" ht="13.5" thickBot="1" x14ac:dyDescent="0.25">
      <c r="A243" s="2" t="s">
        <v>176</v>
      </c>
      <c r="B243" s="1" t="s">
        <v>175</v>
      </c>
      <c r="C243" s="214" t="s">
        <v>29</v>
      </c>
      <c r="D243" s="203">
        <v>40</v>
      </c>
      <c r="E243" s="204">
        <v>51741</v>
      </c>
      <c r="F243" s="204">
        <v>68427</v>
      </c>
      <c r="G243" s="203">
        <v>40</v>
      </c>
      <c r="H243" s="204">
        <v>45822</v>
      </c>
      <c r="I243" s="204">
        <v>60599</v>
      </c>
      <c r="J243" s="203">
        <v>40</v>
      </c>
      <c r="K243" s="204">
        <v>36456</v>
      </c>
      <c r="L243" s="204">
        <v>48213</v>
      </c>
      <c r="M243" s="203">
        <v>40</v>
      </c>
      <c r="N243" s="204">
        <v>36456</v>
      </c>
      <c r="O243" s="204">
        <v>48213</v>
      </c>
      <c r="P243" s="203">
        <v>40</v>
      </c>
      <c r="Q243" s="204">
        <v>43841</v>
      </c>
      <c r="R243" s="204">
        <v>57980</v>
      </c>
      <c r="S243" s="203">
        <v>40</v>
      </c>
      <c r="T243" s="204">
        <v>23254</v>
      </c>
      <c r="U243" s="216">
        <v>30763</v>
      </c>
    </row>
    <row r="244" spans="1:21" ht="13.5" thickBot="1" x14ac:dyDescent="0.25">
      <c r="A244" s="2" t="s">
        <v>190</v>
      </c>
      <c r="B244" s="1" t="s">
        <v>189</v>
      </c>
      <c r="C244" s="214" t="s">
        <v>29</v>
      </c>
      <c r="D244" s="203">
        <v>40000</v>
      </c>
      <c r="E244" s="204">
        <v>33280</v>
      </c>
      <c r="F244" s="204">
        <v>51000</v>
      </c>
      <c r="G244" s="205" t="s">
        <v>16</v>
      </c>
      <c r="H244" s="205" t="s">
        <v>16</v>
      </c>
      <c r="I244" s="205" t="s">
        <v>16</v>
      </c>
      <c r="J244" s="205" t="s">
        <v>16</v>
      </c>
      <c r="K244" s="205" t="s">
        <v>16</v>
      </c>
      <c r="L244" s="205" t="s">
        <v>16</v>
      </c>
      <c r="M244" s="205" t="s">
        <v>16</v>
      </c>
      <c r="N244" s="205" t="s">
        <v>16</v>
      </c>
      <c r="O244" s="205" t="s">
        <v>16</v>
      </c>
      <c r="P244" s="205" t="s">
        <v>16</v>
      </c>
      <c r="Q244" s="205" t="s">
        <v>16</v>
      </c>
      <c r="R244" s="205" t="s">
        <v>16</v>
      </c>
      <c r="S244" s="203">
        <v>38</v>
      </c>
      <c r="T244" s="204">
        <v>13520</v>
      </c>
      <c r="U244" s="216">
        <v>28275</v>
      </c>
    </row>
    <row r="245" spans="1:21" ht="13.5" thickBot="1" x14ac:dyDescent="0.25">
      <c r="A245" s="2" t="s">
        <v>200</v>
      </c>
      <c r="B245" s="1" t="s">
        <v>199</v>
      </c>
      <c r="C245" s="214" t="s">
        <v>29</v>
      </c>
      <c r="D245" s="205" t="s">
        <v>16</v>
      </c>
      <c r="E245" s="205" t="s">
        <v>16</v>
      </c>
      <c r="F245" s="205" t="s">
        <v>16</v>
      </c>
      <c r="G245" s="203">
        <v>38</v>
      </c>
      <c r="H245" s="204">
        <v>39000</v>
      </c>
      <c r="I245" s="204">
        <v>46000</v>
      </c>
      <c r="J245" s="203">
        <v>20</v>
      </c>
      <c r="K245" s="204">
        <v>18000</v>
      </c>
      <c r="L245" s="204">
        <v>25000</v>
      </c>
      <c r="M245" s="203">
        <v>20</v>
      </c>
      <c r="N245" s="204">
        <v>16598</v>
      </c>
      <c r="O245" s="204">
        <v>25000</v>
      </c>
      <c r="P245" s="205" t="s">
        <v>16</v>
      </c>
      <c r="Q245" s="205" t="s">
        <v>16</v>
      </c>
      <c r="R245" s="205" t="s">
        <v>16</v>
      </c>
      <c r="S245" s="203">
        <v>20</v>
      </c>
      <c r="T245" s="204">
        <v>11800</v>
      </c>
      <c r="U245" s="216">
        <v>21000</v>
      </c>
    </row>
    <row r="246" spans="1:21" ht="13.5" thickBot="1" x14ac:dyDescent="0.25">
      <c r="A246" s="2" t="s">
        <v>206</v>
      </c>
      <c r="B246" s="1" t="s">
        <v>205</v>
      </c>
      <c r="C246" s="214" t="s">
        <v>29</v>
      </c>
      <c r="D246" s="203">
        <v>0</v>
      </c>
      <c r="E246" s="204">
        <v>0</v>
      </c>
      <c r="F246" s="204">
        <v>0</v>
      </c>
      <c r="G246" s="203">
        <v>40</v>
      </c>
      <c r="H246" s="204">
        <v>25000</v>
      </c>
      <c r="I246" s="204">
        <v>35000</v>
      </c>
      <c r="J246" s="203">
        <v>0</v>
      </c>
      <c r="K246" s="204">
        <v>0</v>
      </c>
      <c r="L246" s="204">
        <v>0</v>
      </c>
      <c r="M246" s="203">
        <v>20</v>
      </c>
      <c r="N246" s="204">
        <v>10500</v>
      </c>
      <c r="O246" s="204">
        <v>13500</v>
      </c>
      <c r="P246" s="203">
        <v>40</v>
      </c>
      <c r="Q246" s="204">
        <v>25000</v>
      </c>
      <c r="R246" s="204">
        <v>35000</v>
      </c>
      <c r="S246" s="203">
        <v>20</v>
      </c>
      <c r="T246" s="204">
        <v>10400</v>
      </c>
      <c r="U246" s="216">
        <v>12480</v>
      </c>
    </row>
    <row r="247" spans="1:21" ht="13.5" thickBot="1" x14ac:dyDescent="0.25">
      <c r="A247" s="2" t="s">
        <v>235</v>
      </c>
      <c r="B247" s="1" t="s">
        <v>234</v>
      </c>
      <c r="C247" s="214" t="s">
        <v>29</v>
      </c>
      <c r="D247" s="203">
        <v>40</v>
      </c>
      <c r="E247" s="204">
        <v>47278</v>
      </c>
      <c r="F247" s="204">
        <v>52500</v>
      </c>
      <c r="G247" s="205" t="s">
        <v>16</v>
      </c>
      <c r="H247" s="205" t="s">
        <v>16</v>
      </c>
      <c r="I247" s="205" t="s">
        <v>16</v>
      </c>
      <c r="J247" s="205" t="s">
        <v>16</v>
      </c>
      <c r="K247" s="205" t="s">
        <v>16</v>
      </c>
      <c r="L247" s="205" t="s">
        <v>16</v>
      </c>
      <c r="M247" s="203">
        <v>26</v>
      </c>
      <c r="N247" s="204">
        <v>25623</v>
      </c>
      <c r="O247" s="204">
        <v>27310</v>
      </c>
      <c r="P247" s="205" t="s">
        <v>16</v>
      </c>
      <c r="Q247" s="205" t="s">
        <v>16</v>
      </c>
      <c r="R247" s="205" t="s">
        <v>16</v>
      </c>
      <c r="S247" s="203">
        <v>16</v>
      </c>
      <c r="T247" s="204">
        <v>9384</v>
      </c>
      <c r="U247" s="216">
        <v>11731</v>
      </c>
    </row>
    <row r="248" spans="1:21" ht="13.5" thickBot="1" x14ac:dyDescent="0.25">
      <c r="A248" s="2" t="s">
        <v>237</v>
      </c>
      <c r="B248" s="1" t="s">
        <v>236</v>
      </c>
      <c r="C248" s="214" t="s">
        <v>29</v>
      </c>
      <c r="D248" s="205" t="s">
        <v>16</v>
      </c>
      <c r="E248" s="205" t="s">
        <v>16</v>
      </c>
      <c r="F248" s="205" t="s">
        <v>16</v>
      </c>
      <c r="G248" s="203">
        <v>40</v>
      </c>
      <c r="H248" s="204">
        <v>50000</v>
      </c>
      <c r="I248" s="204">
        <v>65000</v>
      </c>
      <c r="J248" s="203">
        <v>40000</v>
      </c>
      <c r="K248" s="204">
        <v>43888</v>
      </c>
      <c r="L248" s="204">
        <v>55000</v>
      </c>
      <c r="M248" s="203">
        <v>20</v>
      </c>
      <c r="N248" s="204">
        <v>19500</v>
      </c>
      <c r="O248" s="204">
        <v>32000</v>
      </c>
      <c r="P248" s="203">
        <v>40</v>
      </c>
      <c r="Q248" s="204">
        <v>50000</v>
      </c>
      <c r="R248" s="204">
        <v>65000</v>
      </c>
      <c r="S248" s="203">
        <v>15</v>
      </c>
      <c r="T248" s="204">
        <v>9375</v>
      </c>
      <c r="U248" s="216">
        <v>12500</v>
      </c>
    </row>
    <row r="249" spans="1:21" ht="13.5" thickBot="1" x14ac:dyDescent="0.25">
      <c r="A249" s="2" t="s">
        <v>245</v>
      </c>
      <c r="B249" s="1" t="s">
        <v>244</v>
      </c>
      <c r="C249" s="214" t="s">
        <v>29</v>
      </c>
      <c r="D249" s="205" t="s">
        <v>16</v>
      </c>
      <c r="E249" s="205" t="s">
        <v>16</v>
      </c>
      <c r="F249" s="205" t="s">
        <v>16</v>
      </c>
      <c r="G249" s="203">
        <v>40</v>
      </c>
      <c r="H249" s="204">
        <v>30000</v>
      </c>
      <c r="I249" s="204">
        <v>37513</v>
      </c>
      <c r="J249" s="203">
        <v>40</v>
      </c>
      <c r="K249" s="204">
        <v>27000</v>
      </c>
      <c r="L249" s="204">
        <v>27810</v>
      </c>
      <c r="M249" s="205" t="s">
        <v>16</v>
      </c>
      <c r="N249" s="205" t="s">
        <v>16</v>
      </c>
      <c r="O249" s="205" t="s">
        <v>16</v>
      </c>
      <c r="P249" s="205" t="s">
        <v>16</v>
      </c>
      <c r="Q249" s="205" t="s">
        <v>16</v>
      </c>
      <c r="R249" s="205" t="s">
        <v>16</v>
      </c>
      <c r="S249" s="203">
        <v>22</v>
      </c>
      <c r="T249" s="204">
        <v>7248</v>
      </c>
      <c r="U249" s="216">
        <v>17427</v>
      </c>
    </row>
    <row r="250" spans="1:21" ht="13.5" thickBot="1" x14ac:dyDescent="0.25">
      <c r="A250" s="2" t="s">
        <v>255</v>
      </c>
      <c r="B250" s="1" t="s">
        <v>254</v>
      </c>
      <c r="C250" s="214" t="s">
        <v>29</v>
      </c>
      <c r="D250" s="203">
        <v>0</v>
      </c>
      <c r="E250" s="204">
        <v>0</v>
      </c>
      <c r="F250" s="204">
        <v>0</v>
      </c>
      <c r="G250" s="203">
        <v>0</v>
      </c>
      <c r="H250" s="204">
        <v>0</v>
      </c>
      <c r="I250" s="204">
        <v>0</v>
      </c>
      <c r="J250" s="203">
        <v>0</v>
      </c>
      <c r="K250" s="204">
        <v>0</v>
      </c>
      <c r="L250" s="204">
        <v>0</v>
      </c>
      <c r="M250" s="203">
        <v>26</v>
      </c>
      <c r="N250" s="204">
        <v>20150</v>
      </c>
      <c r="O250" s="204">
        <v>23957</v>
      </c>
      <c r="P250" s="203">
        <v>0</v>
      </c>
      <c r="Q250" s="204">
        <v>0</v>
      </c>
      <c r="R250" s="204">
        <v>0</v>
      </c>
      <c r="S250" s="203">
        <v>24</v>
      </c>
      <c r="T250" s="204">
        <v>10621</v>
      </c>
      <c r="U250" s="216">
        <v>24140</v>
      </c>
    </row>
    <row r="251" spans="1:21" ht="13.5" thickBot="1" x14ac:dyDescent="0.25">
      <c r="A251" s="2" t="s">
        <v>271</v>
      </c>
      <c r="B251" s="1" t="s">
        <v>270</v>
      </c>
      <c r="C251" s="214" t="s">
        <v>29</v>
      </c>
      <c r="D251" s="205" t="s">
        <v>16</v>
      </c>
      <c r="E251" s="205" t="s">
        <v>16</v>
      </c>
      <c r="F251" s="205" t="s">
        <v>16</v>
      </c>
      <c r="G251" s="203">
        <v>40</v>
      </c>
      <c r="H251" s="204">
        <v>40000</v>
      </c>
      <c r="I251" s="204">
        <v>45024</v>
      </c>
      <c r="J251" s="203">
        <v>40</v>
      </c>
      <c r="K251" s="204">
        <v>30000</v>
      </c>
      <c r="L251" s="204">
        <v>40112</v>
      </c>
      <c r="M251" s="205" t="s">
        <v>16</v>
      </c>
      <c r="N251" s="205" t="s">
        <v>16</v>
      </c>
      <c r="O251" s="205" t="s">
        <v>16</v>
      </c>
      <c r="P251" s="205" t="s">
        <v>16</v>
      </c>
      <c r="Q251" s="205" t="s">
        <v>16</v>
      </c>
      <c r="R251" s="205" t="s">
        <v>16</v>
      </c>
      <c r="S251" s="203">
        <v>40</v>
      </c>
      <c r="T251" s="204">
        <v>30000</v>
      </c>
      <c r="U251" s="216">
        <v>35318</v>
      </c>
    </row>
    <row r="252" spans="1:21" ht="13.5" thickBot="1" x14ac:dyDescent="0.25">
      <c r="A252" s="2" t="s">
        <v>279</v>
      </c>
      <c r="B252" s="1" t="s">
        <v>278</v>
      </c>
      <c r="C252" s="214" t="s">
        <v>29</v>
      </c>
      <c r="D252" s="205" t="s">
        <v>16</v>
      </c>
      <c r="E252" s="205" t="s">
        <v>16</v>
      </c>
      <c r="F252" s="205" t="s">
        <v>16</v>
      </c>
      <c r="G252" s="205" t="s">
        <v>16</v>
      </c>
      <c r="H252" s="205" t="s">
        <v>16</v>
      </c>
      <c r="I252" s="205" t="s">
        <v>16</v>
      </c>
      <c r="J252" s="205" t="s">
        <v>16</v>
      </c>
      <c r="K252" s="205" t="s">
        <v>16</v>
      </c>
      <c r="L252" s="205" t="s">
        <v>16</v>
      </c>
      <c r="M252" s="205" t="s">
        <v>16</v>
      </c>
      <c r="N252" s="205" t="s">
        <v>16</v>
      </c>
      <c r="O252" s="205" t="s">
        <v>16</v>
      </c>
      <c r="P252" s="205" t="s">
        <v>16</v>
      </c>
      <c r="Q252" s="205" t="s">
        <v>16</v>
      </c>
      <c r="R252" s="205" t="s">
        <v>16</v>
      </c>
      <c r="S252" s="203">
        <v>28</v>
      </c>
      <c r="T252" s="204">
        <v>18928</v>
      </c>
      <c r="U252" s="216">
        <v>21476</v>
      </c>
    </row>
    <row r="253" spans="1:21" ht="13.5" thickBot="1" x14ac:dyDescent="0.25">
      <c r="A253" s="2" t="s">
        <v>281</v>
      </c>
      <c r="B253" s="1" t="s">
        <v>280</v>
      </c>
      <c r="C253" s="214" t="s">
        <v>29</v>
      </c>
      <c r="D253" s="203">
        <v>40</v>
      </c>
      <c r="E253" s="204">
        <v>50000</v>
      </c>
      <c r="F253" s="204">
        <v>62000</v>
      </c>
      <c r="G253" s="203">
        <v>40</v>
      </c>
      <c r="H253" s="204">
        <v>38000</v>
      </c>
      <c r="I253" s="204">
        <v>52000</v>
      </c>
      <c r="J253" s="205" t="s">
        <v>16</v>
      </c>
      <c r="K253" s="205" t="s">
        <v>16</v>
      </c>
      <c r="L253" s="205" t="s">
        <v>16</v>
      </c>
      <c r="M253" s="203">
        <v>40</v>
      </c>
      <c r="N253" s="204">
        <v>34000</v>
      </c>
      <c r="O253" s="204">
        <v>45000</v>
      </c>
      <c r="P253" s="205" t="s">
        <v>16</v>
      </c>
      <c r="Q253" s="205" t="s">
        <v>16</v>
      </c>
      <c r="R253" s="205" t="s">
        <v>16</v>
      </c>
      <c r="S253" s="203">
        <v>25</v>
      </c>
      <c r="T253" s="204">
        <v>15600</v>
      </c>
      <c r="U253" s="216">
        <v>22750</v>
      </c>
    </row>
    <row r="254" spans="1:21" ht="13.5" thickBot="1" x14ac:dyDescent="0.25">
      <c r="A254" s="2" t="s">
        <v>285</v>
      </c>
      <c r="B254" s="1" t="s">
        <v>284</v>
      </c>
      <c r="C254" s="214" t="s">
        <v>29</v>
      </c>
      <c r="D254" s="205" t="s">
        <v>16</v>
      </c>
      <c r="E254" s="205" t="s">
        <v>16</v>
      </c>
      <c r="F254" s="205" t="s">
        <v>16</v>
      </c>
      <c r="G254" s="203">
        <v>40</v>
      </c>
      <c r="H254" s="204">
        <v>30000</v>
      </c>
      <c r="I254" s="204">
        <v>35000</v>
      </c>
      <c r="J254" s="203">
        <v>40</v>
      </c>
      <c r="K254" s="204">
        <v>35000</v>
      </c>
      <c r="L254" s="204">
        <v>45000</v>
      </c>
      <c r="M254" s="203">
        <v>30</v>
      </c>
      <c r="N254" s="204">
        <v>20000</v>
      </c>
      <c r="O254" s="204">
        <v>29000</v>
      </c>
      <c r="P254" s="205" t="s">
        <v>16</v>
      </c>
      <c r="Q254" s="205" t="s">
        <v>16</v>
      </c>
      <c r="R254" s="205" t="s">
        <v>16</v>
      </c>
      <c r="S254" s="203">
        <v>25</v>
      </c>
      <c r="T254" s="204">
        <v>8500</v>
      </c>
      <c r="U254" s="216">
        <v>20000</v>
      </c>
    </row>
    <row r="255" spans="1:21" ht="13.5" thickBot="1" x14ac:dyDescent="0.25">
      <c r="A255" s="2" t="s">
        <v>287</v>
      </c>
      <c r="B255" s="1" t="s">
        <v>286</v>
      </c>
      <c r="C255" s="214" t="s">
        <v>29</v>
      </c>
      <c r="D255" s="203">
        <v>0</v>
      </c>
      <c r="E255" s="204">
        <v>0</v>
      </c>
      <c r="F255" s="204">
        <v>0</v>
      </c>
      <c r="G255" s="203">
        <v>0</v>
      </c>
      <c r="H255" s="204">
        <v>0</v>
      </c>
      <c r="I255" s="204">
        <v>0</v>
      </c>
      <c r="J255" s="203">
        <v>40</v>
      </c>
      <c r="K255" s="204">
        <v>46000</v>
      </c>
      <c r="L255" s="204">
        <v>46033</v>
      </c>
      <c r="M255" s="203">
        <v>4</v>
      </c>
      <c r="N255" s="204">
        <v>9000</v>
      </c>
      <c r="O255" s="204">
        <v>9000</v>
      </c>
      <c r="P255" s="203">
        <v>6</v>
      </c>
      <c r="Q255" s="204">
        <v>12500</v>
      </c>
      <c r="R255" s="204">
        <v>12500</v>
      </c>
      <c r="S255" s="203">
        <v>16</v>
      </c>
      <c r="T255" s="204">
        <v>7404</v>
      </c>
      <c r="U255" s="216">
        <v>8278</v>
      </c>
    </row>
    <row r="256" spans="1:21" ht="13.5" thickBot="1" x14ac:dyDescent="0.25">
      <c r="A256" s="2" t="s">
        <v>295</v>
      </c>
      <c r="B256" s="1" t="s">
        <v>294</v>
      </c>
      <c r="C256" s="214" t="s">
        <v>29</v>
      </c>
      <c r="D256" s="203">
        <v>40</v>
      </c>
      <c r="E256" s="204">
        <v>30000</v>
      </c>
      <c r="F256" s="204">
        <v>70000</v>
      </c>
      <c r="G256" s="203">
        <v>35</v>
      </c>
      <c r="H256" s="205" t="s">
        <v>16</v>
      </c>
      <c r="I256" s="205" t="s">
        <v>16</v>
      </c>
      <c r="J256" s="203">
        <v>40</v>
      </c>
      <c r="K256" s="204">
        <v>40000</v>
      </c>
      <c r="L256" s="204">
        <v>80000</v>
      </c>
      <c r="M256" s="203">
        <v>40</v>
      </c>
      <c r="N256" s="204">
        <v>32000</v>
      </c>
      <c r="O256" s="204">
        <v>40000</v>
      </c>
      <c r="P256" s="205" t="s">
        <v>16</v>
      </c>
      <c r="Q256" s="205" t="s">
        <v>16</v>
      </c>
      <c r="R256" s="205" t="s">
        <v>16</v>
      </c>
      <c r="S256" s="203">
        <v>25</v>
      </c>
      <c r="T256" s="204">
        <v>11700</v>
      </c>
      <c r="U256" s="216">
        <v>25000</v>
      </c>
    </row>
    <row r="257" spans="1:21" ht="13.5" thickBot="1" x14ac:dyDescent="0.25">
      <c r="A257" s="2" t="s">
        <v>301</v>
      </c>
      <c r="B257" s="1" t="s">
        <v>300</v>
      </c>
      <c r="C257" s="214" t="s">
        <v>29</v>
      </c>
      <c r="D257" s="203">
        <v>0</v>
      </c>
      <c r="E257" s="204">
        <v>0</v>
      </c>
      <c r="F257" s="204">
        <v>0</v>
      </c>
      <c r="G257" s="203">
        <v>40</v>
      </c>
      <c r="H257" s="204">
        <v>48000</v>
      </c>
      <c r="I257" s="204">
        <v>48000</v>
      </c>
      <c r="J257" s="203">
        <v>24</v>
      </c>
      <c r="K257" s="204">
        <v>22644</v>
      </c>
      <c r="L257" s="204">
        <v>24480</v>
      </c>
      <c r="M257" s="203">
        <v>4</v>
      </c>
      <c r="N257" s="204">
        <v>3468</v>
      </c>
      <c r="O257" s="204">
        <v>11016</v>
      </c>
      <c r="P257" s="203">
        <v>0</v>
      </c>
      <c r="Q257" s="204">
        <v>0</v>
      </c>
      <c r="R257" s="204">
        <v>0</v>
      </c>
      <c r="S257" s="203">
        <v>38</v>
      </c>
      <c r="T257" s="204">
        <v>43820</v>
      </c>
      <c r="U257" s="216">
        <v>44696</v>
      </c>
    </row>
    <row r="258" spans="1:21" ht="13.5" thickBot="1" x14ac:dyDescent="0.25">
      <c r="A258" s="2" t="s">
        <v>305</v>
      </c>
      <c r="B258" s="1" t="s">
        <v>304</v>
      </c>
      <c r="C258" s="214" t="s">
        <v>29</v>
      </c>
      <c r="D258" s="205" t="s">
        <v>16</v>
      </c>
      <c r="E258" s="205" t="s">
        <v>16</v>
      </c>
      <c r="F258" s="205" t="s">
        <v>16</v>
      </c>
      <c r="G258" s="203">
        <v>36</v>
      </c>
      <c r="H258" s="204">
        <v>29645</v>
      </c>
      <c r="I258" s="204">
        <v>46696</v>
      </c>
      <c r="J258" s="203">
        <v>36</v>
      </c>
      <c r="K258" s="204">
        <v>43738</v>
      </c>
      <c r="L258" s="204">
        <v>46630</v>
      </c>
      <c r="M258" s="203">
        <v>0</v>
      </c>
      <c r="N258" s="204">
        <v>0</v>
      </c>
      <c r="O258" s="204">
        <v>0</v>
      </c>
      <c r="P258" s="203">
        <v>0</v>
      </c>
      <c r="Q258" s="204">
        <v>0</v>
      </c>
      <c r="R258" s="204">
        <v>0</v>
      </c>
      <c r="S258" s="203">
        <v>20</v>
      </c>
      <c r="T258" s="204">
        <v>14777</v>
      </c>
      <c r="U258" s="216">
        <v>26830</v>
      </c>
    </row>
    <row r="259" spans="1:21" ht="13.5" thickBot="1" x14ac:dyDescent="0.25">
      <c r="A259" s="2" t="s">
        <v>307</v>
      </c>
      <c r="B259" s="1" t="s">
        <v>306</v>
      </c>
      <c r="C259" s="214" t="s">
        <v>29</v>
      </c>
      <c r="D259" s="203">
        <v>0</v>
      </c>
      <c r="E259" s="204">
        <v>0</v>
      </c>
      <c r="F259" s="204">
        <v>0</v>
      </c>
      <c r="G259" s="203">
        <v>10</v>
      </c>
      <c r="H259" s="204">
        <v>9360</v>
      </c>
      <c r="I259" s="204">
        <v>14040</v>
      </c>
      <c r="J259" s="203">
        <v>0</v>
      </c>
      <c r="K259" s="204">
        <v>0</v>
      </c>
      <c r="L259" s="204">
        <v>0</v>
      </c>
      <c r="M259" s="203">
        <v>0</v>
      </c>
      <c r="N259" s="204">
        <v>0</v>
      </c>
      <c r="O259" s="204">
        <v>0</v>
      </c>
      <c r="P259" s="203">
        <v>0</v>
      </c>
      <c r="Q259" s="204">
        <v>0</v>
      </c>
      <c r="R259" s="204">
        <v>0</v>
      </c>
      <c r="S259" s="203">
        <v>20</v>
      </c>
      <c r="T259" s="204">
        <v>13520</v>
      </c>
      <c r="U259" s="216">
        <v>20280</v>
      </c>
    </row>
    <row r="260" spans="1:21" ht="13.5" thickBot="1" x14ac:dyDescent="0.25">
      <c r="A260" s="2" t="s">
        <v>325</v>
      </c>
      <c r="B260" s="1" t="s">
        <v>324</v>
      </c>
      <c r="C260" s="214" t="s">
        <v>29</v>
      </c>
      <c r="D260" s="205" t="s">
        <v>16</v>
      </c>
      <c r="E260" s="205" t="s">
        <v>16</v>
      </c>
      <c r="F260" s="205" t="s">
        <v>16</v>
      </c>
      <c r="G260" s="205" t="s">
        <v>16</v>
      </c>
      <c r="H260" s="205" t="s">
        <v>16</v>
      </c>
      <c r="I260" s="205" t="s">
        <v>16</v>
      </c>
      <c r="J260" s="205" t="s">
        <v>16</v>
      </c>
      <c r="K260" s="205" t="s">
        <v>16</v>
      </c>
      <c r="L260" s="205" t="s">
        <v>16</v>
      </c>
      <c r="M260" s="205" t="s">
        <v>16</v>
      </c>
      <c r="N260" s="205" t="s">
        <v>16</v>
      </c>
      <c r="O260" s="205" t="s">
        <v>16</v>
      </c>
      <c r="P260" s="205" t="s">
        <v>16</v>
      </c>
      <c r="Q260" s="205" t="s">
        <v>16</v>
      </c>
      <c r="R260" s="205" t="s">
        <v>16</v>
      </c>
      <c r="S260" s="203">
        <v>37</v>
      </c>
      <c r="T260" s="204">
        <v>11500</v>
      </c>
      <c r="U260" s="216">
        <v>36000</v>
      </c>
    </row>
    <row r="261" spans="1:21" ht="13.5" thickBot="1" x14ac:dyDescent="0.25">
      <c r="A261" s="2" t="s">
        <v>333</v>
      </c>
      <c r="B261" s="1" t="s">
        <v>332</v>
      </c>
      <c r="C261" s="214" t="s">
        <v>29</v>
      </c>
      <c r="D261" s="205" t="s">
        <v>16</v>
      </c>
      <c r="E261" s="205" t="s">
        <v>16</v>
      </c>
      <c r="F261" s="205" t="s">
        <v>16</v>
      </c>
      <c r="G261" s="205" t="s">
        <v>16</v>
      </c>
      <c r="H261" s="205" t="s">
        <v>16</v>
      </c>
      <c r="I261" s="205" t="s">
        <v>16</v>
      </c>
      <c r="J261" s="205" t="s">
        <v>16</v>
      </c>
      <c r="K261" s="205" t="s">
        <v>16</v>
      </c>
      <c r="L261" s="205" t="s">
        <v>16</v>
      </c>
      <c r="M261" s="205" t="s">
        <v>16</v>
      </c>
      <c r="N261" s="205" t="s">
        <v>16</v>
      </c>
      <c r="O261" s="205" t="s">
        <v>16</v>
      </c>
      <c r="P261" s="203">
        <v>24</v>
      </c>
      <c r="Q261" s="204">
        <v>15000</v>
      </c>
      <c r="R261" s="204">
        <v>19000</v>
      </c>
      <c r="S261" s="203">
        <v>22</v>
      </c>
      <c r="T261" s="204">
        <v>130000</v>
      </c>
      <c r="U261" s="216">
        <v>32000</v>
      </c>
    </row>
    <row r="262" spans="1:21" ht="13.5" thickBot="1" x14ac:dyDescent="0.25">
      <c r="A262" s="2" t="s">
        <v>343</v>
      </c>
      <c r="B262" s="1" t="s">
        <v>342</v>
      </c>
      <c r="C262" s="214" t="s">
        <v>29</v>
      </c>
      <c r="D262" s="205" t="s">
        <v>16</v>
      </c>
      <c r="E262" s="205" t="s">
        <v>16</v>
      </c>
      <c r="F262" s="205" t="s">
        <v>16</v>
      </c>
      <c r="G262" s="203">
        <v>40</v>
      </c>
      <c r="H262" s="204">
        <v>52915</v>
      </c>
      <c r="I262" s="204">
        <v>52915</v>
      </c>
      <c r="J262" s="205" t="s">
        <v>16</v>
      </c>
      <c r="K262" s="205" t="s">
        <v>16</v>
      </c>
      <c r="L262" s="205" t="s">
        <v>16</v>
      </c>
      <c r="M262" s="205" t="s">
        <v>16</v>
      </c>
      <c r="N262" s="205" t="s">
        <v>16</v>
      </c>
      <c r="O262" s="205" t="s">
        <v>16</v>
      </c>
      <c r="P262" s="205" t="s">
        <v>16</v>
      </c>
      <c r="Q262" s="205" t="s">
        <v>16</v>
      </c>
      <c r="R262" s="205" t="s">
        <v>16</v>
      </c>
      <c r="S262" s="203">
        <v>27</v>
      </c>
      <c r="T262" s="204">
        <v>24079</v>
      </c>
      <c r="U262" s="216">
        <v>24079</v>
      </c>
    </row>
    <row r="263" spans="1:21" ht="13.5" thickBot="1" x14ac:dyDescent="0.25">
      <c r="A263" s="2" t="s">
        <v>345</v>
      </c>
      <c r="B263" s="1" t="s">
        <v>344</v>
      </c>
      <c r="C263" s="214" t="s">
        <v>29</v>
      </c>
      <c r="D263" s="203">
        <v>0</v>
      </c>
      <c r="E263" s="204">
        <v>0</v>
      </c>
      <c r="F263" s="204">
        <v>0</v>
      </c>
      <c r="G263" s="203">
        <v>0</v>
      </c>
      <c r="H263" s="204">
        <v>0</v>
      </c>
      <c r="I263" s="204">
        <v>0</v>
      </c>
      <c r="J263" s="203">
        <v>20</v>
      </c>
      <c r="K263" s="204">
        <v>0</v>
      </c>
      <c r="L263" s="204">
        <v>0</v>
      </c>
      <c r="M263" s="203">
        <v>40</v>
      </c>
      <c r="N263" s="204">
        <v>40000</v>
      </c>
      <c r="O263" s="204">
        <v>46000</v>
      </c>
      <c r="P263" s="203">
        <v>30</v>
      </c>
      <c r="Q263" s="204">
        <v>38000</v>
      </c>
      <c r="R263" s="204">
        <v>42000</v>
      </c>
      <c r="S263" s="203">
        <v>40</v>
      </c>
      <c r="T263" s="204">
        <v>32000</v>
      </c>
      <c r="U263" s="216">
        <v>39000</v>
      </c>
    </row>
    <row r="264" spans="1:21" ht="13.5" thickBot="1" x14ac:dyDescent="0.25">
      <c r="A264" s="2" t="s">
        <v>351</v>
      </c>
      <c r="B264" s="1" t="s">
        <v>350</v>
      </c>
      <c r="C264" s="214" t="s">
        <v>29</v>
      </c>
      <c r="D264" s="205" t="s">
        <v>16</v>
      </c>
      <c r="E264" s="205" t="s">
        <v>16</v>
      </c>
      <c r="F264" s="205" t="s">
        <v>16</v>
      </c>
      <c r="G264" s="205" t="s">
        <v>16</v>
      </c>
      <c r="H264" s="205" t="s">
        <v>16</v>
      </c>
      <c r="I264" s="205" t="s">
        <v>16</v>
      </c>
      <c r="J264" s="203">
        <v>38</v>
      </c>
      <c r="K264" s="204">
        <v>35000</v>
      </c>
      <c r="L264" s="204">
        <v>50000</v>
      </c>
      <c r="M264" s="203">
        <v>20</v>
      </c>
      <c r="N264" s="204">
        <v>18000</v>
      </c>
      <c r="O264" s="204">
        <v>20000</v>
      </c>
      <c r="P264" s="203">
        <v>38</v>
      </c>
      <c r="Q264" s="204">
        <v>35000</v>
      </c>
      <c r="R264" s="204">
        <v>40000</v>
      </c>
      <c r="S264" s="203">
        <v>20</v>
      </c>
      <c r="T264" s="204">
        <v>10000</v>
      </c>
      <c r="U264" s="216">
        <v>13000</v>
      </c>
    </row>
    <row r="265" spans="1:21" ht="13.5" thickBot="1" x14ac:dyDescent="0.25">
      <c r="A265" s="2" t="s">
        <v>353</v>
      </c>
      <c r="B265" s="1" t="s">
        <v>352</v>
      </c>
      <c r="C265" s="214" t="s">
        <v>29</v>
      </c>
      <c r="D265" s="203">
        <v>35</v>
      </c>
      <c r="E265" s="204">
        <v>25000</v>
      </c>
      <c r="F265" s="204">
        <v>32000</v>
      </c>
      <c r="G265" s="203">
        <v>32</v>
      </c>
      <c r="H265" s="204">
        <v>24000</v>
      </c>
      <c r="I265" s="204">
        <v>40000</v>
      </c>
      <c r="J265" s="203">
        <v>30</v>
      </c>
      <c r="K265" s="204">
        <v>14000</v>
      </c>
      <c r="L265" s="204">
        <v>24000</v>
      </c>
      <c r="M265" s="205" t="s">
        <v>16</v>
      </c>
      <c r="N265" s="205" t="s">
        <v>16</v>
      </c>
      <c r="O265" s="205" t="s">
        <v>16</v>
      </c>
      <c r="P265" s="205" t="s">
        <v>16</v>
      </c>
      <c r="Q265" s="205" t="s">
        <v>16</v>
      </c>
      <c r="R265" s="205" t="s">
        <v>16</v>
      </c>
      <c r="S265" s="205" t="s">
        <v>16</v>
      </c>
      <c r="T265" s="205" t="s">
        <v>16</v>
      </c>
      <c r="U265" s="215" t="s">
        <v>16</v>
      </c>
    </row>
    <row r="266" spans="1:21" ht="13.5" thickBot="1" x14ac:dyDescent="0.25">
      <c r="A266" s="2" t="s">
        <v>355</v>
      </c>
      <c r="B266" s="1" t="s">
        <v>354</v>
      </c>
      <c r="C266" s="214" t="s">
        <v>29</v>
      </c>
      <c r="D266" s="205" t="s">
        <v>16</v>
      </c>
      <c r="E266" s="205" t="s">
        <v>16</v>
      </c>
      <c r="F266" s="205" t="s">
        <v>16</v>
      </c>
      <c r="G266" s="203">
        <v>15</v>
      </c>
      <c r="H266" s="204">
        <v>16380</v>
      </c>
      <c r="I266" s="204">
        <v>16380</v>
      </c>
      <c r="J266" s="203">
        <v>25</v>
      </c>
      <c r="K266" s="204">
        <v>26000</v>
      </c>
      <c r="L266" s="204">
        <v>26000</v>
      </c>
      <c r="M266" s="205" t="s">
        <v>16</v>
      </c>
      <c r="N266" s="205" t="s">
        <v>16</v>
      </c>
      <c r="O266" s="205" t="s">
        <v>16</v>
      </c>
      <c r="P266" s="203">
        <v>1</v>
      </c>
      <c r="Q266" s="204">
        <v>4200</v>
      </c>
      <c r="R266" s="204">
        <v>4200</v>
      </c>
      <c r="S266" s="203">
        <v>15</v>
      </c>
      <c r="T266" s="204">
        <v>8190</v>
      </c>
      <c r="U266" s="216">
        <v>8190</v>
      </c>
    </row>
    <row r="267" spans="1:21" ht="13.5" thickBot="1" x14ac:dyDescent="0.25">
      <c r="A267" s="2" t="s">
        <v>361</v>
      </c>
      <c r="B267" s="1" t="s">
        <v>360</v>
      </c>
      <c r="C267" s="214" t="s">
        <v>29</v>
      </c>
      <c r="D267" s="203">
        <v>28</v>
      </c>
      <c r="E267" s="204">
        <v>24000</v>
      </c>
      <c r="F267" s="204">
        <v>25000</v>
      </c>
      <c r="G267" s="205" t="s">
        <v>16</v>
      </c>
      <c r="H267" s="205" t="s">
        <v>16</v>
      </c>
      <c r="I267" s="205" t="s">
        <v>16</v>
      </c>
      <c r="J267" s="203">
        <v>40</v>
      </c>
      <c r="K267" s="204">
        <v>23300</v>
      </c>
      <c r="L267" s="204">
        <v>33200</v>
      </c>
      <c r="M267" s="205" t="s">
        <v>16</v>
      </c>
      <c r="N267" s="205" t="s">
        <v>16</v>
      </c>
      <c r="O267" s="205" t="s">
        <v>16</v>
      </c>
      <c r="P267" s="203">
        <v>0</v>
      </c>
      <c r="Q267" s="204">
        <v>0</v>
      </c>
      <c r="R267" s="204">
        <v>0</v>
      </c>
      <c r="S267" s="203">
        <v>15</v>
      </c>
      <c r="T267" s="204">
        <v>7500</v>
      </c>
      <c r="U267" s="216">
        <v>7800</v>
      </c>
    </row>
    <row r="268" spans="1:21" ht="13.5" thickBot="1" x14ac:dyDescent="0.25">
      <c r="A268" s="2" t="s">
        <v>363</v>
      </c>
      <c r="B268" s="1" t="s">
        <v>362</v>
      </c>
      <c r="C268" s="214" t="s">
        <v>29</v>
      </c>
      <c r="D268" s="203">
        <v>0</v>
      </c>
      <c r="E268" s="204">
        <v>0</v>
      </c>
      <c r="F268" s="204">
        <v>0</v>
      </c>
      <c r="G268" s="203">
        <v>0</v>
      </c>
      <c r="H268" s="204">
        <v>0</v>
      </c>
      <c r="I268" s="204">
        <v>0</v>
      </c>
      <c r="J268" s="203">
        <v>40</v>
      </c>
      <c r="K268" s="204">
        <v>40000</v>
      </c>
      <c r="L268" s="204">
        <v>45000</v>
      </c>
      <c r="M268" s="203">
        <v>8</v>
      </c>
      <c r="N268" s="204">
        <v>8</v>
      </c>
      <c r="O268" s="204">
        <v>26000</v>
      </c>
      <c r="P268" s="203">
        <v>12</v>
      </c>
      <c r="Q268" s="204">
        <v>10000</v>
      </c>
      <c r="R268" s="204">
        <v>15000</v>
      </c>
      <c r="S268" s="203">
        <v>16</v>
      </c>
      <c r="T268" s="204">
        <v>7500</v>
      </c>
      <c r="U268" s="216">
        <v>32000</v>
      </c>
    </row>
    <row r="269" spans="1:21" ht="13.5" thickBot="1" x14ac:dyDescent="0.25">
      <c r="A269" s="2" t="s">
        <v>371</v>
      </c>
      <c r="B269" s="1" t="s">
        <v>370</v>
      </c>
      <c r="C269" s="214" t="s">
        <v>29</v>
      </c>
      <c r="D269" s="205" t="s">
        <v>16</v>
      </c>
      <c r="E269" s="205" t="s">
        <v>16</v>
      </c>
      <c r="F269" s="205" t="s">
        <v>16</v>
      </c>
      <c r="G269" s="203">
        <v>38</v>
      </c>
      <c r="H269" s="204">
        <v>39312</v>
      </c>
      <c r="I269" s="204">
        <v>51812</v>
      </c>
      <c r="J269" s="205" t="s">
        <v>16</v>
      </c>
      <c r="K269" s="205" t="s">
        <v>16</v>
      </c>
      <c r="L269" s="205" t="s">
        <v>16</v>
      </c>
      <c r="M269" s="203">
        <v>38</v>
      </c>
      <c r="N269" s="204">
        <v>36563</v>
      </c>
      <c r="O269" s="204">
        <v>49121</v>
      </c>
      <c r="P269" s="205" t="s">
        <v>16</v>
      </c>
      <c r="Q269" s="205" t="s">
        <v>16</v>
      </c>
      <c r="R269" s="205" t="s">
        <v>16</v>
      </c>
      <c r="S269" s="203">
        <v>38</v>
      </c>
      <c r="T269" s="204">
        <v>20495</v>
      </c>
      <c r="U269" s="216">
        <v>26988</v>
      </c>
    </row>
    <row r="270" spans="1:21" ht="13.5" thickBot="1" x14ac:dyDescent="0.25">
      <c r="A270" s="2" t="s">
        <v>375</v>
      </c>
      <c r="B270" s="1" t="s">
        <v>374</v>
      </c>
      <c r="C270" s="214" t="s">
        <v>29</v>
      </c>
      <c r="D270" s="205" t="s">
        <v>16</v>
      </c>
      <c r="E270" s="205" t="s">
        <v>16</v>
      </c>
      <c r="F270" s="205" t="s">
        <v>16</v>
      </c>
      <c r="G270" s="205" t="s">
        <v>16</v>
      </c>
      <c r="H270" s="205" t="s">
        <v>16</v>
      </c>
      <c r="I270" s="205" t="s">
        <v>16</v>
      </c>
      <c r="J270" s="205" t="s">
        <v>16</v>
      </c>
      <c r="K270" s="205" t="s">
        <v>16</v>
      </c>
      <c r="L270" s="205" t="s">
        <v>16</v>
      </c>
      <c r="M270" s="203">
        <v>38</v>
      </c>
      <c r="N270" s="204">
        <v>23700</v>
      </c>
      <c r="O270" s="204">
        <v>35500</v>
      </c>
      <c r="P270" s="205" t="s">
        <v>16</v>
      </c>
      <c r="Q270" s="205" t="s">
        <v>16</v>
      </c>
      <c r="R270" s="205" t="s">
        <v>16</v>
      </c>
      <c r="S270" s="203">
        <v>24</v>
      </c>
      <c r="T270" s="204">
        <v>7200</v>
      </c>
      <c r="U270" s="216">
        <v>29120</v>
      </c>
    </row>
    <row r="271" spans="1:21" ht="13.5" thickBot="1" x14ac:dyDescent="0.25">
      <c r="A271" s="2" t="s">
        <v>383</v>
      </c>
      <c r="B271" s="1" t="s">
        <v>382</v>
      </c>
      <c r="C271" s="214" t="s">
        <v>29</v>
      </c>
      <c r="D271" s="205" t="s">
        <v>16</v>
      </c>
      <c r="E271" s="205" t="s">
        <v>16</v>
      </c>
      <c r="F271" s="205" t="s">
        <v>16</v>
      </c>
      <c r="G271" s="205" t="s">
        <v>16</v>
      </c>
      <c r="H271" s="205" t="s">
        <v>16</v>
      </c>
      <c r="I271" s="205" t="s">
        <v>16</v>
      </c>
      <c r="J271" s="205" t="s">
        <v>16</v>
      </c>
      <c r="K271" s="205" t="s">
        <v>16</v>
      </c>
      <c r="L271" s="205" t="s">
        <v>16</v>
      </c>
      <c r="M271" s="203">
        <v>40</v>
      </c>
      <c r="N271" s="204">
        <v>37877</v>
      </c>
      <c r="O271" s="204">
        <v>38251</v>
      </c>
      <c r="P271" s="203">
        <v>40</v>
      </c>
      <c r="Q271" s="204">
        <v>37315</v>
      </c>
      <c r="R271" s="204">
        <v>37315</v>
      </c>
      <c r="S271" s="203">
        <v>40</v>
      </c>
      <c r="T271" s="204">
        <v>27289</v>
      </c>
      <c r="U271" s="216">
        <v>31449</v>
      </c>
    </row>
    <row r="272" spans="1:21" ht="13.5" thickBot="1" x14ac:dyDescent="0.25">
      <c r="A272" s="2" t="s">
        <v>385</v>
      </c>
      <c r="B272" s="1" t="s">
        <v>384</v>
      </c>
      <c r="C272" s="214" t="s">
        <v>29</v>
      </c>
      <c r="D272" s="203">
        <v>40</v>
      </c>
      <c r="E272" s="204">
        <v>38438</v>
      </c>
      <c r="F272" s="204">
        <v>49969</v>
      </c>
      <c r="G272" s="203">
        <v>0</v>
      </c>
      <c r="H272" s="204">
        <v>0</v>
      </c>
      <c r="I272" s="204">
        <v>0</v>
      </c>
      <c r="J272" s="203">
        <v>40</v>
      </c>
      <c r="K272" s="204">
        <v>38438</v>
      </c>
      <c r="L272" s="204">
        <v>49969</v>
      </c>
      <c r="M272" s="203">
        <v>18</v>
      </c>
      <c r="N272" s="204">
        <v>12262</v>
      </c>
      <c r="O272" s="204">
        <v>16343</v>
      </c>
      <c r="P272" s="203">
        <v>22</v>
      </c>
      <c r="Q272" s="204">
        <v>14986</v>
      </c>
      <c r="R272" s="204">
        <v>19974</v>
      </c>
      <c r="S272" s="203">
        <v>15</v>
      </c>
      <c r="T272" s="204">
        <v>7215</v>
      </c>
      <c r="U272" s="216">
        <v>9126</v>
      </c>
    </row>
    <row r="273" spans="1:21" ht="13.5" thickBot="1" x14ac:dyDescent="0.25">
      <c r="A273" s="2" t="s">
        <v>399</v>
      </c>
      <c r="B273" s="1" t="s">
        <v>398</v>
      </c>
      <c r="C273" s="214" t="s">
        <v>29</v>
      </c>
      <c r="D273" s="205" t="s">
        <v>16</v>
      </c>
      <c r="E273" s="205" t="s">
        <v>16</v>
      </c>
      <c r="F273" s="205" t="s">
        <v>16</v>
      </c>
      <c r="G273" s="203">
        <v>40</v>
      </c>
      <c r="H273" s="204">
        <v>44741</v>
      </c>
      <c r="I273" s="204">
        <v>44741</v>
      </c>
      <c r="J273" s="203">
        <v>40</v>
      </c>
      <c r="K273" s="204">
        <v>40435</v>
      </c>
      <c r="L273" s="204">
        <v>40435</v>
      </c>
      <c r="M273" s="203">
        <v>32</v>
      </c>
      <c r="N273" s="204">
        <v>27589</v>
      </c>
      <c r="O273" s="204">
        <v>27589</v>
      </c>
      <c r="P273" s="203">
        <v>32</v>
      </c>
      <c r="Q273" s="204">
        <v>27589</v>
      </c>
      <c r="R273" s="204">
        <v>27589</v>
      </c>
      <c r="S273" s="203">
        <v>40</v>
      </c>
      <c r="T273" s="204">
        <v>29827</v>
      </c>
      <c r="U273" s="216">
        <v>29827</v>
      </c>
    </row>
    <row r="274" spans="1:21" ht="13.5" thickBot="1" x14ac:dyDescent="0.25">
      <c r="A274" s="2" t="s">
        <v>405</v>
      </c>
      <c r="B274" s="1" t="s">
        <v>404</v>
      </c>
      <c r="C274" s="214" t="s">
        <v>29</v>
      </c>
      <c r="D274" s="205" t="s">
        <v>16</v>
      </c>
      <c r="E274" s="205" t="s">
        <v>16</v>
      </c>
      <c r="F274" s="205" t="s">
        <v>16</v>
      </c>
      <c r="G274" s="205" t="s">
        <v>16</v>
      </c>
      <c r="H274" s="205" t="s">
        <v>16</v>
      </c>
      <c r="I274" s="205" t="s">
        <v>16</v>
      </c>
      <c r="J274" s="203">
        <v>40</v>
      </c>
      <c r="K274" s="204">
        <v>42099</v>
      </c>
      <c r="L274" s="204">
        <v>43035</v>
      </c>
      <c r="M274" s="203">
        <v>27</v>
      </c>
      <c r="N274" s="204">
        <v>27392</v>
      </c>
      <c r="O274" s="204">
        <v>28023</v>
      </c>
      <c r="P274" s="205" t="s">
        <v>16</v>
      </c>
      <c r="Q274" s="205" t="s">
        <v>16</v>
      </c>
      <c r="R274" s="205" t="s">
        <v>16</v>
      </c>
      <c r="S274" s="203">
        <v>15</v>
      </c>
      <c r="T274" s="204">
        <v>7846</v>
      </c>
      <c r="U274" s="216">
        <v>7846</v>
      </c>
    </row>
    <row r="275" spans="1:21" ht="13.5" thickBot="1" x14ac:dyDescent="0.25">
      <c r="A275" s="2" t="s">
        <v>419</v>
      </c>
      <c r="B275" s="1" t="s">
        <v>418</v>
      </c>
      <c r="C275" s="214" t="s">
        <v>29</v>
      </c>
      <c r="D275" s="203">
        <v>0</v>
      </c>
      <c r="E275" s="204">
        <v>0</v>
      </c>
      <c r="F275" s="204">
        <v>0</v>
      </c>
      <c r="G275" s="203">
        <v>0</v>
      </c>
      <c r="H275" s="204">
        <v>0</v>
      </c>
      <c r="I275" s="204">
        <v>0</v>
      </c>
      <c r="J275" s="203">
        <v>35</v>
      </c>
      <c r="K275" s="204">
        <v>37440</v>
      </c>
      <c r="L275" s="204">
        <v>44512</v>
      </c>
      <c r="M275" s="203">
        <v>35</v>
      </c>
      <c r="N275" s="204">
        <v>31200</v>
      </c>
      <c r="O275" s="204">
        <v>37086</v>
      </c>
      <c r="P275" s="203">
        <v>19</v>
      </c>
      <c r="Q275" s="204">
        <v>22880</v>
      </c>
      <c r="R275" s="204">
        <v>27206</v>
      </c>
      <c r="S275" s="203">
        <v>17</v>
      </c>
      <c r="T275" s="204">
        <v>19240</v>
      </c>
      <c r="U275" s="216">
        <v>22838</v>
      </c>
    </row>
    <row r="276" spans="1:21" ht="13.5" thickBot="1" x14ac:dyDescent="0.25">
      <c r="A276" s="2" t="s">
        <v>437</v>
      </c>
      <c r="B276" s="1" t="s">
        <v>436</v>
      </c>
      <c r="C276" s="214" t="s">
        <v>29</v>
      </c>
      <c r="D276" s="205" t="s">
        <v>16</v>
      </c>
      <c r="E276" s="205" t="s">
        <v>16</v>
      </c>
      <c r="F276" s="205" t="s">
        <v>16</v>
      </c>
      <c r="G276" s="205" t="s">
        <v>16</v>
      </c>
      <c r="H276" s="205" t="s">
        <v>16</v>
      </c>
      <c r="I276" s="205" t="s">
        <v>16</v>
      </c>
      <c r="J276" s="205" t="s">
        <v>16</v>
      </c>
      <c r="K276" s="205" t="s">
        <v>16</v>
      </c>
      <c r="L276" s="205" t="s">
        <v>16</v>
      </c>
      <c r="M276" s="205" t="s">
        <v>16</v>
      </c>
      <c r="N276" s="205" t="s">
        <v>16</v>
      </c>
      <c r="O276" s="205" t="s">
        <v>16</v>
      </c>
      <c r="P276" s="205" t="s">
        <v>16</v>
      </c>
      <c r="Q276" s="205" t="s">
        <v>16</v>
      </c>
      <c r="R276" s="205" t="s">
        <v>16</v>
      </c>
      <c r="S276" s="205" t="s">
        <v>16</v>
      </c>
      <c r="T276" s="205" t="s">
        <v>16</v>
      </c>
      <c r="U276" s="215" t="s">
        <v>16</v>
      </c>
    </row>
    <row r="277" spans="1:21" ht="13.5" thickBot="1" x14ac:dyDescent="0.25">
      <c r="A277" s="2" t="s">
        <v>453</v>
      </c>
      <c r="B277" s="1" t="s">
        <v>452</v>
      </c>
      <c r="C277" s="214" t="s">
        <v>29</v>
      </c>
      <c r="D277" s="205" t="s">
        <v>16</v>
      </c>
      <c r="E277" s="205" t="s">
        <v>16</v>
      </c>
      <c r="F277" s="205" t="s">
        <v>16</v>
      </c>
      <c r="G277" s="203">
        <v>40</v>
      </c>
      <c r="H277" s="204">
        <v>40000</v>
      </c>
      <c r="I277" s="204">
        <v>50000</v>
      </c>
      <c r="J277" s="203">
        <v>40</v>
      </c>
      <c r="K277" s="204">
        <v>30000</v>
      </c>
      <c r="L277" s="204">
        <v>45000</v>
      </c>
      <c r="M277" s="203">
        <v>40</v>
      </c>
      <c r="N277" s="204">
        <v>30000</v>
      </c>
      <c r="O277" s="204">
        <v>45000</v>
      </c>
      <c r="P277" s="203">
        <v>40</v>
      </c>
      <c r="Q277" s="204">
        <v>37500</v>
      </c>
      <c r="R277" s="204">
        <v>50000</v>
      </c>
      <c r="S277" s="203">
        <v>20</v>
      </c>
      <c r="T277" s="204">
        <v>10400</v>
      </c>
      <c r="U277" s="216">
        <v>16982</v>
      </c>
    </row>
    <row r="278" spans="1:21" ht="13.5" thickBot="1" x14ac:dyDescent="0.25">
      <c r="A278" s="2" t="s">
        <v>467</v>
      </c>
      <c r="B278" s="1" t="s">
        <v>466</v>
      </c>
      <c r="C278" s="214" t="s">
        <v>29</v>
      </c>
      <c r="D278" s="203">
        <v>0</v>
      </c>
      <c r="E278" s="204">
        <v>0</v>
      </c>
      <c r="F278" s="204">
        <v>0</v>
      </c>
      <c r="G278" s="203">
        <v>0</v>
      </c>
      <c r="H278" s="204">
        <v>0</v>
      </c>
      <c r="I278" s="204">
        <v>0</v>
      </c>
      <c r="J278" s="203">
        <v>40</v>
      </c>
      <c r="K278" s="204">
        <v>38000</v>
      </c>
      <c r="L278" s="204">
        <v>46800</v>
      </c>
      <c r="M278" s="203">
        <v>25</v>
      </c>
      <c r="N278" s="204">
        <v>24000</v>
      </c>
      <c r="O278" s="204">
        <v>28000</v>
      </c>
      <c r="P278" s="203">
        <v>40</v>
      </c>
      <c r="Q278" s="204">
        <v>40000</v>
      </c>
      <c r="R278" s="204">
        <v>48780</v>
      </c>
      <c r="S278" s="203">
        <v>30</v>
      </c>
      <c r="T278" s="204">
        <v>13000</v>
      </c>
      <c r="U278" s="216">
        <v>31200</v>
      </c>
    </row>
    <row r="279" spans="1:21" ht="13.5" thickBot="1" x14ac:dyDescent="0.25">
      <c r="A279" s="2" t="s">
        <v>474</v>
      </c>
      <c r="B279" s="1" t="s">
        <v>473</v>
      </c>
      <c r="C279" s="214" t="s">
        <v>29</v>
      </c>
      <c r="D279" s="203">
        <v>40</v>
      </c>
      <c r="E279" s="204">
        <v>3300</v>
      </c>
      <c r="F279" s="204">
        <v>54600</v>
      </c>
      <c r="G279" s="203">
        <v>0</v>
      </c>
      <c r="H279" s="204">
        <v>0</v>
      </c>
      <c r="I279" s="204">
        <v>0</v>
      </c>
      <c r="J279" s="203">
        <v>40</v>
      </c>
      <c r="K279" s="204">
        <v>32000</v>
      </c>
      <c r="L279" s="204">
        <v>39520</v>
      </c>
      <c r="M279" s="203">
        <v>29</v>
      </c>
      <c r="N279" s="204">
        <v>11310</v>
      </c>
      <c r="O279" s="204">
        <v>31200</v>
      </c>
      <c r="P279" s="203">
        <v>0</v>
      </c>
      <c r="Q279" s="204">
        <v>0</v>
      </c>
      <c r="R279" s="204">
        <v>0</v>
      </c>
      <c r="S279" s="203">
        <v>20</v>
      </c>
      <c r="T279" s="204">
        <v>9500</v>
      </c>
      <c r="U279" s="216">
        <v>12000</v>
      </c>
    </row>
    <row r="280" spans="1:21" ht="13.5" thickBot="1" x14ac:dyDescent="0.25">
      <c r="A280" s="2" t="s">
        <v>488</v>
      </c>
      <c r="B280" s="1" t="s">
        <v>487</v>
      </c>
      <c r="C280" s="214" t="s">
        <v>29</v>
      </c>
      <c r="D280" s="203">
        <v>40</v>
      </c>
      <c r="E280" s="204">
        <v>40760</v>
      </c>
      <c r="F280" s="204">
        <v>44944</v>
      </c>
      <c r="G280" s="203">
        <v>38</v>
      </c>
      <c r="H280" s="204">
        <v>27881</v>
      </c>
      <c r="I280" s="204">
        <v>36240</v>
      </c>
      <c r="J280" s="203">
        <v>38</v>
      </c>
      <c r="K280" s="204">
        <v>36279</v>
      </c>
      <c r="L280" s="204">
        <v>47187</v>
      </c>
      <c r="M280" s="203">
        <v>38</v>
      </c>
      <c r="N280" s="204">
        <v>30115</v>
      </c>
      <c r="O280" s="204">
        <v>39026</v>
      </c>
      <c r="P280" s="203">
        <v>38</v>
      </c>
      <c r="Q280" s="204">
        <v>28572</v>
      </c>
      <c r="R280" s="204">
        <v>37109</v>
      </c>
      <c r="S280" s="203">
        <v>38</v>
      </c>
      <c r="T280" s="204">
        <v>22111</v>
      </c>
      <c r="U280" s="216">
        <v>28691</v>
      </c>
    </row>
    <row r="281" spans="1:21" ht="13.5" thickBot="1" x14ac:dyDescent="0.25">
      <c r="A281" s="2" t="s">
        <v>498</v>
      </c>
      <c r="B281" s="1" t="s">
        <v>497</v>
      </c>
      <c r="C281" s="214" t="s">
        <v>29</v>
      </c>
      <c r="D281" s="203">
        <v>40</v>
      </c>
      <c r="E281" s="204">
        <v>49725</v>
      </c>
      <c r="F281" s="204">
        <v>64145</v>
      </c>
      <c r="G281" s="203">
        <v>40</v>
      </c>
      <c r="H281" s="204">
        <v>39639</v>
      </c>
      <c r="I281" s="204">
        <v>53685</v>
      </c>
      <c r="J281" s="205" t="s">
        <v>16</v>
      </c>
      <c r="K281" s="205" t="s">
        <v>16</v>
      </c>
      <c r="L281" s="205" t="s">
        <v>16</v>
      </c>
      <c r="M281" s="203">
        <v>40</v>
      </c>
      <c r="N281" s="204">
        <v>34216</v>
      </c>
      <c r="O281" s="204">
        <v>44491</v>
      </c>
      <c r="P281" s="203">
        <v>40</v>
      </c>
      <c r="Q281" s="204">
        <v>39639</v>
      </c>
      <c r="R281" s="204">
        <v>51697</v>
      </c>
      <c r="S281" s="203">
        <v>30</v>
      </c>
      <c r="T281" s="204">
        <v>17176</v>
      </c>
      <c r="U281" s="216">
        <v>29063</v>
      </c>
    </row>
    <row r="282" spans="1:21" ht="13.5" thickBot="1" x14ac:dyDescent="0.25">
      <c r="A282" s="2" t="s">
        <v>502</v>
      </c>
      <c r="B282" s="1" t="s">
        <v>501</v>
      </c>
      <c r="C282" s="214" t="s">
        <v>29</v>
      </c>
      <c r="D282" s="203">
        <v>32</v>
      </c>
      <c r="E282" s="204">
        <v>27200</v>
      </c>
      <c r="F282" s="204">
        <v>36800</v>
      </c>
      <c r="G282" s="203">
        <v>40</v>
      </c>
      <c r="H282" s="204">
        <v>30000</v>
      </c>
      <c r="I282" s="204">
        <v>40800</v>
      </c>
      <c r="J282" s="203">
        <v>40</v>
      </c>
      <c r="K282" s="204">
        <v>24400</v>
      </c>
      <c r="L282" s="204">
        <v>33200</v>
      </c>
      <c r="M282" s="203">
        <v>20</v>
      </c>
      <c r="N282" s="204">
        <v>12200</v>
      </c>
      <c r="O282" s="204">
        <v>16600</v>
      </c>
      <c r="P282" s="203">
        <v>40</v>
      </c>
      <c r="Q282" s="204">
        <v>24400</v>
      </c>
      <c r="R282" s="204">
        <v>33200</v>
      </c>
      <c r="S282" s="205" t="s">
        <v>16</v>
      </c>
      <c r="T282" s="205" t="s">
        <v>16</v>
      </c>
      <c r="U282" s="215" t="s">
        <v>16</v>
      </c>
    </row>
    <row r="283" spans="1:21" ht="13.5" thickBot="1" x14ac:dyDescent="0.25">
      <c r="A283" s="2" t="s">
        <v>514</v>
      </c>
      <c r="B283" s="1" t="s">
        <v>513</v>
      </c>
      <c r="C283" s="214" t="s">
        <v>29</v>
      </c>
      <c r="D283" s="205" t="s">
        <v>16</v>
      </c>
      <c r="E283" s="205" t="s">
        <v>16</v>
      </c>
      <c r="F283" s="205" t="s">
        <v>16</v>
      </c>
      <c r="G283" s="205" t="s">
        <v>16</v>
      </c>
      <c r="H283" s="205" t="s">
        <v>16</v>
      </c>
      <c r="I283" s="205" t="s">
        <v>16</v>
      </c>
      <c r="J283" s="205" t="s">
        <v>16</v>
      </c>
      <c r="K283" s="205" t="s">
        <v>16</v>
      </c>
      <c r="L283" s="205" t="s">
        <v>16</v>
      </c>
      <c r="M283" s="203">
        <v>40</v>
      </c>
      <c r="N283" s="204">
        <v>33793</v>
      </c>
      <c r="O283" s="204">
        <v>40553</v>
      </c>
      <c r="P283" s="205" t="s">
        <v>16</v>
      </c>
      <c r="Q283" s="205" t="s">
        <v>16</v>
      </c>
      <c r="R283" s="205" t="s">
        <v>16</v>
      </c>
      <c r="S283" s="203">
        <v>24</v>
      </c>
      <c r="T283" s="204">
        <v>16905</v>
      </c>
      <c r="U283" s="216">
        <v>20286</v>
      </c>
    </row>
    <row r="284" spans="1:21" ht="13.5" thickBot="1" x14ac:dyDescent="0.25">
      <c r="A284" s="2" t="s">
        <v>518</v>
      </c>
      <c r="B284" s="1" t="s">
        <v>517</v>
      </c>
      <c r="C284" s="214" t="s">
        <v>29</v>
      </c>
      <c r="D284" s="203">
        <v>24</v>
      </c>
      <c r="E284" s="204">
        <v>15000</v>
      </c>
      <c r="F284" s="204">
        <v>25000</v>
      </c>
      <c r="G284" s="203">
        <v>0</v>
      </c>
      <c r="H284" s="204">
        <v>0</v>
      </c>
      <c r="I284" s="204">
        <v>0</v>
      </c>
      <c r="J284" s="203">
        <v>24</v>
      </c>
      <c r="K284" s="204">
        <v>15000</v>
      </c>
      <c r="L284" s="204">
        <v>25000</v>
      </c>
      <c r="M284" s="203">
        <v>16</v>
      </c>
      <c r="N284" s="204">
        <v>15000</v>
      </c>
      <c r="O284" s="204">
        <v>25000</v>
      </c>
      <c r="P284" s="203">
        <v>0</v>
      </c>
      <c r="Q284" s="204">
        <v>0</v>
      </c>
      <c r="R284" s="204">
        <v>0</v>
      </c>
      <c r="S284" s="203">
        <v>29</v>
      </c>
      <c r="T284" s="204">
        <v>8500</v>
      </c>
      <c r="U284" s="216">
        <v>12500</v>
      </c>
    </row>
    <row r="285" spans="1:21" ht="13.5" thickBot="1" x14ac:dyDescent="0.25">
      <c r="A285" s="2" t="s">
        <v>520</v>
      </c>
      <c r="B285" s="1" t="s">
        <v>519</v>
      </c>
      <c r="C285" s="214" t="s">
        <v>29</v>
      </c>
      <c r="D285" s="203">
        <v>0</v>
      </c>
      <c r="E285" s="204">
        <v>0</v>
      </c>
      <c r="F285" s="204">
        <v>0</v>
      </c>
      <c r="G285" s="203">
        <v>38</v>
      </c>
      <c r="H285" s="204">
        <v>42000</v>
      </c>
      <c r="I285" s="204">
        <v>54505</v>
      </c>
      <c r="J285" s="203">
        <v>0</v>
      </c>
      <c r="K285" s="204">
        <v>0</v>
      </c>
      <c r="L285" s="204">
        <v>0</v>
      </c>
      <c r="M285" s="203">
        <v>38</v>
      </c>
      <c r="N285" s="204">
        <v>36500</v>
      </c>
      <c r="O285" s="204">
        <v>50000</v>
      </c>
      <c r="P285" s="203">
        <v>0</v>
      </c>
      <c r="Q285" s="204">
        <v>0</v>
      </c>
      <c r="R285" s="204">
        <v>0</v>
      </c>
      <c r="S285" s="203">
        <v>38</v>
      </c>
      <c r="T285" s="204">
        <v>22700</v>
      </c>
      <c r="U285" s="216">
        <v>32500</v>
      </c>
    </row>
    <row r="286" spans="1:21" ht="13.5" thickBot="1" x14ac:dyDescent="0.25">
      <c r="A286" s="2" t="s">
        <v>524</v>
      </c>
      <c r="B286" s="1" t="s">
        <v>523</v>
      </c>
      <c r="C286" s="214" t="s">
        <v>29</v>
      </c>
      <c r="D286" s="205" t="s">
        <v>16</v>
      </c>
      <c r="E286" s="205" t="s">
        <v>16</v>
      </c>
      <c r="F286" s="205" t="s">
        <v>16</v>
      </c>
      <c r="G286" s="205" t="s">
        <v>16</v>
      </c>
      <c r="H286" s="205" t="s">
        <v>16</v>
      </c>
      <c r="I286" s="205" t="s">
        <v>16</v>
      </c>
      <c r="J286" s="205" t="s">
        <v>16</v>
      </c>
      <c r="K286" s="205" t="s">
        <v>16</v>
      </c>
      <c r="L286" s="205" t="s">
        <v>16</v>
      </c>
      <c r="M286" s="205" t="s">
        <v>16</v>
      </c>
      <c r="N286" s="205" t="s">
        <v>16</v>
      </c>
      <c r="O286" s="205" t="s">
        <v>16</v>
      </c>
      <c r="P286" s="205" t="s">
        <v>16</v>
      </c>
      <c r="Q286" s="205" t="s">
        <v>16</v>
      </c>
      <c r="R286" s="205" t="s">
        <v>16</v>
      </c>
      <c r="S286" s="203">
        <v>20</v>
      </c>
      <c r="T286" s="204">
        <v>9000</v>
      </c>
      <c r="U286" s="216">
        <v>16000</v>
      </c>
    </row>
    <row r="287" spans="1:21" ht="13.5" thickBot="1" x14ac:dyDescent="0.25">
      <c r="A287" s="2" t="s">
        <v>534</v>
      </c>
      <c r="B287" s="1" t="s">
        <v>533</v>
      </c>
      <c r="C287" s="214" t="s">
        <v>29</v>
      </c>
      <c r="D287" s="203">
        <v>35</v>
      </c>
      <c r="E287" s="204">
        <v>80936</v>
      </c>
      <c r="F287" s="204">
        <v>80936</v>
      </c>
      <c r="G287" s="205" t="s">
        <v>16</v>
      </c>
      <c r="H287" s="205" t="s">
        <v>16</v>
      </c>
      <c r="I287" s="205" t="s">
        <v>16</v>
      </c>
      <c r="J287" s="203">
        <v>35</v>
      </c>
      <c r="K287" s="204">
        <v>37138</v>
      </c>
      <c r="L287" s="204">
        <v>61831</v>
      </c>
      <c r="M287" s="203">
        <v>35</v>
      </c>
      <c r="N287" s="204">
        <v>37138</v>
      </c>
      <c r="O287" s="204">
        <v>61831</v>
      </c>
      <c r="P287" s="205" t="s">
        <v>16</v>
      </c>
      <c r="Q287" s="205" t="s">
        <v>16</v>
      </c>
      <c r="R287" s="205" t="s">
        <v>16</v>
      </c>
      <c r="S287" s="203">
        <v>24</v>
      </c>
      <c r="T287" s="204">
        <v>22626</v>
      </c>
      <c r="U287" s="216">
        <v>36678</v>
      </c>
    </row>
    <row r="288" spans="1:21" ht="13.5" thickBot="1" x14ac:dyDescent="0.25">
      <c r="A288" s="2" t="s">
        <v>548</v>
      </c>
      <c r="B288" s="1" t="s">
        <v>547</v>
      </c>
      <c r="C288" s="214" t="s">
        <v>29</v>
      </c>
      <c r="D288" s="203">
        <v>38</v>
      </c>
      <c r="E288" s="204">
        <v>30000</v>
      </c>
      <c r="F288" s="204">
        <v>45000</v>
      </c>
      <c r="G288" s="203">
        <v>38</v>
      </c>
      <c r="H288" s="204">
        <v>35000</v>
      </c>
      <c r="I288" s="204">
        <v>50000</v>
      </c>
      <c r="J288" s="203">
        <v>38</v>
      </c>
      <c r="K288" s="204">
        <v>30500</v>
      </c>
      <c r="L288" s="204">
        <v>48000</v>
      </c>
      <c r="M288" s="203">
        <v>38</v>
      </c>
      <c r="N288" s="204">
        <v>25350</v>
      </c>
      <c r="O288" s="204">
        <v>32500</v>
      </c>
      <c r="P288" s="203">
        <v>38</v>
      </c>
      <c r="Q288" s="204">
        <v>25000</v>
      </c>
      <c r="R288" s="204">
        <v>38000</v>
      </c>
      <c r="S288" s="203">
        <v>38</v>
      </c>
      <c r="T288" s="204">
        <v>1400</v>
      </c>
      <c r="U288" s="216">
        <v>2200</v>
      </c>
    </row>
    <row r="289" spans="1:21" ht="13.5" thickBot="1" x14ac:dyDescent="0.25">
      <c r="A289" s="2" t="s">
        <v>564</v>
      </c>
      <c r="B289" s="1" t="s">
        <v>563</v>
      </c>
      <c r="C289" s="214" t="s">
        <v>29</v>
      </c>
      <c r="D289" s="203">
        <v>40</v>
      </c>
      <c r="E289" s="204">
        <v>24000</v>
      </c>
      <c r="F289" s="204">
        <v>29000</v>
      </c>
      <c r="G289" s="203">
        <v>35</v>
      </c>
      <c r="H289" s="204">
        <v>19000</v>
      </c>
      <c r="I289" s="204">
        <v>28000</v>
      </c>
      <c r="J289" s="203">
        <v>35</v>
      </c>
      <c r="K289" s="204">
        <v>18000</v>
      </c>
      <c r="L289" s="204">
        <v>27000</v>
      </c>
      <c r="M289" s="203">
        <v>10</v>
      </c>
      <c r="N289" s="204">
        <v>4200</v>
      </c>
      <c r="O289" s="204">
        <v>6500</v>
      </c>
      <c r="P289" s="203">
        <v>0</v>
      </c>
      <c r="Q289" s="204">
        <v>0</v>
      </c>
      <c r="R289" s="204">
        <v>0</v>
      </c>
      <c r="S289" s="203">
        <v>30</v>
      </c>
      <c r="T289" s="204">
        <v>13000</v>
      </c>
      <c r="U289" s="216">
        <v>17000</v>
      </c>
    </row>
    <row r="290" spans="1:21" ht="13.5" thickBot="1" x14ac:dyDescent="0.25">
      <c r="A290" s="2" t="s">
        <v>574</v>
      </c>
      <c r="B290" s="1" t="s">
        <v>573</v>
      </c>
      <c r="C290" s="214" t="s">
        <v>29</v>
      </c>
      <c r="D290" s="203">
        <v>40</v>
      </c>
      <c r="E290" s="205" t="s">
        <v>16</v>
      </c>
      <c r="F290" s="204">
        <v>53554</v>
      </c>
      <c r="G290" s="203">
        <v>22</v>
      </c>
      <c r="H290" s="204">
        <v>11326</v>
      </c>
      <c r="I290" s="204">
        <v>13416</v>
      </c>
      <c r="J290" s="205" t="s">
        <v>16</v>
      </c>
      <c r="K290" s="205" t="s">
        <v>16</v>
      </c>
      <c r="L290" s="205" t="s">
        <v>16</v>
      </c>
      <c r="M290" s="205" t="s">
        <v>16</v>
      </c>
      <c r="N290" s="205" t="s">
        <v>16</v>
      </c>
      <c r="O290" s="205" t="s">
        <v>16</v>
      </c>
      <c r="P290" s="203">
        <v>39</v>
      </c>
      <c r="Q290" s="204">
        <v>33415</v>
      </c>
      <c r="R290" s="204">
        <v>37200</v>
      </c>
      <c r="S290" s="203">
        <v>25</v>
      </c>
      <c r="T290" s="204">
        <v>13975</v>
      </c>
      <c r="U290" s="216">
        <v>26052</v>
      </c>
    </row>
    <row r="291" spans="1:21" ht="13.5" thickBot="1" x14ac:dyDescent="0.25">
      <c r="A291" s="2" t="s">
        <v>576</v>
      </c>
      <c r="B291" s="1" t="s">
        <v>575</v>
      </c>
      <c r="C291" s="214" t="s">
        <v>29</v>
      </c>
      <c r="D291" s="203">
        <v>40</v>
      </c>
      <c r="E291" s="204">
        <v>32136</v>
      </c>
      <c r="F291" s="204">
        <v>32136</v>
      </c>
      <c r="G291" s="205" t="s">
        <v>16</v>
      </c>
      <c r="H291" s="205" t="s">
        <v>16</v>
      </c>
      <c r="I291" s="205" t="s">
        <v>16</v>
      </c>
      <c r="J291" s="205" t="s">
        <v>16</v>
      </c>
      <c r="K291" s="205" t="s">
        <v>16</v>
      </c>
      <c r="L291" s="205" t="s">
        <v>16</v>
      </c>
      <c r="M291" s="205" t="s">
        <v>16</v>
      </c>
      <c r="N291" s="205" t="s">
        <v>16</v>
      </c>
      <c r="O291" s="205" t="s">
        <v>16</v>
      </c>
      <c r="P291" s="205" t="s">
        <v>16</v>
      </c>
      <c r="Q291" s="205" t="s">
        <v>16</v>
      </c>
      <c r="R291" s="205" t="s">
        <v>16</v>
      </c>
      <c r="S291" s="203">
        <v>23</v>
      </c>
      <c r="T291" s="204">
        <v>11960</v>
      </c>
      <c r="U291" s="216">
        <v>18127</v>
      </c>
    </row>
    <row r="292" spans="1:21" ht="13.5" thickBot="1" x14ac:dyDescent="0.25">
      <c r="A292" s="2" t="s">
        <v>580</v>
      </c>
      <c r="B292" s="1" t="s">
        <v>579</v>
      </c>
      <c r="C292" s="214" t="s">
        <v>29</v>
      </c>
      <c r="D292" s="205" t="s">
        <v>16</v>
      </c>
      <c r="E292" s="205" t="s">
        <v>16</v>
      </c>
      <c r="F292" s="205" t="s">
        <v>16</v>
      </c>
      <c r="G292" s="203">
        <v>40</v>
      </c>
      <c r="H292" s="204">
        <v>45000</v>
      </c>
      <c r="I292" s="204">
        <v>65000</v>
      </c>
      <c r="J292" s="203">
        <v>40</v>
      </c>
      <c r="K292" s="204">
        <v>37440</v>
      </c>
      <c r="L292" s="204">
        <v>45760</v>
      </c>
      <c r="M292" s="203">
        <v>20</v>
      </c>
      <c r="N292" s="204">
        <v>18720</v>
      </c>
      <c r="O292" s="204">
        <v>22880</v>
      </c>
      <c r="P292" s="205" t="s">
        <v>16</v>
      </c>
      <c r="Q292" s="205" t="s">
        <v>16</v>
      </c>
      <c r="R292" s="205" t="s">
        <v>16</v>
      </c>
      <c r="S292" s="203">
        <v>20</v>
      </c>
      <c r="T292" s="204">
        <v>11440</v>
      </c>
      <c r="U292" s="216">
        <v>14560</v>
      </c>
    </row>
    <row r="293" spans="1:21" ht="13.5" thickBot="1" x14ac:dyDescent="0.25">
      <c r="A293" s="2" t="s">
        <v>588</v>
      </c>
      <c r="B293" s="1" t="s">
        <v>587</v>
      </c>
      <c r="C293" s="214" t="s">
        <v>29</v>
      </c>
      <c r="D293" s="203">
        <v>0</v>
      </c>
      <c r="E293" s="204">
        <v>0</v>
      </c>
      <c r="F293" s="204">
        <v>0</v>
      </c>
      <c r="G293" s="203">
        <v>0</v>
      </c>
      <c r="H293" s="204">
        <v>0</v>
      </c>
      <c r="I293" s="204">
        <v>0</v>
      </c>
      <c r="J293" s="203">
        <v>0</v>
      </c>
      <c r="K293" s="204">
        <v>0</v>
      </c>
      <c r="L293" s="204">
        <v>0</v>
      </c>
      <c r="M293" s="203">
        <v>0</v>
      </c>
      <c r="N293" s="204">
        <v>0</v>
      </c>
      <c r="O293" s="204">
        <v>0</v>
      </c>
      <c r="P293" s="203">
        <v>0</v>
      </c>
      <c r="Q293" s="204">
        <v>0</v>
      </c>
      <c r="R293" s="204">
        <v>0</v>
      </c>
      <c r="S293" s="203">
        <v>36</v>
      </c>
      <c r="T293" s="204">
        <v>16000</v>
      </c>
      <c r="U293" s="216">
        <v>60000</v>
      </c>
    </row>
    <row r="294" spans="1:21" ht="13.5" thickBot="1" x14ac:dyDescent="0.25">
      <c r="A294" s="2" t="s">
        <v>600</v>
      </c>
      <c r="B294" s="1" t="s">
        <v>599</v>
      </c>
      <c r="C294" s="214" t="s">
        <v>29</v>
      </c>
      <c r="D294" s="205" t="s">
        <v>16</v>
      </c>
      <c r="E294" s="205" t="s">
        <v>16</v>
      </c>
      <c r="F294" s="205" t="s">
        <v>16</v>
      </c>
      <c r="G294" s="203">
        <v>40</v>
      </c>
      <c r="H294" s="204">
        <v>35000</v>
      </c>
      <c r="I294" s="204">
        <v>45000</v>
      </c>
      <c r="J294" s="205" t="s">
        <v>16</v>
      </c>
      <c r="K294" s="205" t="s">
        <v>16</v>
      </c>
      <c r="L294" s="205" t="s">
        <v>16</v>
      </c>
      <c r="M294" s="203">
        <v>40</v>
      </c>
      <c r="N294" s="204">
        <v>32000</v>
      </c>
      <c r="O294" s="204">
        <v>42000</v>
      </c>
      <c r="P294" s="203">
        <v>40</v>
      </c>
      <c r="Q294" s="204">
        <v>35000</v>
      </c>
      <c r="R294" s="204">
        <v>48000</v>
      </c>
      <c r="S294" s="203">
        <v>25</v>
      </c>
      <c r="T294" s="204">
        <v>13000</v>
      </c>
      <c r="U294" s="216">
        <v>20000</v>
      </c>
    </row>
    <row r="295" spans="1:21" ht="13.5" thickBot="1" x14ac:dyDescent="0.25">
      <c r="A295" s="2" t="s">
        <v>616</v>
      </c>
      <c r="B295" s="1" t="s">
        <v>615</v>
      </c>
      <c r="C295" s="214" t="s">
        <v>29</v>
      </c>
      <c r="D295" s="205" t="s">
        <v>16</v>
      </c>
      <c r="E295" s="205" t="s">
        <v>16</v>
      </c>
      <c r="F295" s="205" t="s">
        <v>16</v>
      </c>
      <c r="G295" s="205" t="s">
        <v>16</v>
      </c>
      <c r="H295" s="205" t="s">
        <v>16</v>
      </c>
      <c r="I295" s="205" t="s">
        <v>16</v>
      </c>
      <c r="J295" s="203">
        <v>40</v>
      </c>
      <c r="K295" s="204">
        <v>46228</v>
      </c>
      <c r="L295" s="204">
        <v>46228</v>
      </c>
      <c r="M295" s="203">
        <v>20</v>
      </c>
      <c r="N295" s="204">
        <v>10000</v>
      </c>
      <c r="O295" s="204">
        <v>10500</v>
      </c>
      <c r="P295" s="203">
        <v>0</v>
      </c>
      <c r="Q295" s="204">
        <v>0</v>
      </c>
      <c r="R295" s="204">
        <v>0</v>
      </c>
      <c r="S295" s="203">
        <v>10</v>
      </c>
      <c r="T295" s="204">
        <v>4500</v>
      </c>
      <c r="U295" s="216">
        <v>4900</v>
      </c>
    </row>
    <row r="296" spans="1:21" ht="13.5" thickBot="1" x14ac:dyDescent="0.25">
      <c r="A296" s="2" t="s">
        <v>618</v>
      </c>
      <c r="B296" s="1" t="s">
        <v>617</v>
      </c>
      <c r="C296" s="214" t="s">
        <v>29</v>
      </c>
      <c r="D296" s="205" t="s">
        <v>16</v>
      </c>
      <c r="E296" s="205" t="s">
        <v>16</v>
      </c>
      <c r="F296" s="205" t="s">
        <v>16</v>
      </c>
      <c r="G296" s="203">
        <v>38</v>
      </c>
      <c r="H296" s="204">
        <v>28000</v>
      </c>
      <c r="I296" s="204">
        <v>41967</v>
      </c>
      <c r="J296" s="205" t="s">
        <v>16</v>
      </c>
      <c r="K296" s="205" t="s">
        <v>16</v>
      </c>
      <c r="L296" s="205" t="s">
        <v>16</v>
      </c>
      <c r="M296" s="205" t="s">
        <v>16</v>
      </c>
      <c r="N296" s="205" t="s">
        <v>16</v>
      </c>
      <c r="O296" s="205" t="s">
        <v>16</v>
      </c>
      <c r="P296" s="205" t="s">
        <v>16</v>
      </c>
      <c r="Q296" s="205" t="s">
        <v>16</v>
      </c>
      <c r="R296" s="205" t="s">
        <v>16</v>
      </c>
      <c r="S296" s="203">
        <v>26</v>
      </c>
      <c r="T296" s="204">
        <v>990</v>
      </c>
      <c r="U296" s="216">
        <v>19757</v>
      </c>
    </row>
    <row r="297" spans="1:21" ht="13.5" thickBot="1" x14ac:dyDescent="0.25">
      <c r="A297" s="2" t="s">
        <v>622</v>
      </c>
      <c r="B297" s="1" t="s">
        <v>621</v>
      </c>
      <c r="C297" s="214" t="s">
        <v>29</v>
      </c>
      <c r="D297" s="203">
        <v>0</v>
      </c>
      <c r="E297" s="204">
        <v>0</v>
      </c>
      <c r="F297" s="204">
        <v>0</v>
      </c>
      <c r="G297" s="203">
        <v>32</v>
      </c>
      <c r="H297" s="204">
        <v>16590</v>
      </c>
      <c r="I297" s="204">
        <v>30000</v>
      </c>
      <c r="J297" s="203">
        <v>40</v>
      </c>
      <c r="K297" s="204">
        <v>37000</v>
      </c>
      <c r="L297" s="204">
        <v>47000</v>
      </c>
      <c r="M297" s="203">
        <v>40</v>
      </c>
      <c r="N297" s="204">
        <v>28</v>
      </c>
      <c r="O297" s="204">
        <v>45000</v>
      </c>
      <c r="P297" s="205" t="s">
        <v>16</v>
      </c>
      <c r="Q297" s="205" t="s">
        <v>16</v>
      </c>
      <c r="R297" s="205" t="s">
        <v>16</v>
      </c>
      <c r="S297" s="203">
        <v>40</v>
      </c>
      <c r="T297" s="204">
        <v>19240</v>
      </c>
      <c r="U297" s="216">
        <v>37500</v>
      </c>
    </row>
    <row r="298" spans="1:21" ht="13.5" thickBot="1" x14ac:dyDescent="0.25">
      <c r="A298" s="2" t="s">
        <v>658</v>
      </c>
      <c r="B298" s="1" t="s">
        <v>657</v>
      </c>
      <c r="C298" s="214" t="s">
        <v>29</v>
      </c>
      <c r="D298" s="203">
        <v>0</v>
      </c>
      <c r="E298" s="204">
        <v>0</v>
      </c>
      <c r="F298" s="204">
        <v>0</v>
      </c>
      <c r="G298" s="203">
        <v>0</v>
      </c>
      <c r="H298" s="204">
        <v>0</v>
      </c>
      <c r="I298" s="204">
        <v>0</v>
      </c>
      <c r="J298" s="203">
        <v>0</v>
      </c>
      <c r="K298" s="204">
        <v>0</v>
      </c>
      <c r="L298" s="204">
        <v>0</v>
      </c>
      <c r="M298" s="203">
        <v>0</v>
      </c>
      <c r="N298" s="204">
        <v>0</v>
      </c>
      <c r="O298" s="204">
        <v>0</v>
      </c>
      <c r="P298" s="203">
        <v>0</v>
      </c>
      <c r="Q298" s="204">
        <v>0</v>
      </c>
      <c r="R298" s="204">
        <v>0</v>
      </c>
      <c r="S298" s="203">
        <v>15</v>
      </c>
      <c r="T298" s="204">
        <v>3600</v>
      </c>
      <c r="U298" s="216">
        <v>20706</v>
      </c>
    </row>
    <row r="299" spans="1:21" ht="13.5" thickBot="1" x14ac:dyDescent="0.25">
      <c r="A299" s="2" t="s">
        <v>686</v>
      </c>
      <c r="B299" s="1" t="s">
        <v>685</v>
      </c>
      <c r="C299" s="214" t="s">
        <v>29</v>
      </c>
      <c r="D299" s="203">
        <v>0</v>
      </c>
      <c r="E299" s="204">
        <v>51153</v>
      </c>
      <c r="F299" s="204">
        <v>74820</v>
      </c>
      <c r="G299" s="203">
        <v>40</v>
      </c>
      <c r="H299" s="204">
        <v>44692</v>
      </c>
      <c r="I299" s="204">
        <v>61140</v>
      </c>
      <c r="J299" s="203">
        <v>40</v>
      </c>
      <c r="K299" s="204">
        <v>46846</v>
      </c>
      <c r="L299" s="204">
        <v>52180</v>
      </c>
      <c r="M299" s="203">
        <v>40</v>
      </c>
      <c r="N299" s="204">
        <v>36615</v>
      </c>
      <c r="O299" s="204">
        <v>45230</v>
      </c>
      <c r="P299" s="203">
        <v>40</v>
      </c>
      <c r="Q299" s="204">
        <v>47384</v>
      </c>
      <c r="R299" s="204">
        <v>73368</v>
      </c>
      <c r="S299" s="203">
        <v>20</v>
      </c>
      <c r="T299" s="204">
        <v>10078</v>
      </c>
      <c r="U299" s="216">
        <v>16141</v>
      </c>
    </row>
    <row r="300" spans="1:21" ht="13.5" thickBot="1" x14ac:dyDescent="0.25">
      <c r="A300" s="2" t="s">
        <v>728</v>
      </c>
      <c r="B300" s="1" t="s">
        <v>727</v>
      </c>
      <c r="C300" s="214" t="s">
        <v>29</v>
      </c>
      <c r="D300" s="203">
        <v>40</v>
      </c>
      <c r="E300" s="205" t="s">
        <v>16</v>
      </c>
      <c r="F300" s="205" t="s">
        <v>16</v>
      </c>
      <c r="G300" s="203">
        <v>40</v>
      </c>
      <c r="H300" s="205" t="s">
        <v>16</v>
      </c>
      <c r="I300" s="205" t="s">
        <v>16</v>
      </c>
      <c r="J300" s="205" t="s">
        <v>16</v>
      </c>
      <c r="K300" s="205" t="s">
        <v>16</v>
      </c>
      <c r="L300" s="205" t="s">
        <v>16</v>
      </c>
      <c r="M300" s="205" t="s">
        <v>16</v>
      </c>
      <c r="N300" s="205" t="s">
        <v>16</v>
      </c>
      <c r="O300" s="205" t="s">
        <v>16</v>
      </c>
      <c r="P300" s="205" t="s">
        <v>16</v>
      </c>
      <c r="Q300" s="205" t="s">
        <v>16</v>
      </c>
      <c r="R300" s="205" t="s">
        <v>16</v>
      </c>
      <c r="S300" s="205" t="s">
        <v>16</v>
      </c>
      <c r="T300" s="205" t="s">
        <v>16</v>
      </c>
      <c r="U300" s="215" t="s">
        <v>16</v>
      </c>
    </row>
    <row r="301" spans="1:21" ht="13.5" thickBot="1" x14ac:dyDescent="0.25">
      <c r="A301" s="2" t="s">
        <v>730</v>
      </c>
      <c r="B301" s="1" t="s">
        <v>729</v>
      </c>
      <c r="C301" s="214" t="s">
        <v>29</v>
      </c>
      <c r="D301" s="205" t="s">
        <v>16</v>
      </c>
      <c r="E301" s="205" t="s">
        <v>16</v>
      </c>
      <c r="F301" s="205" t="s">
        <v>16</v>
      </c>
      <c r="G301" s="203">
        <v>36</v>
      </c>
      <c r="H301" s="204">
        <v>47350</v>
      </c>
      <c r="I301" s="205" t="s">
        <v>16</v>
      </c>
      <c r="J301" s="203">
        <v>35</v>
      </c>
      <c r="K301" s="204">
        <v>39600</v>
      </c>
      <c r="L301" s="205" t="s">
        <v>16</v>
      </c>
      <c r="M301" s="205" t="s">
        <v>16</v>
      </c>
      <c r="N301" s="205" t="s">
        <v>16</v>
      </c>
      <c r="O301" s="205" t="s">
        <v>16</v>
      </c>
      <c r="P301" s="205" t="s">
        <v>16</v>
      </c>
      <c r="Q301" s="205" t="s">
        <v>16</v>
      </c>
      <c r="R301" s="205" t="s">
        <v>16</v>
      </c>
      <c r="S301" s="203">
        <v>25</v>
      </c>
      <c r="T301" s="204">
        <v>19000</v>
      </c>
      <c r="U301" s="215" t="s">
        <v>16</v>
      </c>
    </row>
    <row r="302" spans="1:21" ht="13.5" thickBot="1" x14ac:dyDescent="0.25">
      <c r="A302" s="2" t="s">
        <v>736</v>
      </c>
      <c r="B302" s="1" t="s">
        <v>735</v>
      </c>
      <c r="C302" s="214" t="s">
        <v>29</v>
      </c>
      <c r="D302" s="203">
        <v>0</v>
      </c>
      <c r="E302" s="204">
        <v>0</v>
      </c>
      <c r="F302" s="204">
        <v>0</v>
      </c>
      <c r="G302" s="203">
        <v>38</v>
      </c>
      <c r="H302" s="204">
        <v>24000</v>
      </c>
      <c r="I302" s="204">
        <v>36000</v>
      </c>
      <c r="J302" s="203">
        <v>0</v>
      </c>
      <c r="K302" s="204">
        <v>0</v>
      </c>
      <c r="L302" s="204">
        <v>0</v>
      </c>
      <c r="M302" s="203">
        <v>38</v>
      </c>
      <c r="N302" s="204">
        <v>24000</v>
      </c>
      <c r="O302" s="204">
        <v>32000</v>
      </c>
      <c r="P302" s="203">
        <v>0</v>
      </c>
      <c r="Q302" s="204">
        <v>0</v>
      </c>
      <c r="R302" s="204">
        <v>0</v>
      </c>
      <c r="S302" s="203">
        <v>22</v>
      </c>
      <c r="T302" s="204">
        <v>8000</v>
      </c>
      <c r="U302" s="216">
        <v>18000</v>
      </c>
    </row>
    <row r="303" spans="1:21" ht="13.5" thickBot="1" x14ac:dyDescent="0.25">
      <c r="A303" s="2" t="s">
        <v>755</v>
      </c>
      <c r="B303" s="1" t="s">
        <v>754</v>
      </c>
      <c r="C303" s="214" t="s">
        <v>29</v>
      </c>
      <c r="D303" s="205" t="s">
        <v>16</v>
      </c>
      <c r="E303" s="205" t="s">
        <v>16</v>
      </c>
      <c r="F303" s="205" t="s">
        <v>16</v>
      </c>
      <c r="G303" s="205" t="s">
        <v>16</v>
      </c>
      <c r="H303" s="205" t="s">
        <v>16</v>
      </c>
      <c r="I303" s="205" t="s">
        <v>16</v>
      </c>
      <c r="J303" s="203">
        <v>40</v>
      </c>
      <c r="K303" s="204">
        <v>50000</v>
      </c>
      <c r="L303" s="204">
        <v>50806</v>
      </c>
      <c r="M303" s="205" t="s">
        <v>16</v>
      </c>
      <c r="N303" s="205" t="s">
        <v>16</v>
      </c>
      <c r="O303" s="205" t="s">
        <v>16</v>
      </c>
      <c r="P303" s="203">
        <v>40</v>
      </c>
      <c r="Q303" s="204">
        <v>40000</v>
      </c>
      <c r="R303" s="204">
        <v>40000</v>
      </c>
      <c r="S303" s="203">
        <v>20</v>
      </c>
      <c r="T303" s="204">
        <v>10076</v>
      </c>
      <c r="U303" s="216">
        <v>14426</v>
      </c>
    </row>
    <row r="304" spans="1:21" ht="13.5" thickBot="1" x14ac:dyDescent="0.25">
      <c r="A304" s="2" t="s">
        <v>767</v>
      </c>
      <c r="B304" s="1" t="s">
        <v>766</v>
      </c>
      <c r="C304" s="214" t="s">
        <v>29</v>
      </c>
      <c r="D304" s="205" t="s">
        <v>16</v>
      </c>
      <c r="E304" s="205" t="s">
        <v>16</v>
      </c>
      <c r="F304" s="205" t="s">
        <v>16</v>
      </c>
      <c r="G304" s="205" t="s">
        <v>16</v>
      </c>
      <c r="H304" s="205" t="s">
        <v>16</v>
      </c>
      <c r="I304" s="205" t="s">
        <v>16</v>
      </c>
      <c r="J304" s="203">
        <v>8</v>
      </c>
      <c r="K304" s="204">
        <v>5365</v>
      </c>
      <c r="L304" s="204">
        <v>9879</v>
      </c>
      <c r="M304" s="205" t="s">
        <v>16</v>
      </c>
      <c r="N304" s="205" t="s">
        <v>16</v>
      </c>
      <c r="O304" s="205" t="s">
        <v>16</v>
      </c>
      <c r="P304" s="205" t="s">
        <v>16</v>
      </c>
      <c r="Q304" s="205" t="s">
        <v>16</v>
      </c>
      <c r="R304" s="205" t="s">
        <v>16</v>
      </c>
      <c r="S304" s="203">
        <v>7</v>
      </c>
      <c r="T304" s="204">
        <v>5365</v>
      </c>
      <c r="U304" s="216">
        <v>9879</v>
      </c>
    </row>
    <row r="305" spans="1:21" ht="13.5" thickBot="1" x14ac:dyDescent="0.25">
      <c r="A305" s="2" t="s">
        <v>771</v>
      </c>
      <c r="B305" s="1" t="s">
        <v>770</v>
      </c>
      <c r="C305" s="214" t="s">
        <v>29</v>
      </c>
      <c r="D305" s="203">
        <v>40</v>
      </c>
      <c r="E305" s="204">
        <v>33280</v>
      </c>
      <c r="F305" s="204">
        <v>35360</v>
      </c>
      <c r="G305" s="205" t="s">
        <v>16</v>
      </c>
      <c r="H305" s="205" t="s">
        <v>16</v>
      </c>
      <c r="I305" s="205" t="s">
        <v>16</v>
      </c>
      <c r="J305" s="203">
        <v>29</v>
      </c>
      <c r="K305" s="204">
        <v>21112</v>
      </c>
      <c r="L305" s="204">
        <v>24128</v>
      </c>
      <c r="M305" s="205" t="s">
        <v>16</v>
      </c>
      <c r="N305" s="205" t="s">
        <v>16</v>
      </c>
      <c r="O305" s="205" t="s">
        <v>16</v>
      </c>
      <c r="P305" s="203">
        <v>29</v>
      </c>
      <c r="Q305" s="204">
        <v>18550</v>
      </c>
      <c r="R305" s="204">
        <v>20947</v>
      </c>
      <c r="S305" s="203">
        <v>25</v>
      </c>
      <c r="T305" s="204">
        <v>13000</v>
      </c>
      <c r="U305" s="216">
        <v>17028</v>
      </c>
    </row>
    <row r="306" spans="1:21" ht="13.5" thickBot="1" x14ac:dyDescent="0.25">
      <c r="A306" s="2" t="s">
        <v>791</v>
      </c>
      <c r="B306" s="1" t="s">
        <v>790</v>
      </c>
      <c r="C306" s="214" t="s">
        <v>29</v>
      </c>
      <c r="D306" s="205" t="s">
        <v>16</v>
      </c>
      <c r="E306" s="205" t="s">
        <v>16</v>
      </c>
      <c r="F306" s="205" t="s">
        <v>16</v>
      </c>
      <c r="G306" s="203">
        <v>35</v>
      </c>
      <c r="H306" s="204">
        <v>18</v>
      </c>
      <c r="I306" s="204">
        <v>20</v>
      </c>
      <c r="J306" s="203">
        <v>30</v>
      </c>
      <c r="K306" s="204">
        <v>25000</v>
      </c>
      <c r="L306" s="204">
        <v>35000</v>
      </c>
      <c r="M306" s="205" t="s">
        <v>16</v>
      </c>
      <c r="N306" s="205" t="s">
        <v>16</v>
      </c>
      <c r="O306" s="205" t="s">
        <v>16</v>
      </c>
      <c r="P306" s="205" t="s">
        <v>16</v>
      </c>
      <c r="Q306" s="205" t="s">
        <v>16</v>
      </c>
      <c r="R306" s="205" t="s">
        <v>16</v>
      </c>
      <c r="S306" s="205" t="s">
        <v>16</v>
      </c>
      <c r="T306" s="205" t="s">
        <v>16</v>
      </c>
      <c r="U306" s="215" t="s">
        <v>16</v>
      </c>
    </row>
    <row r="307" spans="1:21" ht="13.5" thickBot="1" x14ac:dyDescent="0.25">
      <c r="A307" s="2" t="s">
        <v>813</v>
      </c>
      <c r="B307" s="1" t="s">
        <v>812</v>
      </c>
      <c r="C307" s="214" t="s">
        <v>29</v>
      </c>
      <c r="D307" s="205" t="s">
        <v>16</v>
      </c>
      <c r="E307" s="205" t="s">
        <v>16</v>
      </c>
      <c r="F307" s="205" t="s">
        <v>16</v>
      </c>
      <c r="G307" s="205" t="s">
        <v>16</v>
      </c>
      <c r="H307" s="205" t="s">
        <v>16</v>
      </c>
      <c r="I307" s="205" t="s">
        <v>16</v>
      </c>
      <c r="J307" s="205" t="s">
        <v>16</v>
      </c>
      <c r="K307" s="205" t="s">
        <v>16</v>
      </c>
      <c r="L307" s="205" t="s">
        <v>16</v>
      </c>
      <c r="M307" s="203">
        <v>27</v>
      </c>
      <c r="N307" s="204">
        <v>23868</v>
      </c>
      <c r="O307" s="204">
        <v>32292</v>
      </c>
      <c r="P307" s="203">
        <v>38</v>
      </c>
      <c r="Q307" s="204">
        <v>43290</v>
      </c>
      <c r="R307" s="204">
        <v>43290</v>
      </c>
      <c r="S307" s="203">
        <v>12</v>
      </c>
      <c r="T307" s="204">
        <v>6552</v>
      </c>
      <c r="U307" s="216">
        <v>8424</v>
      </c>
    </row>
    <row r="308" spans="1:21" ht="13.5" thickBot="1" x14ac:dyDescent="0.25">
      <c r="A308" s="2" t="s">
        <v>839</v>
      </c>
      <c r="B308" s="1" t="s">
        <v>838</v>
      </c>
      <c r="C308" s="214" t="s">
        <v>29</v>
      </c>
      <c r="D308" s="205" t="s">
        <v>16</v>
      </c>
      <c r="E308" s="205" t="s">
        <v>16</v>
      </c>
      <c r="F308" s="205" t="s">
        <v>16</v>
      </c>
      <c r="G308" s="205" t="s">
        <v>16</v>
      </c>
      <c r="H308" s="205" t="s">
        <v>16</v>
      </c>
      <c r="I308" s="205" t="s">
        <v>16</v>
      </c>
      <c r="J308" s="203">
        <v>40</v>
      </c>
      <c r="K308" s="204">
        <v>42791</v>
      </c>
      <c r="L308" s="204">
        <v>53489</v>
      </c>
      <c r="M308" s="203">
        <v>17</v>
      </c>
      <c r="N308" s="204">
        <v>15027</v>
      </c>
      <c r="O308" s="204">
        <v>18564</v>
      </c>
      <c r="P308" s="205" t="s">
        <v>16</v>
      </c>
      <c r="Q308" s="205" t="s">
        <v>16</v>
      </c>
      <c r="R308" s="205" t="s">
        <v>16</v>
      </c>
      <c r="S308" s="203">
        <v>17</v>
      </c>
      <c r="T308" s="204">
        <v>9724</v>
      </c>
      <c r="U308" s="216">
        <v>12376</v>
      </c>
    </row>
    <row r="309" spans="1:21" ht="13.5" thickBot="1" x14ac:dyDescent="0.25">
      <c r="A309" s="2" t="s">
        <v>44</v>
      </c>
      <c r="B309" s="1" t="s">
        <v>43</v>
      </c>
      <c r="C309" s="214" t="s">
        <v>45</v>
      </c>
      <c r="D309" s="205" t="s">
        <v>16</v>
      </c>
      <c r="E309" s="205" t="s">
        <v>16</v>
      </c>
      <c r="F309" s="205" t="s">
        <v>16</v>
      </c>
      <c r="G309" s="205" t="s">
        <v>16</v>
      </c>
      <c r="H309" s="205" t="s">
        <v>16</v>
      </c>
      <c r="I309" s="205" t="s">
        <v>16</v>
      </c>
      <c r="J309" s="205" t="s">
        <v>16</v>
      </c>
      <c r="K309" s="205" t="s">
        <v>16</v>
      </c>
      <c r="L309" s="205" t="s">
        <v>16</v>
      </c>
      <c r="M309" s="203">
        <v>29</v>
      </c>
      <c r="N309" s="204">
        <v>26208</v>
      </c>
      <c r="O309" s="204">
        <v>34034</v>
      </c>
      <c r="P309" s="203">
        <v>28</v>
      </c>
      <c r="Q309" s="204">
        <v>14196</v>
      </c>
      <c r="R309" s="204">
        <v>27664</v>
      </c>
      <c r="S309" s="203">
        <v>28</v>
      </c>
      <c r="T309" s="204">
        <v>13468</v>
      </c>
      <c r="U309" s="216">
        <v>20384</v>
      </c>
    </row>
    <row r="310" spans="1:21" ht="13.5" thickBot="1" x14ac:dyDescent="0.25">
      <c r="A310" s="2" t="s">
        <v>47</v>
      </c>
      <c r="B310" s="1" t="s">
        <v>46</v>
      </c>
      <c r="C310" s="214" t="s">
        <v>45</v>
      </c>
      <c r="D310" s="205" t="s">
        <v>16</v>
      </c>
      <c r="E310" s="205" t="s">
        <v>16</v>
      </c>
      <c r="F310" s="205" t="s">
        <v>16</v>
      </c>
      <c r="G310" s="203">
        <v>40</v>
      </c>
      <c r="H310" s="204">
        <v>46945</v>
      </c>
      <c r="I310" s="204">
        <v>65728</v>
      </c>
      <c r="J310" s="203">
        <v>20</v>
      </c>
      <c r="K310" s="204">
        <v>12342</v>
      </c>
      <c r="L310" s="204">
        <v>17243</v>
      </c>
      <c r="M310" s="203">
        <v>16</v>
      </c>
      <c r="N310" s="204">
        <v>8778</v>
      </c>
      <c r="O310" s="204">
        <v>11789</v>
      </c>
      <c r="P310" s="205" t="s">
        <v>16</v>
      </c>
      <c r="Q310" s="205" t="s">
        <v>16</v>
      </c>
      <c r="R310" s="205" t="s">
        <v>16</v>
      </c>
      <c r="S310" s="203">
        <v>12</v>
      </c>
      <c r="T310" s="204">
        <v>5772</v>
      </c>
      <c r="U310" s="216">
        <v>7020</v>
      </c>
    </row>
    <row r="311" spans="1:21" ht="13.5" thickBot="1" x14ac:dyDescent="0.25">
      <c r="A311" s="2" t="s">
        <v>55</v>
      </c>
      <c r="B311" s="1" t="s">
        <v>54</v>
      </c>
      <c r="C311" s="214" t="s">
        <v>45</v>
      </c>
      <c r="D311" s="203">
        <v>40</v>
      </c>
      <c r="E311" s="204">
        <v>50003</v>
      </c>
      <c r="F311" s="204">
        <v>50003</v>
      </c>
      <c r="G311" s="203">
        <v>40</v>
      </c>
      <c r="H311" s="204">
        <v>25251</v>
      </c>
      <c r="I311" s="204">
        <v>44116</v>
      </c>
      <c r="J311" s="203">
        <v>29</v>
      </c>
      <c r="K311" s="204">
        <v>15381</v>
      </c>
      <c r="L311" s="204">
        <v>28100</v>
      </c>
      <c r="M311" s="203">
        <v>24</v>
      </c>
      <c r="N311" s="204">
        <v>12919</v>
      </c>
      <c r="O311" s="204">
        <v>14211</v>
      </c>
      <c r="P311" s="203">
        <v>40</v>
      </c>
      <c r="Q311" s="204">
        <v>35248</v>
      </c>
      <c r="R311" s="204">
        <v>35248</v>
      </c>
      <c r="S311" s="203">
        <v>24</v>
      </c>
      <c r="T311" s="204">
        <v>10334</v>
      </c>
      <c r="U311" s="216">
        <v>16795</v>
      </c>
    </row>
    <row r="312" spans="1:21" ht="13.5" thickBot="1" x14ac:dyDescent="0.25">
      <c r="A312" s="2" t="s">
        <v>80</v>
      </c>
      <c r="B312" s="1" t="s">
        <v>79</v>
      </c>
      <c r="C312" s="214" t="s">
        <v>45</v>
      </c>
      <c r="D312" s="203">
        <v>40</v>
      </c>
      <c r="E312" s="204">
        <v>54892</v>
      </c>
      <c r="F312" s="204">
        <v>76871</v>
      </c>
      <c r="G312" s="203">
        <v>40</v>
      </c>
      <c r="H312" s="204">
        <v>47727</v>
      </c>
      <c r="I312" s="204">
        <v>66818</v>
      </c>
      <c r="J312" s="203">
        <v>40</v>
      </c>
      <c r="K312" s="204">
        <v>43340</v>
      </c>
      <c r="L312" s="204">
        <v>58485</v>
      </c>
      <c r="M312" s="203">
        <v>40</v>
      </c>
      <c r="N312" s="204">
        <v>38512</v>
      </c>
      <c r="O312" s="204">
        <v>55432</v>
      </c>
      <c r="P312" s="203">
        <v>40</v>
      </c>
      <c r="Q312" s="204">
        <v>35779</v>
      </c>
      <c r="R312" s="204">
        <v>53813</v>
      </c>
      <c r="S312" s="203">
        <v>40</v>
      </c>
      <c r="T312" s="204">
        <v>25175</v>
      </c>
      <c r="U312" s="216">
        <v>38424</v>
      </c>
    </row>
    <row r="313" spans="1:21" ht="13.5" thickBot="1" x14ac:dyDescent="0.25">
      <c r="A313" s="2" t="s">
        <v>92</v>
      </c>
      <c r="B313" s="1" t="s">
        <v>91</v>
      </c>
      <c r="C313" s="214" t="s">
        <v>45</v>
      </c>
      <c r="D313" s="203">
        <v>40</v>
      </c>
      <c r="E313" s="204">
        <v>58000</v>
      </c>
      <c r="F313" s="204">
        <v>68000</v>
      </c>
      <c r="G313" s="203">
        <v>40</v>
      </c>
      <c r="H313" s="204">
        <v>45000</v>
      </c>
      <c r="I313" s="204">
        <v>58000</v>
      </c>
      <c r="J313" s="203">
        <v>40</v>
      </c>
      <c r="K313" s="204">
        <v>46000</v>
      </c>
      <c r="L313" s="204">
        <v>52000</v>
      </c>
      <c r="M313" s="203">
        <v>40</v>
      </c>
      <c r="N313" s="204">
        <v>40000</v>
      </c>
      <c r="O313" s="204">
        <v>46000</v>
      </c>
      <c r="P313" s="203">
        <v>40</v>
      </c>
      <c r="Q313" s="204">
        <v>47000</v>
      </c>
      <c r="R313" s="204">
        <v>62000</v>
      </c>
      <c r="S313" s="203">
        <v>17</v>
      </c>
      <c r="T313" s="204">
        <v>9724</v>
      </c>
      <c r="U313" s="216">
        <v>12376</v>
      </c>
    </row>
    <row r="314" spans="1:21" ht="13.5" thickBot="1" x14ac:dyDescent="0.25">
      <c r="A314" s="2" t="s">
        <v>114</v>
      </c>
      <c r="B314" s="1" t="s">
        <v>113</v>
      </c>
      <c r="C314" s="214" t="s">
        <v>45</v>
      </c>
      <c r="D314" s="203">
        <v>38</v>
      </c>
      <c r="E314" s="204">
        <v>63360</v>
      </c>
      <c r="F314" s="204">
        <v>85536</v>
      </c>
      <c r="G314" s="203">
        <v>38</v>
      </c>
      <c r="H314" s="204">
        <v>56320</v>
      </c>
      <c r="I314" s="204">
        <v>76032</v>
      </c>
      <c r="J314" s="203">
        <v>38</v>
      </c>
      <c r="K314" s="204">
        <v>50063</v>
      </c>
      <c r="L314" s="204">
        <v>67584</v>
      </c>
      <c r="M314" s="203">
        <v>38</v>
      </c>
      <c r="N314" s="204">
        <v>44500</v>
      </c>
      <c r="O314" s="204">
        <v>60075</v>
      </c>
      <c r="P314" s="203">
        <v>38</v>
      </c>
      <c r="Q314" s="204">
        <v>44500</v>
      </c>
      <c r="R314" s="204">
        <v>60075</v>
      </c>
      <c r="S314" s="203">
        <v>20</v>
      </c>
      <c r="T314" s="204">
        <v>33075</v>
      </c>
      <c r="U314" s="216">
        <v>42998</v>
      </c>
    </row>
    <row r="315" spans="1:21" ht="13.5" thickBot="1" x14ac:dyDescent="0.25">
      <c r="A315" s="2" t="s">
        <v>120</v>
      </c>
      <c r="B315" s="1" t="s">
        <v>119</v>
      </c>
      <c r="C315" s="214" t="s">
        <v>45</v>
      </c>
      <c r="D315" s="203">
        <v>40</v>
      </c>
      <c r="E315" s="204">
        <v>66950</v>
      </c>
      <c r="F315" s="204">
        <v>68959</v>
      </c>
      <c r="G315" s="203">
        <v>40</v>
      </c>
      <c r="H315" s="204">
        <v>40000</v>
      </c>
      <c r="I315" s="204">
        <v>43260</v>
      </c>
      <c r="J315" s="203">
        <v>40</v>
      </c>
      <c r="K315" s="204">
        <v>48000</v>
      </c>
      <c r="L315" s="204">
        <v>49440</v>
      </c>
      <c r="M315" s="203">
        <v>40</v>
      </c>
      <c r="N315" s="204">
        <v>33155</v>
      </c>
      <c r="O315" s="204">
        <v>37440</v>
      </c>
      <c r="P315" s="203">
        <v>40</v>
      </c>
      <c r="Q315" s="204">
        <v>33155</v>
      </c>
      <c r="R315" s="204">
        <v>37440</v>
      </c>
      <c r="S315" s="203">
        <v>30</v>
      </c>
      <c r="T315" s="204">
        <v>17784</v>
      </c>
      <c r="U315" s="216">
        <v>22417</v>
      </c>
    </row>
    <row r="316" spans="1:21" ht="13.5" thickBot="1" x14ac:dyDescent="0.25">
      <c r="A316" s="2" t="s">
        <v>130</v>
      </c>
      <c r="B316" s="1" t="s">
        <v>129</v>
      </c>
      <c r="C316" s="214" t="s">
        <v>45</v>
      </c>
      <c r="D316" s="203">
        <v>40</v>
      </c>
      <c r="E316" s="204">
        <v>57670</v>
      </c>
      <c r="F316" s="204">
        <v>74022</v>
      </c>
      <c r="G316" s="203">
        <v>40</v>
      </c>
      <c r="H316" s="204">
        <v>46414</v>
      </c>
      <c r="I316" s="204">
        <v>63728</v>
      </c>
      <c r="J316" s="203">
        <v>32</v>
      </c>
      <c r="K316" s="204">
        <v>38604</v>
      </c>
      <c r="L316" s="204">
        <v>51350</v>
      </c>
      <c r="M316" s="203">
        <v>20</v>
      </c>
      <c r="N316" s="204">
        <v>38168</v>
      </c>
      <c r="O316" s="204">
        <v>39520</v>
      </c>
      <c r="P316" s="203">
        <v>0</v>
      </c>
      <c r="Q316" s="204">
        <v>0</v>
      </c>
      <c r="R316" s="204">
        <v>0</v>
      </c>
      <c r="S316" s="203">
        <v>17</v>
      </c>
      <c r="T316" s="204">
        <v>19240</v>
      </c>
      <c r="U316" s="216">
        <v>30763</v>
      </c>
    </row>
    <row r="317" spans="1:21" ht="13.5" thickBot="1" x14ac:dyDescent="0.25">
      <c r="A317" s="2" t="s">
        <v>142</v>
      </c>
      <c r="B317" s="1" t="s">
        <v>141</v>
      </c>
      <c r="C317" s="214" t="s">
        <v>45</v>
      </c>
      <c r="D317" s="203">
        <v>0</v>
      </c>
      <c r="E317" s="204">
        <v>0</v>
      </c>
      <c r="F317" s="204">
        <v>0</v>
      </c>
      <c r="G317" s="203">
        <v>40</v>
      </c>
      <c r="H317" s="204">
        <v>26520</v>
      </c>
      <c r="I317" s="204">
        <v>30680</v>
      </c>
      <c r="J317" s="203">
        <v>40</v>
      </c>
      <c r="K317" s="204">
        <v>43680</v>
      </c>
      <c r="L317" s="204">
        <v>44970</v>
      </c>
      <c r="M317" s="203">
        <v>40</v>
      </c>
      <c r="N317" s="204">
        <v>30326</v>
      </c>
      <c r="O317" s="204">
        <v>30326</v>
      </c>
      <c r="P317" s="203">
        <v>40</v>
      </c>
      <c r="Q317" s="204">
        <v>29640</v>
      </c>
      <c r="R317" s="204">
        <v>51272</v>
      </c>
      <c r="S317" s="203">
        <v>40</v>
      </c>
      <c r="T317" s="204">
        <v>29640</v>
      </c>
      <c r="U317" s="216">
        <v>42224</v>
      </c>
    </row>
    <row r="318" spans="1:21" ht="13.5" thickBot="1" x14ac:dyDescent="0.25">
      <c r="A318" s="2" t="s">
        <v>158</v>
      </c>
      <c r="B318" s="1" t="s">
        <v>157</v>
      </c>
      <c r="C318" s="214" t="s">
        <v>45</v>
      </c>
      <c r="D318" s="203">
        <v>0</v>
      </c>
      <c r="E318" s="204">
        <v>0</v>
      </c>
      <c r="F318" s="204">
        <v>0</v>
      </c>
      <c r="G318" s="203">
        <v>40</v>
      </c>
      <c r="H318" s="204">
        <v>33800</v>
      </c>
      <c r="I318" s="204">
        <v>33800</v>
      </c>
      <c r="J318" s="203">
        <v>40</v>
      </c>
      <c r="K318" s="204">
        <v>29120</v>
      </c>
      <c r="L318" s="204">
        <v>39000</v>
      </c>
      <c r="M318" s="203">
        <v>0</v>
      </c>
      <c r="N318" s="204">
        <v>0</v>
      </c>
      <c r="O318" s="204">
        <v>0</v>
      </c>
      <c r="P318" s="203">
        <v>40</v>
      </c>
      <c r="Q318" s="204">
        <v>33800</v>
      </c>
      <c r="R318" s="204">
        <v>33800</v>
      </c>
      <c r="S318" s="203">
        <v>15</v>
      </c>
      <c r="T318" s="204">
        <v>4810</v>
      </c>
      <c r="U318" s="216">
        <v>16380</v>
      </c>
    </row>
    <row r="319" spans="1:21" ht="13.5" thickBot="1" x14ac:dyDescent="0.25">
      <c r="A319" s="2" t="s">
        <v>178</v>
      </c>
      <c r="B319" s="1" t="s">
        <v>177</v>
      </c>
      <c r="C319" s="214" t="s">
        <v>45</v>
      </c>
      <c r="D319" s="205" t="s">
        <v>16</v>
      </c>
      <c r="E319" s="205" t="s">
        <v>16</v>
      </c>
      <c r="F319" s="205" t="s">
        <v>16</v>
      </c>
      <c r="G319" s="203">
        <v>38</v>
      </c>
      <c r="H319" s="204">
        <v>52000</v>
      </c>
      <c r="I319" s="204">
        <v>67000</v>
      </c>
      <c r="J319" s="203">
        <v>38</v>
      </c>
      <c r="K319" s="204">
        <v>40000</v>
      </c>
      <c r="L319" s="204">
        <v>52000</v>
      </c>
      <c r="M319" s="203">
        <v>20</v>
      </c>
      <c r="N319" s="204">
        <v>21500</v>
      </c>
      <c r="O319" s="204">
        <v>28000</v>
      </c>
      <c r="P319" s="203">
        <v>38</v>
      </c>
      <c r="Q319" s="204">
        <v>52000</v>
      </c>
      <c r="R319" s="204">
        <v>67000</v>
      </c>
      <c r="S319" s="203">
        <v>15</v>
      </c>
      <c r="T319" s="204">
        <v>4800</v>
      </c>
      <c r="U319" s="216">
        <v>15000</v>
      </c>
    </row>
    <row r="320" spans="1:21" ht="13.5" thickBot="1" x14ac:dyDescent="0.25">
      <c r="A320" s="2" t="s">
        <v>182</v>
      </c>
      <c r="B320" s="1" t="s">
        <v>181</v>
      </c>
      <c r="C320" s="214" t="s">
        <v>45</v>
      </c>
      <c r="D320" s="203">
        <v>0</v>
      </c>
      <c r="E320" s="204">
        <v>0</v>
      </c>
      <c r="F320" s="204">
        <v>0</v>
      </c>
      <c r="G320" s="203">
        <v>0</v>
      </c>
      <c r="H320" s="204">
        <v>40000</v>
      </c>
      <c r="I320" s="204">
        <v>58000</v>
      </c>
      <c r="J320" s="203">
        <v>40</v>
      </c>
      <c r="K320" s="204">
        <v>37000</v>
      </c>
      <c r="L320" s="204">
        <v>48000</v>
      </c>
      <c r="M320" s="203">
        <v>40</v>
      </c>
      <c r="N320" s="204">
        <v>35900</v>
      </c>
      <c r="O320" s="204">
        <v>48000</v>
      </c>
      <c r="P320" s="203">
        <v>40</v>
      </c>
      <c r="Q320" s="204">
        <v>40000</v>
      </c>
      <c r="R320" s="204">
        <v>58000</v>
      </c>
      <c r="S320" s="203">
        <v>20</v>
      </c>
      <c r="T320" s="204">
        <v>10400</v>
      </c>
      <c r="U320" s="216">
        <v>24310</v>
      </c>
    </row>
    <row r="321" spans="1:21" ht="13.5" thickBot="1" x14ac:dyDescent="0.25">
      <c r="A321" s="2" t="s">
        <v>196</v>
      </c>
      <c r="B321" s="1" t="s">
        <v>195</v>
      </c>
      <c r="C321" s="214" t="s">
        <v>45</v>
      </c>
      <c r="D321" s="205" t="s">
        <v>16</v>
      </c>
      <c r="E321" s="205" t="s">
        <v>16</v>
      </c>
      <c r="F321" s="205" t="s">
        <v>16</v>
      </c>
      <c r="G321" s="203">
        <v>38</v>
      </c>
      <c r="H321" s="204">
        <v>50171</v>
      </c>
      <c r="I321" s="204">
        <v>44737</v>
      </c>
      <c r="J321" s="205" t="s">
        <v>16</v>
      </c>
      <c r="K321" s="204">
        <v>44816</v>
      </c>
      <c r="L321" s="204">
        <v>46626</v>
      </c>
      <c r="M321" s="203">
        <v>38</v>
      </c>
      <c r="N321" s="204">
        <v>45712</v>
      </c>
      <c r="O321" s="204">
        <v>45712</v>
      </c>
      <c r="P321" s="203">
        <v>38</v>
      </c>
      <c r="Q321" s="204">
        <v>60000</v>
      </c>
      <c r="R321" s="204">
        <v>65000</v>
      </c>
      <c r="S321" s="207">
        <v>28</v>
      </c>
      <c r="T321" s="206">
        <v>17472</v>
      </c>
      <c r="U321" s="217">
        <v>18928</v>
      </c>
    </row>
    <row r="322" spans="1:21" ht="13.5" thickBot="1" x14ac:dyDescent="0.25">
      <c r="A322" s="2" t="s">
        <v>198</v>
      </c>
      <c r="B322" s="1" t="s">
        <v>197</v>
      </c>
      <c r="C322" s="214" t="s">
        <v>45</v>
      </c>
      <c r="D322" s="205" t="s">
        <v>16</v>
      </c>
      <c r="E322" s="205" t="s">
        <v>16</v>
      </c>
      <c r="F322" s="205" t="s">
        <v>16</v>
      </c>
      <c r="G322" s="203">
        <v>26</v>
      </c>
      <c r="H322" s="204">
        <v>13500</v>
      </c>
      <c r="I322" s="204">
        <v>36000</v>
      </c>
      <c r="J322" s="203">
        <v>36</v>
      </c>
      <c r="K322" s="204">
        <v>16</v>
      </c>
      <c r="L322" s="204">
        <v>19</v>
      </c>
      <c r="M322" s="203">
        <v>36</v>
      </c>
      <c r="N322" s="204">
        <v>11</v>
      </c>
      <c r="O322" s="204">
        <v>15</v>
      </c>
      <c r="P322" s="205" t="s">
        <v>16</v>
      </c>
      <c r="Q322" s="205" t="s">
        <v>16</v>
      </c>
      <c r="R322" s="205" t="s">
        <v>16</v>
      </c>
      <c r="S322" s="203">
        <v>26</v>
      </c>
      <c r="T322" s="204">
        <v>14000</v>
      </c>
      <c r="U322" s="216">
        <v>20000</v>
      </c>
    </row>
    <row r="323" spans="1:21" ht="13.5" thickBot="1" x14ac:dyDescent="0.25">
      <c r="A323" s="2" t="s">
        <v>208</v>
      </c>
      <c r="B323" s="1" t="s">
        <v>207</v>
      </c>
      <c r="C323" s="214" t="s">
        <v>45</v>
      </c>
      <c r="D323" s="205" t="s">
        <v>16</v>
      </c>
      <c r="E323" s="205" t="s">
        <v>16</v>
      </c>
      <c r="F323" s="205" t="s">
        <v>16</v>
      </c>
      <c r="G323" s="203">
        <v>40</v>
      </c>
      <c r="H323" s="204">
        <v>48464</v>
      </c>
      <c r="I323" s="204">
        <v>76690</v>
      </c>
      <c r="J323" s="203">
        <v>40</v>
      </c>
      <c r="K323" s="204">
        <v>40560</v>
      </c>
      <c r="L323" s="204">
        <v>53435</v>
      </c>
      <c r="M323" s="203">
        <v>20</v>
      </c>
      <c r="N323" s="204">
        <v>20280</v>
      </c>
      <c r="O323" s="204">
        <v>26718</v>
      </c>
      <c r="P323" s="203">
        <v>40</v>
      </c>
      <c r="Q323" s="204">
        <v>48464</v>
      </c>
      <c r="R323" s="204">
        <v>76690</v>
      </c>
      <c r="S323" s="203">
        <v>20</v>
      </c>
      <c r="T323" s="204">
        <v>12563</v>
      </c>
      <c r="U323" s="216">
        <v>16609</v>
      </c>
    </row>
    <row r="324" spans="1:21" ht="13.5" thickBot="1" x14ac:dyDescent="0.25">
      <c r="A324" s="2" t="s">
        <v>227</v>
      </c>
      <c r="B324" s="1" t="s">
        <v>226</v>
      </c>
      <c r="C324" s="214" t="s">
        <v>45</v>
      </c>
      <c r="D324" s="203">
        <v>0</v>
      </c>
      <c r="E324" s="204">
        <v>0</v>
      </c>
      <c r="F324" s="204">
        <v>0</v>
      </c>
      <c r="G324" s="203">
        <v>40</v>
      </c>
      <c r="H324" s="204">
        <v>50494</v>
      </c>
      <c r="I324" s="204">
        <v>60593</v>
      </c>
      <c r="J324" s="205" t="s">
        <v>16</v>
      </c>
      <c r="K324" s="205" t="s">
        <v>16</v>
      </c>
      <c r="L324" s="205" t="s">
        <v>16</v>
      </c>
      <c r="M324" s="203">
        <v>40</v>
      </c>
      <c r="N324" s="204">
        <v>38991</v>
      </c>
      <c r="O324" s="204">
        <v>46789</v>
      </c>
      <c r="P324" s="203">
        <v>40</v>
      </c>
      <c r="Q324" s="204">
        <v>55376</v>
      </c>
      <c r="R324" s="204">
        <v>71991</v>
      </c>
      <c r="S324" s="203">
        <v>20</v>
      </c>
      <c r="T324" s="204">
        <v>11458</v>
      </c>
      <c r="U324" s="216">
        <v>13614</v>
      </c>
    </row>
    <row r="325" spans="1:21" ht="13.5" thickBot="1" x14ac:dyDescent="0.25">
      <c r="A325" s="2" t="s">
        <v>239</v>
      </c>
      <c r="B325" s="1" t="s">
        <v>238</v>
      </c>
      <c r="C325" s="214" t="s">
        <v>45</v>
      </c>
      <c r="D325" s="205" t="s">
        <v>16</v>
      </c>
      <c r="E325" s="205" t="s">
        <v>16</v>
      </c>
      <c r="F325" s="205" t="s">
        <v>16</v>
      </c>
      <c r="G325" s="205" t="s">
        <v>16</v>
      </c>
      <c r="H325" s="205" t="s">
        <v>16</v>
      </c>
      <c r="I325" s="205" t="s">
        <v>16</v>
      </c>
      <c r="J325" s="203">
        <v>37</v>
      </c>
      <c r="K325" s="204">
        <v>28080</v>
      </c>
      <c r="L325" s="204">
        <v>38920</v>
      </c>
      <c r="M325" s="203">
        <v>37</v>
      </c>
      <c r="N325" s="204">
        <v>25155</v>
      </c>
      <c r="O325" s="204">
        <v>27807</v>
      </c>
      <c r="P325" s="205" t="s">
        <v>16</v>
      </c>
      <c r="Q325" s="205" t="s">
        <v>16</v>
      </c>
      <c r="R325" s="205" t="s">
        <v>16</v>
      </c>
      <c r="S325" s="203">
        <v>20</v>
      </c>
      <c r="T325" s="204">
        <v>11190</v>
      </c>
      <c r="U325" s="216">
        <v>15548</v>
      </c>
    </row>
    <row r="326" spans="1:21" ht="13.5" thickBot="1" x14ac:dyDescent="0.25">
      <c r="A326" s="2" t="s">
        <v>251</v>
      </c>
      <c r="B326" s="1" t="s">
        <v>250</v>
      </c>
      <c r="C326" s="214" t="s">
        <v>45</v>
      </c>
      <c r="D326" s="203">
        <v>45</v>
      </c>
      <c r="E326" s="204">
        <v>60465</v>
      </c>
      <c r="F326" s="204">
        <v>84310</v>
      </c>
      <c r="G326" s="203">
        <v>45</v>
      </c>
      <c r="H326" s="204">
        <v>53204</v>
      </c>
      <c r="I326" s="204">
        <v>74543</v>
      </c>
      <c r="J326" s="203">
        <v>31</v>
      </c>
      <c r="K326" s="204">
        <v>46832</v>
      </c>
      <c r="L326" s="204">
        <v>65668</v>
      </c>
      <c r="M326" s="203">
        <v>20</v>
      </c>
      <c r="N326" s="204">
        <v>36461</v>
      </c>
      <c r="O326" s="204">
        <v>51041</v>
      </c>
      <c r="P326" s="203">
        <v>20</v>
      </c>
      <c r="Q326" s="204">
        <v>36461</v>
      </c>
      <c r="R326" s="204">
        <v>51041</v>
      </c>
      <c r="S326" s="203">
        <v>20</v>
      </c>
      <c r="T326" s="204">
        <v>26489</v>
      </c>
      <c r="U326" s="216">
        <v>37063</v>
      </c>
    </row>
    <row r="327" spans="1:21" ht="13.5" thickBot="1" x14ac:dyDescent="0.25">
      <c r="A327" s="2" t="s">
        <v>253</v>
      </c>
      <c r="B327" s="1" t="s">
        <v>252</v>
      </c>
      <c r="C327" s="214" t="s">
        <v>45</v>
      </c>
      <c r="D327" s="203">
        <v>40</v>
      </c>
      <c r="E327" s="204">
        <v>53356</v>
      </c>
      <c r="F327" s="204">
        <v>72831</v>
      </c>
      <c r="G327" s="203">
        <v>40</v>
      </c>
      <c r="H327" s="204">
        <v>41996</v>
      </c>
      <c r="I327" s="204">
        <v>57325</v>
      </c>
      <c r="J327" s="205" t="s">
        <v>16</v>
      </c>
      <c r="K327" s="205" t="s">
        <v>16</v>
      </c>
      <c r="L327" s="205" t="s">
        <v>16</v>
      </c>
      <c r="M327" s="203">
        <v>12</v>
      </c>
      <c r="N327" s="204">
        <v>18824</v>
      </c>
      <c r="O327" s="204">
        <v>22516</v>
      </c>
      <c r="P327" s="205" t="s">
        <v>16</v>
      </c>
      <c r="Q327" s="205" t="s">
        <v>16</v>
      </c>
      <c r="R327" s="205" t="s">
        <v>16</v>
      </c>
      <c r="S327" s="203">
        <v>36</v>
      </c>
      <c r="T327" s="204">
        <v>32637</v>
      </c>
      <c r="U327" s="216">
        <v>46479</v>
      </c>
    </row>
    <row r="328" spans="1:21" ht="13.5" thickBot="1" x14ac:dyDescent="0.25">
      <c r="A328" s="2" t="s">
        <v>313</v>
      </c>
      <c r="B328" s="1" t="s">
        <v>312</v>
      </c>
      <c r="C328" s="214" t="s">
        <v>45</v>
      </c>
      <c r="D328" s="205" t="s">
        <v>16</v>
      </c>
      <c r="E328" s="205" t="s">
        <v>16</v>
      </c>
      <c r="F328" s="205" t="s">
        <v>16</v>
      </c>
      <c r="G328" s="205" t="s">
        <v>16</v>
      </c>
      <c r="H328" s="205" t="s">
        <v>16</v>
      </c>
      <c r="I328" s="205" t="s">
        <v>16</v>
      </c>
      <c r="J328" s="205" t="s">
        <v>16</v>
      </c>
      <c r="K328" s="205" t="s">
        <v>16</v>
      </c>
      <c r="L328" s="205" t="s">
        <v>16</v>
      </c>
      <c r="M328" s="203">
        <v>40</v>
      </c>
      <c r="N328" s="204">
        <v>35360</v>
      </c>
      <c r="O328" s="204">
        <v>38000</v>
      </c>
      <c r="P328" s="205" t="s">
        <v>16</v>
      </c>
      <c r="Q328" s="205" t="s">
        <v>16</v>
      </c>
      <c r="R328" s="205" t="s">
        <v>16</v>
      </c>
      <c r="S328" s="203">
        <v>29</v>
      </c>
      <c r="T328" s="204">
        <v>12818</v>
      </c>
      <c r="U328" s="216">
        <v>17463</v>
      </c>
    </row>
    <row r="329" spans="1:21" ht="13.5" thickBot="1" x14ac:dyDescent="0.25">
      <c r="A329" s="2" t="s">
        <v>321</v>
      </c>
      <c r="B329" s="1" t="s">
        <v>320</v>
      </c>
      <c r="C329" s="214" t="s">
        <v>45</v>
      </c>
      <c r="D329" s="203">
        <v>0</v>
      </c>
      <c r="E329" s="204">
        <v>0</v>
      </c>
      <c r="F329" s="204">
        <v>0</v>
      </c>
      <c r="G329" s="203">
        <v>40</v>
      </c>
      <c r="H329" s="204">
        <v>46000</v>
      </c>
      <c r="I329" s="204">
        <v>57000</v>
      </c>
      <c r="J329" s="203">
        <v>0</v>
      </c>
      <c r="K329" s="204">
        <v>0</v>
      </c>
      <c r="L329" s="204">
        <v>0</v>
      </c>
      <c r="M329" s="203">
        <v>0</v>
      </c>
      <c r="N329" s="204">
        <v>0</v>
      </c>
      <c r="O329" s="204">
        <v>0</v>
      </c>
      <c r="P329" s="203">
        <v>0</v>
      </c>
      <c r="Q329" s="204">
        <v>0</v>
      </c>
      <c r="R329" s="204">
        <v>0</v>
      </c>
      <c r="S329" s="203">
        <v>20</v>
      </c>
      <c r="T329" s="204">
        <v>15000</v>
      </c>
      <c r="U329" s="216">
        <v>20000</v>
      </c>
    </row>
    <row r="330" spans="1:21" ht="13.5" thickBot="1" x14ac:dyDescent="0.25">
      <c r="A330" s="2" t="s">
        <v>341</v>
      </c>
      <c r="B330" s="1" t="s">
        <v>340</v>
      </c>
      <c r="C330" s="214" t="s">
        <v>45</v>
      </c>
      <c r="D330" s="203">
        <v>40</v>
      </c>
      <c r="E330" s="204">
        <v>68630</v>
      </c>
      <c r="F330" s="204">
        <v>83684</v>
      </c>
      <c r="G330" s="203">
        <v>40</v>
      </c>
      <c r="H330" s="204">
        <v>43802</v>
      </c>
      <c r="I330" s="204">
        <v>69143</v>
      </c>
      <c r="J330" s="203">
        <v>38</v>
      </c>
      <c r="K330" s="204">
        <v>53601</v>
      </c>
      <c r="L330" s="204">
        <v>67341</v>
      </c>
      <c r="M330" s="203">
        <v>38</v>
      </c>
      <c r="N330" s="204">
        <v>41742</v>
      </c>
      <c r="O330" s="204">
        <v>51193</v>
      </c>
      <c r="P330" s="203">
        <v>40</v>
      </c>
      <c r="Q330" s="204">
        <v>44194</v>
      </c>
      <c r="R330" s="204">
        <v>65496</v>
      </c>
      <c r="S330" s="203">
        <v>34</v>
      </c>
      <c r="T330" s="204">
        <v>20842</v>
      </c>
      <c r="U330" s="216">
        <v>41018</v>
      </c>
    </row>
    <row r="331" spans="1:21" ht="13.5" thickBot="1" x14ac:dyDescent="0.25">
      <c r="A331" s="2" t="s">
        <v>401</v>
      </c>
      <c r="B331" s="1" t="s">
        <v>400</v>
      </c>
      <c r="C331" s="214" t="s">
        <v>45</v>
      </c>
      <c r="D331" s="203">
        <v>40</v>
      </c>
      <c r="E331" s="204">
        <v>35000</v>
      </c>
      <c r="F331" s="204">
        <v>42000</v>
      </c>
      <c r="G331" s="203">
        <v>40</v>
      </c>
      <c r="H331" s="204">
        <v>34000</v>
      </c>
      <c r="I331" s="204">
        <v>40000</v>
      </c>
      <c r="J331" s="205" t="s">
        <v>16</v>
      </c>
      <c r="K331" s="205" t="s">
        <v>16</v>
      </c>
      <c r="L331" s="205" t="s">
        <v>16</v>
      </c>
      <c r="M331" s="205" t="s">
        <v>16</v>
      </c>
      <c r="N331" s="205" t="s">
        <v>16</v>
      </c>
      <c r="O331" s="205" t="s">
        <v>16</v>
      </c>
      <c r="P331" s="203">
        <v>40</v>
      </c>
      <c r="Q331" s="204">
        <v>35000</v>
      </c>
      <c r="R331" s="204">
        <v>46500</v>
      </c>
      <c r="S331" s="203">
        <v>33</v>
      </c>
      <c r="T331" s="204">
        <v>21000</v>
      </c>
      <c r="U331" s="216">
        <v>32000</v>
      </c>
    </row>
    <row r="332" spans="1:21" ht="13.5" thickBot="1" x14ac:dyDescent="0.25">
      <c r="A332" s="2" t="s">
        <v>445</v>
      </c>
      <c r="B332" s="1" t="s">
        <v>444</v>
      </c>
      <c r="C332" s="214" t="s">
        <v>45</v>
      </c>
      <c r="D332" s="203">
        <v>38</v>
      </c>
      <c r="E332" s="204">
        <v>43407</v>
      </c>
      <c r="F332" s="204">
        <v>51675</v>
      </c>
      <c r="G332" s="203">
        <v>22</v>
      </c>
      <c r="H332" s="204">
        <v>11138</v>
      </c>
      <c r="I332" s="204">
        <v>21840</v>
      </c>
      <c r="J332" s="203">
        <v>38</v>
      </c>
      <c r="K332" s="204">
        <v>36172</v>
      </c>
      <c r="L332" s="204">
        <v>44400</v>
      </c>
      <c r="M332" s="203">
        <v>38</v>
      </c>
      <c r="N332" s="204">
        <v>27904</v>
      </c>
      <c r="O332" s="204">
        <v>36172</v>
      </c>
      <c r="P332" s="203">
        <v>25</v>
      </c>
      <c r="Q332" s="204">
        <v>13650</v>
      </c>
      <c r="R332" s="204">
        <v>19110</v>
      </c>
      <c r="S332" s="203">
        <v>16</v>
      </c>
      <c r="T332" s="204">
        <v>7862</v>
      </c>
      <c r="U332" s="216">
        <v>14905</v>
      </c>
    </row>
    <row r="333" spans="1:21" ht="13.5" thickBot="1" x14ac:dyDescent="0.25">
      <c r="A333" s="2" t="s">
        <v>451</v>
      </c>
      <c r="B333" s="1" t="s">
        <v>450</v>
      </c>
      <c r="C333" s="214" t="s">
        <v>45</v>
      </c>
      <c r="D333" s="203">
        <v>0</v>
      </c>
      <c r="E333" s="204">
        <v>0</v>
      </c>
      <c r="F333" s="204">
        <v>0</v>
      </c>
      <c r="G333" s="203">
        <v>0</v>
      </c>
      <c r="H333" s="204">
        <v>0</v>
      </c>
      <c r="I333" s="204">
        <v>0</v>
      </c>
      <c r="J333" s="203">
        <v>0</v>
      </c>
      <c r="K333" s="204">
        <v>0</v>
      </c>
      <c r="L333" s="204">
        <v>0</v>
      </c>
      <c r="M333" s="203">
        <v>0</v>
      </c>
      <c r="N333" s="204">
        <v>37440</v>
      </c>
      <c r="O333" s="204">
        <v>40000</v>
      </c>
      <c r="P333" s="203">
        <v>0</v>
      </c>
      <c r="Q333" s="204">
        <v>0</v>
      </c>
      <c r="R333" s="204">
        <v>0</v>
      </c>
      <c r="S333" s="203">
        <v>28</v>
      </c>
      <c r="T333" s="204">
        <v>22880</v>
      </c>
      <c r="U333" s="216">
        <v>25000</v>
      </c>
    </row>
    <row r="334" spans="1:21" ht="13.5" thickBot="1" x14ac:dyDescent="0.25">
      <c r="A334" s="2" t="s">
        <v>463</v>
      </c>
      <c r="B334" s="1" t="s">
        <v>462</v>
      </c>
      <c r="C334" s="214" t="s">
        <v>45</v>
      </c>
      <c r="D334" s="203">
        <v>40</v>
      </c>
      <c r="E334" s="204">
        <v>49822</v>
      </c>
      <c r="F334" s="204">
        <v>58549</v>
      </c>
      <c r="G334" s="203">
        <v>40</v>
      </c>
      <c r="H334" s="204">
        <v>45986</v>
      </c>
      <c r="I334" s="204">
        <v>54039</v>
      </c>
      <c r="J334" s="203">
        <v>40</v>
      </c>
      <c r="K334" s="204">
        <v>44574</v>
      </c>
      <c r="L334" s="204">
        <v>52381</v>
      </c>
      <c r="M334" s="203">
        <v>32</v>
      </c>
      <c r="N334" s="204">
        <v>39090</v>
      </c>
      <c r="O334" s="204">
        <v>45887</v>
      </c>
      <c r="P334" s="205" t="s">
        <v>16</v>
      </c>
      <c r="Q334" s="205" t="s">
        <v>16</v>
      </c>
      <c r="R334" s="205" t="s">
        <v>16</v>
      </c>
      <c r="S334" s="203">
        <v>28</v>
      </c>
      <c r="T334" s="204">
        <v>30630</v>
      </c>
      <c r="U334" s="216">
        <v>40014</v>
      </c>
    </row>
    <row r="335" spans="1:21" ht="13.5" thickBot="1" x14ac:dyDescent="0.25">
      <c r="A335" s="2" t="s">
        <v>480</v>
      </c>
      <c r="B335" s="1" t="s">
        <v>479</v>
      </c>
      <c r="C335" s="214" t="s">
        <v>45</v>
      </c>
      <c r="D335" s="203">
        <v>0</v>
      </c>
      <c r="E335" s="204">
        <v>0</v>
      </c>
      <c r="F335" s="204">
        <v>0</v>
      </c>
      <c r="G335" s="203">
        <v>38</v>
      </c>
      <c r="H335" s="204">
        <v>49069</v>
      </c>
      <c r="I335" s="204">
        <v>56067</v>
      </c>
      <c r="J335" s="203">
        <v>0</v>
      </c>
      <c r="K335" s="204">
        <v>0</v>
      </c>
      <c r="L335" s="204">
        <v>0</v>
      </c>
      <c r="M335" s="203">
        <v>0</v>
      </c>
      <c r="N335" s="204">
        <v>0</v>
      </c>
      <c r="O335" s="204">
        <v>0</v>
      </c>
      <c r="P335" s="203">
        <v>38</v>
      </c>
      <c r="Q335" s="204">
        <v>40479</v>
      </c>
      <c r="R335" s="204">
        <v>46219</v>
      </c>
      <c r="S335" s="203">
        <v>20</v>
      </c>
      <c r="T335" s="204">
        <v>11960</v>
      </c>
      <c r="U335" s="216">
        <v>14560</v>
      </c>
    </row>
    <row r="336" spans="1:21" ht="13.5" thickBot="1" x14ac:dyDescent="0.25">
      <c r="A336" s="2" t="s">
        <v>500</v>
      </c>
      <c r="B336" s="1" t="s">
        <v>499</v>
      </c>
      <c r="C336" s="214" t="s">
        <v>45</v>
      </c>
      <c r="D336" s="203">
        <v>40</v>
      </c>
      <c r="E336" s="204">
        <v>42000</v>
      </c>
      <c r="F336" s="204">
        <v>44000</v>
      </c>
      <c r="G336" s="203">
        <v>35</v>
      </c>
      <c r="H336" s="204">
        <v>30000</v>
      </c>
      <c r="I336" s="204">
        <v>32000</v>
      </c>
      <c r="J336" s="205" t="s">
        <v>16</v>
      </c>
      <c r="K336" s="205" t="s">
        <v>16</v>
      </c>
      <c r="L336" s="205" t="s">
        <v>16</v>
      </c>
      <c r="M336" s="203">
        <v>25</v>
      </c>
      <c r="N336" s="204">
        <v>17000</v>
      </c>
      <c r="O336" s="204">
        <v>20000</v>
      </c>
      <c r="P336" s="205" t="s">
        <v>16</v>
      </c>
      <c r="Q336" s="205" t="s">
        <v>16</v>
      </c>
      <c r="R336" s="205" t="s">
        <v>16</v>
      </c>
      <c r="S336" s="203">
        <v>30</v>
      </c>
      <c r="T336" s="204">
        <v>9000</v>
      </c>
      <c r="U336" s="216">
        <v>21000</v>
      </c>
    </row>
    <row r="337" spans="1:21" ht="13.5" thickBot="1" x14ac:dyDescent="0.25">
      <c r="A337" s="2" t="s">
        <v>556</v>
      </c>
      <c r="B337" s="1" t="s">
        <v>555</v>
      </c>
      <c r="C337" s="214" t="s">
        <v>45</v>
      </c>
      <c r="D337" s="203">
        <v>38</v>
      </c>
      <c r="E337" s="204">
        <v>70000</v>
      </c>
      <c r="F337" s="204">
        <v>72000</v>
      </c>
      <c r="G337" s="203">
        <v>38</v>
      </c>
      <c r="H337" s="204">
        <v>51561</v>
      </c>
      <c r="I337" s="204">
        <v>59373</v>
      </c>
      <c r="J337" s="203">
        <v>38</v>
      </c>
      <c r="K337" s="204">
        <v>45328</v>
      </c>
      <c r="L337" s="204">
        <v>52411</v>
      </c>
      <c r="M337" s="203">
        <v>38</v>
      </c>
      <c r="N337" s="204">
        <v>41417</v>
      </c>
      <c r="O337" s="204">
        <v>44270</v>
      </c>
      <c r="P337" s="203">
        <v>38</v>
      </c>
      <c r="Q337" s="204">
        <v>46595</v>
      </c>
      <c r="R337" s="204">
        <v>58931</v>
      </c>
      <c r="S337" s="203">
        <v>21</v>
      </c>
      <c r="T337" s="204">
        <v>13660</v>
      </c>
      <c r="U337" s="216">
        <v>17996</v>
      </c>
    </row>
    <row r="338" spans="1:21" ht="13.5" thickBot="1" x14ac:dyDescent="0.25">
      <c r="A338" s="2" t="s">
        <v>562</v>
      </c>
      <c r="B338" s="1" t="s">
        <v>561</v>
      </c>
      <c r="C338" s="214" t="s">
        <v>45</v>
      </c>
      <c r="D338" s="205" t="s">
        <v>16</v>
      </c>
      <c r="E338" s="205" t="s">
        <v>16</v>
      </c>
      <c r="F338" s="205" t="s">
        <v>16</v>
      </c>
      <c r="G338" s="205" t="s">
        <v>16</v>
      </c>
      <c r="H338" s="205" t="s">
        <v>16</v>
      </c>
      <c r="I338" s="205" t="s">
        <v>16</v>
      </c>
      <c r="J338" s="203">
        <v>40</v>
      </c>
      <c r="K338" s="204">
        <v>41052</v>
      </c>
      <c r="L338" s="204">
        <v>51014</v>
      </c>
      <c r="M338" s="203">
        <v>40</v>
      </c>
      <c r="N338" s="204">
        <v>37380</v>
      </c>
      <c r="O338" s="204">
        <v>46241</v>
      </c>
      <c r="P338" s="205" t="s">
        <v>16</v>
      </c>
      <c r="Q338" s="205" t="s">
        <v>16</v>
      </c>
      <c r="R338" s="205" t="s">
        <v>16</v>
      </c>
      <c r="S338" s="203">
        <v>16</v>
      </c>
      <c r="T338" s="204">
        <v>0</v>
      </c>
      <c r="U338" s="216">
        <v>15800</v>
      </c>
    </row>
    <row r="339" spans="1:21" ht="13.5" thickBot="1" x14ac:dyDescent="0.25">
      <c r="A339" s="2" t="s">
        <v>568</v>
      </c>
      <c r="B339" s="1" t="s">
        <v>567</v>
      </c>
      <c r="C339" s="214" t="s">
        <v>45</v>
      </c>
      <c r="D339" s="205" t="s">
        <v>16</v>
      </c>
      <c r="E339" s="205" t="s">
        <v>16</v>
      </c>
      <c r="F339" s="205" t="s">
        <v>16</v>
      </c>
      <c r="G339" s="203">
        <v>38</v>
      </c>
      <c r="H339" s="204">
        <v>48500</v>
      </c>
      <c r="I339" s="204">
        <v>63700</v>
      </c>
      <c r="J339" s="203">
        <v>38</v>
      </c>
      <c r="K339" s="204">
        <v>36500</v>
      </c>
      <c r="L339" s="204">
        <v>48000</v>
      </c>
      <c r="M339" s="203">
        <v>26</v>
      </c>
      <c r="N339" s="204">
        <v>36500</v>
      </c>
      <c r="O339" s="204">
        <v>48000</v>
      </c>
      <c r="P339" s="203">
        <v>38</v>
      </c>
      <c r="Q339" s="204">
        <v>42900</v>
      </c>
      <c r="R339" s="204">
        <v>61620</v>
      </c>
      <c r="S339" s="203">
        <v>26</v>
      </c>
      <c r="T339" s="204">
        <v>22425</v>
      </c>
      <c r="U339" s="216">
        <v>32750</v>
      </c>
    </row>
    <row r="340" spans="1:21" ht="13.5" thickBot="1" x14ac:dyDescent="0.25">
      <c r="A340" s="2" t="s">
        <v>598</v>
      </c>
      <c r="B340" s="1" t="s">
        <v>597</v>
      </c>
      <c r="C340" s="214" t="s">
        <v>45</v>
      </c>
      <c r="D340" s="203">
        <v>0</v>
      </c>
      <c r="E340" s="204">
        <v>0</v>
      </c>
      <c r="F340" s="204">
        <v>0</v>
      </c>
      <c r="G340" s="203">
        <v>39</v>
      </c>
      <c r="H340" s="204">
        <v>43460</v>
      </c>
      <c r="I340" s="204">
        <v>47212</v>
      </c>
      <c r="J340" s="203">
        <v>39</v>
      </c>
      <c r="K340" s="204">
        <v>26668</v>
      </c>
      <c r="L340" s="204">
        <v>29812</v>
      </c>
      <c r="M340" s="203">
        <v>39</v>
      </c>
      <c r="N340" s="204">
        <v>25248</v>
      </c>
      <c r="O340" s="204">
        <v>28392</v>
      </c>
      <c r="P340" s="203">
        <v>40</v>
      </c>
      <c r="Q340" s="204">
        <v>35000</v>
      </c>
      <c r="R340" s="204">
        <v>39520</v>
      </c>
      <c r="S340" s="203">
        <v>20</v>
      </c>
      <c r="T340" s="204">
        <v>11835</v>
      </c>
      <c r="U340" s="216">
        <v>13478</v>
      </c>
    </row>
    <row r="341" spans="1:21" ht="13.5" thickBot="1" x14ac:dyDescent="0.25">
      <c r="A341" s="2" t="s">
        <v>608</v>
      </c>
      <c r="B341" s="1" t="s">
        <v>607</v>
      </c>
      <c r="C341" s="214" t="s">
        <v>45</v>
      </c>
      <c r="D341" s="205" t="s">
        <v>16</v>
      </c>
      <c r="E341" s="205" t="s">
        <v>16</v>
      </c>
      <c r="F341" s="205" t="s">
        <v>16</v>
      </c>
      <c r="G341" s="203">
        <v>40</v>
      </c>
      <c r="H341" s="204">
        <v>54636</v>
      </c>
      <c r="I341" s="204">
        <v>78676</v>
      </c>
      <c r="J341" s="203">
        <v>40</v>
      </c>
      <c r="K341" s="204">
        <v>48546</v>
      </c>
      <c r="L341" s="204">
        <v>67921</v>
      </c>
      <c r="M341" s="203">
        <v>40</v>
      </c>
      <c r="N341" s="204">
        <v>45016</v>
      </c>
      <c r="O341" s="204">
        <v>61247</v>
      </c>
      <c r="P341" s="203">
        <v>40</v>
      </c>
      <c r="Q341" s="204">
        <v>54636</v>
      </c>
      <c r="R341" s="204">
        <v>78676</v>
      </c>
      <c r="S341" s="203">
        <v>24</v>
      </c>
      <c r="T341" s="204">
        <v>17222</v>
      </c>
      <c r="U341" s="216">
        <v>20217</v>
      </c>
    </row>
    <row r="342" spans="1:21" ht="13.5" thickBot="1" x14ac:dyDescent="0.25">
      <c r="A342" s="2" t="s">
        <v>636</v>
      </c>
      <c r="B342" s="1" t="s">
        <v>635</v>
      </c>
      <c r="C342" s="214" t="s">
        <v>45</v>
      </c>
      <c r="D342" s="205" t="s">
        <v>16</v>
      </c>
      <c r="E342" s="205" t="s">
        <v>16</v>
      </c>
      <c r="F342" s="205" t="s">
        <v>16</v>
      </c>
      <c r="G342" s="203">
        <v>40</v>
      </c>
      <c r="H342" s="204">
        <v>49985</v>
      </c>
      <c r="I342" s="204">
        <v>66854</v>
      </c>
      <c r="J342" s="203">
        <v>40</v>
      </c>
      <c r="K342" s="204">
        <v>40291</v>
      </c>
      <c r="L342" s="204">
        <v>55400</v>
      </c>
      <c r="M342" s="203">
        <v>20</v>
      </c>
      <c r="N342" s="204">
        <v>18720</v>
      </c>
      <c r="O342" s="204">
        <v>24440</v>
      </c>
      <c r="P342" s="203">
        <v>40</v>
      </c>
      <c r="Q342" s="204">
        <v>50200</v>
      </c>
      <c r="R342" s="204">
        <v>72306</v>
      </c>
      <c r="S342" s="203">
        <v>20</v>
      </c>
      <c r="T342" s="204">
        <v>11440</v>
      </c>
      <c r="U342" s="216">
        <v>15184</v>
      </c>
    </row>
    <row r="343" spans="1:21" ht="13.5" thickBot="1" x14ac:dyDescent="0.25">
      <c r="A343" s="2" t="s">
        <v>662</v>
      </c>
      <c r="B343" s="1" t="s">
        <v>661</v>
      </c>
      <c r="C343" s="214" t="s">
        <v>45</v>
      </c>
      <c r="D343" s="205" t="s">
        <v>16</v>
      </c>
      <c r="E343" s="205" t="s">
        <v>16</v>
      </c>
      <c r="F343" s="205" t="s">
        <v>16</v>
      </c>
      <c r="G343" s="203">
        <v>40</v>
      </c>
      <c r="H343" s="204">
        <v>37000</v>
      </c>
      <c r="I343" s="204">
        <v>85300</v>
      </c>
      <c r="J343" s="205" t="s">
        <v>16</v>
      </c>
      <c r="K343" s="205" t="s">
        <v>16</v>
      </c>
      <c r="L343" s="205" t="s">
        <v>16</v>
      </c>
      <c r="M343" s="203">
        <v>40</v>
      </c>
      <c r="N343" s="204">
        <v>36000</v>
      </c>
      <c r="O343" s="204">
        <v>57455</v>
      </c>
      <c r="P343" s="203">
        <v>40</v>
      </c>
      <c r="Q343" s="204">
        <v>28600</v>
      </c>
      <c r="R343" s="204">
        <v>37800</v>
      </c>
      <c r="S343" s="203">
        <v>20</v>
      </c>
      <c r="T343" s="204">
        <v>9900</v>
      </c>
      <c r="U343" s="216">
        <v>16640</v>
      </c>
    </row>
    <row r="344" spans="1:21" ht="13.5" thickBot="1" x14ac:dyDescent="0.25">
      <c r="A344" s="2" t="s">
        <v>664</v>
      </c>
      <c r="B344" s="1" t="s">
        <v>663</v>
      </c>
      <c r="C344" s="214" t="s">
        <v>45</v>
      </c>
      <c r="D344" s="203">
        <v>40</v>
      </c>
      <c r="E344" s="204">
        <v>45000</v>
      </c>
      <c r="F344" s="204">
        <v>50000</v>
      </c>
      <c r="G344" s="205" t="s">
        <v>16</v>
      </c>
      <c r="H344" s="205" t="s">
        <v>16</v>
      </c>
      <c r="I344" s="205" t="s">
        <v>16</v>
      </c>
      <c r="J344" s="205" t="s">
        <v>16</v>
      </c>
      <c r="K344" s="205" t="s">
        <v>16</v>
      </c>
      <c r="L344" s="205" t="s">
        <v>16</v>
      </c>
      <c r="M344" s="203">
        <v>29</v>
      </c>
      <c r="N344" s="204">
        <v>27144</v>
      </c>
      <c r="O344" s="204">
        <v>40000</v>
      </c>
      <c r="P344" s="205" t="s">
        <v>16</v>
      </c>
      <c r="Q344" s="205" t="s">
        <v>16</v>
      </c>
      <c r="R344" s="205" t="s">
        <v>16</v>
      </c>
      <c r="S344" s="203">
        <v>25</v>
      </c>
      <c r="T344" s="204">
        <v>14300</v>
      </c>
      <c r="U344" s="216">
        <v>16000</v>
      </c>
    </row>
    <row r="345" spans="1:21" ht="13.5" thickBot="1" x14ac:dyDescent="0.25">
      <c r="A345" s="2" t="s">
        <v>668</v>
      </c>
      <c r="B345" s="1" t="s">
        <v>667</v>
      </c>
      <c r="C345" s="214" t="s">
        <v>45</v>
      </c>
      <c r="D345" s="203">
        <v>40</v>
      </c>
      <c r="E345" s="204">
        <v>65218</v>
      </c>
      <c r="F345" s="204">
        <v>71189</v>
      </c>
      <c r="G345" s="203">
        <v>40</v>
      </c>
      <c r="H345" s="204">
        <v>53050</v>
      </c>
      <c r="I345" s="204">
        <v>53050</v>
      </c>
      <c r="J345" s="203">
        <v>40</v>
      </c>
      <c r="K345" s="204">
        <v>50014</v>
      </c>
      <c r="L345" s="204">
        <v>50014</v>
      </c>
      <c r="M345" s="203">
        <v>28</v>
      </c>
      <c r="N345" s="204">
        <v>34580</v>
      </c>
      <c r="O345" s="204">
        <v>36036</v>
      </c>
      <c r="P345" s="205" t="s">
        <v>16</v>
      </c>
      <c r="Q345" s="205" t="s">
        <v>16</v>
      </c>
      <c r="R345" s="205" t="s">
        <v>16</v>
      </c>
      <c r="S345" s="203">
        <v>23</v>
      </c>
      <c r="T345" s="204">
        <v>14352</v>
      </c>
      <c r="U345" s="216">
        <v>17641</v>
      </c>
    </row>
    <row r="346" spans="1:21" ht="13.5" thickBot="1" x14ac:dyDescent="0.25">
      <c r="A346" s="2" t="s">
        <v>688</v>
      </c>
      <c r="B346" s="1" t="s">
        <v>687</v>
      </c>
      <c r="C346" s="214" t="s">
        <v>45</v>
      </c>
      <c r="D346" s="203">
        <v>40</v>
      </c>
      <c r="E346" s="204">
        <v>70100</v>
      </c>
      <c r="F346" s="204">
        <v>108700</v>
      </c>
      <c r="G346" s="203">
        <v>40</v>
      </c>
      <c r="H346" s="204">
        <v>60500</v>
      </c>
      <c r="I346" s="204">
        <v>93800</v>
      </c>
      <c r="J346" s="203">
        <v>40</v>
      </c>
      <c r="K346" s="204">
        <v>44400</v>
      </c>
      <c r="L346" s="204">
        <v>66600</v>
      </c>
      <c r="M346" s="203">
        <v>20</v>
      </c>
      <c r="N346" s="204">
        <v>39100</v>
      </c>
      <c r="O346" s="204">
        <v>56700</v>
      </c>
      <c r="P346" s="203">
        <v>30</v>
      </c>
      <c r="Q346" s="204">
        <v>52200</v>
      </c>
      <c r="R346" s="204">
        <v>80900</v>
      </c>
      <c r="S346" s="203">
        <v>20</v>
      </c>
      <c r="T346" s="204">
        <v>27700</v>
      </c>
      <c r="U346" s="216">
        <v>37400</v>
      </c>
    </row>
    <row r="347" spans="1:21" ht="13.5" thickBot="1" x14ac:dyDescent="0.25">
      <c r="A347" s="2" t="s">
        <v>712</v>
      </c>
      <c r="B347" s="1" t="s">
        <v>711</v>
      </c>
      <c r="C347" s="214" t="s">
        <v>45</v>
      </c>
      <c r="D347" s="203">
        <v>39</v>
      </c>
      <c r="E347" s="204">
        <v>48698</v>
      </c>
      <c r="F347" s="204">
        <v>57748</v>
      </c>
      <c r="G347" s="203">
        <v>37</v>
      </c>
      <c r="H347" s="204">
        <v>43610</v>
      </c>
      <c r="I347" s="204">
        <v>51714</v>
      </c>
      <c r="J347" s="205" t="s">
        <v>16</v>
      </c>
      <c r="K347" s="205" t="s">
        <v>16</v>
      </c>
      <c r="L347" s="205" t="s">
        <v>16</v>
      </c>
      <c r="M347" s="205" t="s">
        <v>16</v>
      </c>
      <c r="N347" s="205" t="s">
        <v>16</v>
      </c>
      <c r="O347" s="205" t="s">
        <v>16</v>
      </c>
      <c r="P347" s="205" t="s">
        <v>16</v>
      </c>
      <c r="Q347" s="205" t="s">
        <v>16</v>
      </c>
      <c r="R347" s="205" t="s">
        <v>16</v>
      </c>
      <c r="S347" s="203">
        <v>37</v>
      </c>
      <c r="T347" s="204">
        <v>27631</v>
      </c>
      <c r="U347" s="216">
        <v>39846</v>
      </c>
    </row>
    <row r="348" spans="1:21" ht="13.5" thickBot="1" x14ac:dyDescent="0.25">
      <c r="A348" s="2" t="s">
        <v>722</v>
      </c>
      <c r="B348" s="1" t="s">
        <v>721</v>
      </c>
      <c r="C348" s="214" t="s">
        <v>45</v>
      </c>
      <c r="D348" s="205" t="s">
        <v>16</v>
      </c>
      <c r="E348" s="205" t="s">
        <v>16</v>
      </c>
      <c r="F348" s="205" t="s">
        <v>16</v>
      </c>
      <c r="G348" s="205" t="s">
        <v>16</v>
      </c>
      <c r="H348" s="205" t="s">
        <v>16</v>
      </c>
      <c r="I348" s="205" t="s">
        <v>16</v>
      </c>
      <c r="J348" s="203">
        <v>40</v>
      </c>
      <c r="K348" s="204">
        <v>38000</v>
      </c>
      <c r="L348" s="204">
        <v>40000</v>
      </c>
      <c r="M348" s="205" t="s">
        <v>16</v>
      </c>
      <c r="N348" s="205" t="s">
        <v>16</v>
      </c>
      <c r="O348" s="205" t="s">
        <v>16</v>
      </c>
      <c r="P348" s="205" t="s">
        <v>16</v>
      </c>
      <c r="Q348" s="205" t="s">
        <v>16</v>
      </c>
      <c r="R348" s="205" t="s">
        <v>16</v>
      </c>
      <c r="S348" s="203">
        <v>28</v>
      </c>
      <c r="T348" s="204">
        <v>13468</v>
      </c>
      <c r="U348" s="216">
        <v>21257</v>
      </c>
    </row>
    <row r="349" spans="1:21" ht="13.5" thickBot="1" x14ac:dyDescent="0.25">
      <c r="A349" s="2" t="s">
        <v>740</v>
      </c>
      <c r="B349" s="1" t="s">
        <v>739</v>
      </c>
      <c r="C349" s="214" t="s">
        <v>45</v>
      </c>
      <c r="D349" s="203">
        <v>35</v>
      </c>
      <c r="E349" s="204">
        <v>39203</v>
      </c>
      <c r="F349" s="204">
        <v>42843</v>
      </c>
      <c r="G349" s="203">
        <v>30</v>
      </c>
      <c r="H349" s="204">
        <v>21653</v>
      </c>
      <c r="I349" s="204">
        <v>38125</v>
      </c>
      <c r="J349" s="203">
        <v>35</v>
      </c>
      <c r="K349" s="204">
        <v>38912</v>
      </c>
      <c r="L349" s="204">
        <v>42552</v>
      </c>
      <c r="M349" s="203">
        <v>25</v>
      </c>
      <c r="N349" s="204">
        <v>18200</v>
      </c>
      <c r="O349" s="204">
        <v>19292</v>
      </c>
      <c r="P349" s="203">
        <v>15</v>
      </c>
      <c r="Q349" s="204">
        <v>11700</v>
      </c>
      <c r="R349" s="204">
        <v>11700</v>
      </c>
      <c r="S349" s="203">
        <v>20</v>
      </c>
      <c r="T349" s="204">
        <v>9828</v>
      </c>
      <c r="U349" s="216">
        <v>11024</v>
      </c>
    </row>
    <row r="350" spans="1:21" ht="13.5" thickBot="1" x14ac:dyDescent="0.25">
      <c r="A350" s="2" t="s">
        <v>785</v>
      </c>
      <c r="B350" s="1" t="s">
        <v>784</v>
      </c>
      <c r="C350" s="214" t="s">
        <v>45</v>
      </c>
      <c r="D350" s="203">
        <v>40</v>
      </c>
      <c r="E350" s="204">
        <v>55000</v>
      </c>
      <c r="F350" s="204">
        <v>58000</v>
      </c>
      <c r="G350" s="203">
        <v>30</v>
      </c>
      <c r="H350" s="204">
        <v>35000</v>
      </c>
      <c r="I350" s="204">
        <v>52200</v>
      </c>
      <c r="J350" s="203">
        <v>32</v>
      </c>
      <c r="K350" s="204">
        <v>35200</v>
      </c>
      <c r="L350" s="204">
        <v>45000</v>
      </c>
      <c r="M350" s="203">
        <v>30</v>
      </c>
      <c r="N350" s="204">
        <v>33500</v>
      </c>
      <c r="O350" s="204">
        <v>39832</v>
      </c>
      <c r="P350" s="203">
        <v>0</v>
      </c>
      <c r="Q350" s="204">
        <v>27000</v>
      </c>
      <c r="R350" s="204">
        <v>35000</v>
      </c>
      <c r="S350" s="203">
        <v>20</v>
      </c>
      <c r="T350" s="204">
        <v>21000</v>
      </c>
      <c r="U350" s="216">
        <v>26000</v>
      </c>
    </row>
    <row r="351" spans="1:21" ht="13.5" thickBot="1" x14ac:dyDescent="0.25">
      <c r="A351" s="2" t="s">
        <v>827</v>
      </c>
      <c r="B351" s="1" t="s">
        <v>826</v>
      </c>
      <c r="C351" s="214" t="s">
        <v>45</v>
      </c>
      <c r="D351" s="203">
        <v>40</v>
      </c>
      <c r="E351" s="204">
        <v>53340</v>
      </c>
      <c r="F351" s="204">
        <v>55000</v>
      </c>
      <c r="G351" s="203">
        <v>40</v>
      </c>
      <c r="H351" s="204">
        <v>44500</v>
      </c>
      <c r="I351" s="204">
        <v>44500</v>
      </c>
      <c r="J351" s="203">
        <v>40</v>
      </c>
      <c r="K351" s="204">
        <v>43680</v>
      </c>
      <c r="L351" s="204">
        <v>44500</v>
      </c>
      <c r="M351" s="203">
        <v>20</v>
      </c>
      <c r="N351" s="204">
        <v>19760</v>
      </c>
      <c r="O351" s="204">
        <v>26672</v>
      </c>
      <c r="P351" s="203">
        <v>0</v>
      </c>
      <c r="Q351" s="204">
        <v>0</v>
      </c>
      <c r="R351" s="204">
        <v>0</v>
      </c>
      <c r="S351" s="203">
        <v>24</v>
      </c>
      <c r="T351" s="204">
        <v>12480</v>
      </c>
      <c r="U351" s="216">
        <v>15600</v>
      </c>
    </row>
    <row r="352" spans="1:21" ht="13.5" thickBot="1" x14ac:dyDescent="0.25">
      <c r="A352" s="2" t="s">
        <v>59</v>
      </c>
      <c r="B352" s="1" t="s">
        <v>58</v>
      </c>
      <c r="C352" s="214" t="s">
        <v>60</v>
      </c>
      <c r="D352" s="203">
        <v>40</v>
      </c>
      <c r="E352" s="204">
        <v>113200</v>
      </c>
      <c r="F352" s="204">
        <v>161810</v>
      </c>
      <c r="G352" s="203">
        <v>40</v>
      </c>
      <c r="H352" s="204">
        <v>76000</v>
      </c>
      <c r="I352" s="204">
        <v>106590</v>
      </c>
      <c r="J352" s="203">
        <v>40</v>
      </c>
      <c r="K352" s="204">
        <v>48500</v>
      </c>
      <c r="L352" s="204">
        <v>66660</v>
      </c>
      <c r="M352" s="203">
        <v>40</v>
      </c>
      <c r="N352" s="204">
        <v>48500</v>
      </c>
      <c r="O352" s="204">
        <v>66660</v>
      </c>
      <c r="P352" s="203">
        <v>40</v>
      </c>
      <c r="Q352" s="204">
        <v>48500</v>
      </c>
      <c r="R352" s="204">
        <v>66660</v>
      </c>
      <c r="S352" s="203">
        <v>40</v>
      </c>
      <c r="T352" s="204">
        <v>33300</v>
      </c>
      <c r="U352" s="216">
        <v>44000</v>
      </c>
    </row>
    <row r="353" spans="1:21" ht="13.5" thickBot="1" x14ac:dyDescent="0.25">
      <c r="A353" s="2" t="s">
        <v>86</v>
      </c>
      <c r="B353" s="1" t="s">
        <v>85</v>
      </c>
      <c r="C353" s="214" t="s">
        <v>60</v>
      </c>
      <c r="D353" s="203">
        <v>40</v>
      </c>
      <c r="E353" s="204">
        <v>66914</v>
      </c>
      <c r="F353" s="204">
        <v>81661</v>
      </c>
      <c r="G353" s="203">
        <v>40</v>
      </c>
      <c r="H353" s="204">
        <v>45677</v>
      </c>
      <c r="I353" s="204">
        <v>62941</v>
      </c>
      <c r="J353" s="203">
        <v>40</v>
      </c>
      <c r="K353" s="204">
        <v>43202</v>
      </c>
      <c r="L353" s="204">
        <v>51896</v>
      </c>
      <c r="M353" s="203">
        <v>40</v>
      </c>
      <c r="N353" s="204">
        <v>41538</v>
      </c>
      <c r="O353" s="204">
        <v>49837</v>
      </c>
      <c r="P353" s="203">
        <v>40</v>
      </c>
      <c r="Q353" s="204">
        <v>33467</v>
      </c>
      <c r="R353" s="204">
        <v>40144</v>
      </c>
      <c r="S353" s="203">
        <v>40</v>
      </c>
      <c r="T353" s="204">
        <v>27394</v>
      </c>
      <c r="U353" s="216">
        <v>36858</v>
      </c>
    </row>
    <row r="354" spans="1:21" ht="13.5" thickBot="1" x14ac:dyDescent="0.25">
      <c r="A354" s="2" t="s">
        <v>148</v>
      </c>
      <c r="B354" s="1" t="s">
        <v>147</v>
      </c>
      <c r="C354" s="214" t="s">
        <v>60</v>
      </c>
      <c r="D354" s="205" t="s">
        <v>16</v>
      </c>
      <c r="E354" s="205" t="s">
        <v>16</v>
      </c>
      <c r="F354" s="205" t="s">
        <v>16</v>
      </c>
      <c r="G354" s="203">
        <v>37</v>
      </c>
      <c r="H354" s="204">
        <v>58900</v>
      </c>
      <c r="I354" s="204">
        <v>91300</v>
      </c>
      <c r="J354" s="203">
        <v>37</v>
      </c>
      <c r="K354" s="204">
        <v>47900</v>
      </c>
      <c r="L354" s="204">
        <v>71900</v>
      </c>
      <c r="M354" s="203">
        <v>22</v>
      </c>
      <c r="N354" s="204">
        <v>45600</v>
      </c>
      <c r="O354" s="204">
        <v>66100</v>
      </c>
      <c r="P354" s="203">
        <v>37</v>
      </c>
      <c r="Q354" s="204">
        <v>45600</v>
      </c>
      <c r="R354" s="204">
        <v>66100</v>
      </c>
      <c r="S354" s="203">
        <v>20</v>
      </c>
      <c r="T354" s="204">
        <v>21700</v>
      </c>
      <c r="U354" s="216">
        <v>31200</v>
      </c>
    </row>
    <row r="355" spans="1:21" ht="13.5" thickBot="1" x14ac:dyDescent="0.25">
      <c r="A355" s="2" t="s">
        <v>150</v>
      </c>
      <c r="B355" s="1" t="s">
        <v>149</v>
      </c>
      <c r="C355" s="214" t="s">
        <v>60</v>
      </c>
      <c r="D355" s="203">
        <v>40</v>
      </c>
      <c r="E355" s="204">
        <v>77547</v>
      </c>
      <c r="F355" s="204">
        <v>108567</v>
      </c>
      <c r="G355" s="203">
        <v>40</v>
      </c>
      <c r="H355" s="204">
        <v>59638</v>
      </c>
      <c r="I355" s="204">
        <v>80069</v>
      </c>
      <c r="J355" s="203">
        <v>40</v>
      </c>
      <c r="K355" s="204">
        <v>59638</v>
      </c>
      <c r="L355" s="204">
        <v>74574</v>
      </c>
      <c r="M355" s="203">
        <v>40</v>
      </c>
      <c r="N355" s="204">
        <v>51852</v>
      </c>
      <c r="O355" s="204">
        <v>64815</v>
      </c>
      <c r="P355" s="203">
        <v>40</v>
      </c>
      <c r="Q355" s="204">
        <v>77547</v>
      </c>
      <c r="R355" s="204">
        <v>108567</v>
      </c>
      <c r="S355" s="203">
        <v>40</v>
      </c>
      <c r="T355" s="204">
        <v>25818</v>
      </c>
      <c r="U355" s="216">
        <v>35796</v>
      </c>
    </row>
    <row r="356" spans="1:21" ht="13.5" thickBot="1" x14ac:dyDescent="0.25">
      <c r="A356" s="2" t="s">
        <v>180</v>
      </c>
      <c r="B356" s="1" t="s">
        <v>179</v>
      </c>
      <c r="C356" s="214" t="s">
        <v>60</v>
      </c>
      <c r="D356" s="205" t="s">
        <v>16</v>
      </c>
      <c r="E356" s="205" t="s">
        <v>16</v>
      </c>
      <c r="F356" s="205" t="s">
        <v>16</v>
      </c>
      <c r="G356" s="205" t="s">
        <v>16</v>
      </c>
      <c r="H356" s="205" t="s">
        <v>16</v>
      </c>
      <c r="I356" s="205" t="s">
        <v>16</v>
      </c>
      <c r="J356" s="203">
        <v>40</v>
      </c>
      <c r="K356" s="204">
        <v>53082</v>
      </c>
      <c r="L356" s="204">
        <v>59030</v>
      </c>
      <c r="M356" s="203">
        <v>40</v>
      </c>
      <c r="N356" s="204">
        <v>46238</v>
      </c>
      <c r="O356" s="204">
        <v>48360</v>
      </c>
      <c r="P356" s="203">
        <v>40</v>
      </c>
      <c r="Q356" s="204">
        <v>45282</v>
      </c>
      <c r="R356" s="204">
        <v>58053</v>
      </c>
      <c r="S356" s="203">
        <v>40</v>
      </c>
      <c r="T356" s="204">
        <v>29245</v>
      </c>
      <c r="U356" s="216">
        <v>43098</v>
      </c>
    </row>
    <row r="357" spans="1:21" ht="13.5" thickBot="1" x14ac:dyDescent="0.25">
      <c r="A357" s="2" t="s">
        <v>186</v>
      </c>
      <c r="B357" s="1" t="s">
        <v>185</v>
      </c>
      <c r="C357" s="214" t="s">
        <v>60</v>
      </c>
      <c r="D357" s="203">
        <v>38</v>
      </c>
      <c r="E357" s="204">
        <v>83232</v>
      </c>
      <c r="F357" s="204">
        <v>103945</v>
      </c>
      <c r="G357" s="203">
        <v>38</v>
      </c>
      <c r="H357" s="204">
        <v>57222</v>
      </c>
      <c r="I357" s="204">
        <v>71462</v>
      </c>
      <c r="J357" s="205" t="s">
        <v>16</v>
      </c>
      <c r="K357" s="205" t="s">
        <v>16</v>
      </c>
      <c r="L357" s="205" t="s">
        <v>16</v>
      </c>
      <c r="M357" s="203">
        <v>38</v>
      </c>
      <c r="N357" s="204">
        <v>44737</v>
      </c>
      <c r="O357" s="204">
        <v>55871</v>
      </c>
      <c r="P357" s="203">
        <v>38</v>
      </c>
      <c r="Q357" s="204">
        <v>83232</v>
      </c>
      <c r="R357" s="204">
        <v>103945</v>
      </c>
      <c r="S357" s="203">
        <v>38</v>
      </c>
      <c r="T357" s="204">
        <v>28091</v>
      </c>
      <c r="U357" s="216">
        <v>35082</v>
      </c>
    </row>
    <row r="358" spans="1:21" ht="13.5" thickBot="1" x14ac:dyDescent="0.25">
      <c r="A358" s="2" t="s">
        <v>221</v>
      </c>
      <c r="B358" s="1" t="s">
        <v>220</v>
      </c>
      <c r="C358" s="214" t="s">
        <v>60</v>
      </c>
      <c r="D358" s="205" t="s">
        <v>16</v>
      </c>
      <c r="E358" s="205" t="s">
        <v>16</v>
      </c>
      <c r="F358" s="205" t="s">
        <v>16</v>
      </c>
      <c r="G358" s="203">
        <v>40</v>
      </c>
      <c r="H358" s="204">
        <v>45000</v>
      </c>
      <c r="I358" s="204">
        <v>48000</v>
      </c>
      <c r="J358" s="205" t="s">
        <v>16</v>
      </c>
      <c r="K358" s="205" t="s">
        <v>16</v>
      </c>
      <c r="L358" s="205" t="s">
        <v>16</v>
      </c>
      <c r="M358" s="203">
        <v>40</v>
      </c>
      <c r="N358" s="204">
        <v>37000</v>
      </c>
      <c r="O358" s="204">
        <v>40000</v>
      </c>
      <c r="P358" s="205" t="s">
        <v>16</v>
      </c>
      <c r="Q358" s="205" t="s">
        <v>16</v>
      </c>
      <c r="R358" s="205" t="s">
        <v>16</v>
      </c>
      <c r="S358" s="203">
        <v>20</v>
      </c>
      <c r="T358" s="204">
        <v>10400</v>
      </c>
      <c r="U358" s="216">
        <v>15600</v>
      </c>
    </row>
    <row r="359" spans="1:21" ht="13.5" thickBot="1" x14ac:dyDescent="0.25">
      <c r="A359" s="2" t="s">
        <v>223</v>
      </c>
      <c r="B359" s="1" t="s">
        <v>222</v>
      </c>
      <c r="C359" s="214" t="s">
        <v>60</v>
      </c>
      <c r="D359" s="203">
        <v>40</v>
      </c>
      <c r="E359" s="204">
        <v>75494</v>
      </c>
      <c r="F359" s="204">
        <v>95633</v>
      </c>
      <c r="G359" s="203">
        <v>40</v>
      </c>
      <c r="H359" s="204">
        <v>64998</v>
      </c>
      <c r="I359" s="204">
        <v>82337</v>
      </c>
      <c r="J359" s="203">
        <v>38</v>
      </c>
      <c r="K359" s="204">
        <v>61730</v>
      </c>
      <c r="L359" s="204">
        <v>78199</v>
      </c>
      <c r="M359" s="203">
        <v>38</v>
      </c>
      <c r="N359" s="204">
        <v>51405</v>
      </c>
      <c r="O359" s="204">
        <v>65118</v>
      </c>
      <c r="P359" s="203">
        <v>38</v>
      </c>
      <c r="Q359" s="204">
        <v>47300</v>
      </c>
      <c r="R359" s="204">
        <v>59917</v>
      </c>
      <c r="S359" s="203">
        <v>38</v>
      </c>
      <c r="T359" s="204">
        <v>42969</v>
      </c>
      <c r="U359" s="216">
        <v>54432</v>
      </c>
    </row>
    <row r="360" spans="1:21" ht="13.5" thickBot="1" x14ac:dyDescent="0.25">
      <c r="A360" s="2" t="s">
        <v>233</v>
      </c>
      <c r="B360" s="1" t="s">
        <v>232</v>
      </c>
      <c r="C360" s="214" t="s">
        <v>60</v>
      </c>
      <c r="D360" s="203">
        <v>0</v>
      </c>
      <c r="E360" s="204">
        <v>0</v>
      </c>
      <c r="F360" s="204">
        <v>0</v>
      </c>
      <c r="G360" s="203">
        <v>40</v>
      </c>
      <c r="H360" s="204">
        <v>59199</v>
      </c>
      <c r="I360" s="204">
        <v>66307</v>
      </c>
      <c r="J360" s="203">
        <v>40</v>
      </c>
      <c r="K360" s="204">
        <v>53576</v>
      </c>
      <c r="L360" s="204">
        <v>58880</v>
      </c>
      <c r="M360" s="203">
        <v>40</v>
      </c>
      <c r="N360" s="204">
        <v>39042</v>
      </c>
      <c r="O360" s="204">
        <v>46892</v>
      </c>
      <c r="P360" s="203">
        <v>40</v>
      </c>
      <c r="Q360" s="204">
        <v>63737</v>
      </c>
      <c r="R360" s="204">
        <v>83323</v>
      </c>
      <c r="S360" s="203">
        <v>40</v>
      </c>
      <c r="T360" s="204">
        <v>24848</v>
      </c>
      <c r="U360" s="216">
        <v>34843</v>
      </c>
    </row>
    <row r="361" spans="1:21" ht="13.5" thickBot="1" x14ac:dyDescent="0.25">
      <c r="A361" s="2" t="s">
        <v>277</v>
      </c>
      <c r="B361" s="1" t="s">
        <v>276</v>
      </c>
      <c r="C361" s="214" t="s">
        <v>60</v>
      </c>
      <c r="D361" s="203">
        <v>0</v>
      </c>
      <c r="E361" s="204">
        <v>61447</v>
      </c>
      <c r="F361" s="204">
        <v>102373</v>
      </c>
      <c r="G361" s="203">
        <v>40</v>
      </c>
      <c r="H361" s="204">
        <v>50421</v>
      </c>
      <c r="I361" s="204">
        <v>80751</v>
      </c>
      <c r="J361" s="203">
        <v>40</v>
      </c>
      <c r="K361" s="204">
        <v>44084</v>
      </c>
      <c r="L361" s="204">
        <v>71240</v>
      </c>
      <c r="M361" s="203">
        <v>40</v>
      </c>
      <c r="N361" s="204">
        <v>40989</v>
      </c>
      <c r="O361" s="204">
        <v>61125</v>
      </c>
      <c r="P361" s="203">
        <v>40</v>
      </c>
      <c r="Q361" s="204">
        <v>33960</v>
      </c>
      <c r="R361" s="204">
        <v>56159</v>
      </c>
      <c r="S361" s="203">
        <v>40</v>
      </c>
      <c r="T361" s="204">
        <v>26522</v>
      </c>
      <c r="U361" s="216">
        <v>43513</v>
      </c>
    </row>
    <row r="362" spans="1:21" ht="13.5" thickBot="1" x14ac:dyDescent="0.25">
      <c r="A362" s="2" t="s">
        <v>291</v>
      </c>
      <c r="B362" s="1" t="s">
        <v>290</v>
      </c>
      <c r="C362" s="214" t="s">
        <v>60</v>
      </c>
      <c r="D362" s="203">
        <v>0</v>
      </c>
      <c r="E362" s="204">
        <v>0</v>
      </c>
      <c r="F362" s="204">
        <v>0</v>
      </c>
      <c r="G362" s="203">
        <v>40</v>
      </c>
      <c r="H362" s="204">
        <v>64615</v>
      </c>
      <c r="I362" s="204">
        <v>80050</v>
      </c>
      <c r="J362" s="203">
        <v>40</v>
      </c>
      <c r="K362" s="204">
        <v>48681</v>
      </c>
      <c r="L362" s="204">
        <v>60197</v>
      </c>
      <c r="M362" s="203">
        <v>40</v>
      </c>
      <c r="N362" s="204">
        <v>41681</v>
      </c>
      <c r="O362" s="204">
        <v>53197</v>
      </c>
      <c r="P362" s="203">
        <v>40</v>
      </c>
      <c r="Q362" s="204">
        <v>32618</v>
      </c>
      <c r="R362" s="204">
        <v>42033</v>
      </c>
      <c r="S362" s="203">
        <v>40</v>
      </c>
      <c r="T362" s="204">
        <v>23691</v>
      </c>
      <c r="U362" s="216">
        <v>30472</v>
      </c>
    </row>
    <row r="363" spans="1:21" ht="13.5" thickBot="1" x14ac:dyDescent="0.25">
      <c r="A363" s="2" t="s">
        <v>317</v>
      </c>
      <c r="B363" s="1" t="s">
        <v>316</v>
      </c>
      <c r="C363" s="214" t="s">
        <v>60</v>
      </c>
      <c r="D363" s="203">
        <v>0</v>
      </c>
      <c r="E363" s="204">
        <v>0</v>
      </c>
      <c r="F363" s="204">
        <v>0</v>
      </c>
      <c r="G363" s="203">
        <v>40</v>
      </c>
      <c r="H363" s="204">
        <v>60101</v>
      </c>
      <c r="I363" s="204">
        <v>66837</v>
      </c>
      <c r="J363" s="203">
        <v>40</v>
      </c>
      <c r="K363" s="204">
        <v>52707</v>
      </c>
      <c r="L363" s="204">
        <v>64709</v>
      </c>
      <c r="M363" s="203">
        <v>40</v>
      </c>
      <c r="N363" s="204">
        <v>46300</v>
      </c>
      <c r="O363" s="204">
        <v>59904</v>
      </c>
      <c r="P363" s="203">
        <v>40</v>
      </c>
      <c r="Q363" s="204">
        <v>39707</v>
      </c>
      <c r="R363" s="204">
        <v>49067</v>
      </c>
      <c r="S363" s="203">
        <v>40</v>
      </c>
      <c r="T363" s="204">
        <v>35963</v>
      </c>
      <c r="U363" s="216">
        <v>48921</v>
      </c>
    </row>
    <row r="364" spans="1:21" ht="13.5" thickBot="1" x14ac:dyDescent="0.25">
      <c r="A364" s="2" t="s">
        <v>331</v>
      </c>
      <c r="B364" s="1" t="s">
        <v>330</v>
      </c>
      <c r="C364" s="214" t="s">
        <v>60</v>
      </c>
      <c r="D364" s="205" t="s">
        <v>16</v>
      </c>
      <c r="E364" s="205" t="s">
        <v>16</v>
      </c>
      <c r="F364" s="205" t="s">
        <v>16</v>
      </c>
      <c r="G364" s="203">
        <v>40</v>
      </c>
      <c r="H364" s="204">
        <v>57554</v>
      </c>
      <c r="I364" s="204">
        <v>68619</v>
      </c>
      <c r="J364" s="205" t="s">
        <v>16</v>
      </c>
      <c r="K364" s="205" t="s">
        <v>16</v>
      </c>
      <c r="L364" s="205" t="s">
        <v>16</v>
      </c>
      <c r="M364" s="203">
        <v>40</v>
      </c>
      <c r="N364" s="204">
        <v>50232</v>
      </c>
      <c r="O364" s="204">
        <v>59197</v>
      </c>
      <c r="P364" s="203">
        <v>0</v>
      </c>
      <c r="Q364" s="204">
        <v>0</v>
      </c>
      <c r="R364" s="204">
        <v>0</v>
      </c>
      <c r="S364" s="203">
        <v>40</v>
      </c>
      <c r="T364" s="204">
        <v>33821</v>
      </c>
      <c r="U364" s="216">
        <v>40997</v>
      </c>
    </row>
    <row r="365" spans="1:21" ht="13.5" thickBot="1" x14ac:dyDescent="0.25">
      <c r="A365" s="2" t="s">
        <v>335</v>
      </c>
      <c r="B365" s="1" t="s">
        <v>334</v>
      </c>
      <c r="C365" s="214" t="s">
        <v>60</v>
      </c>
      <c r="D365" s="203">
        <v>40</v>
      </c>
      <c r="E365" s="204">
        <v>79977</v>
      </c>
      <c r="F365" s="204">
        <v>102278</v>
      </c>
      <c r="G365" s="203">
        <v>40</v>
      </c>
      <c r="H365" s="204">
        <v>54636</v>
      </c>
      <c r="I365" s="204">
        <v>77016</v>
      </c>
      <c r="J365" s="203">
        <v>40</v>
      </c>
      <c r="K365" s="204">
        <v>67397</v>
      </c>
      <c r="L365" s="204">
        <v>84904</v>
      </c>
      <c r="M365" s="203">
        <v>40</v>
      </c>
      <c r="N365" s="204">
        <v>54636</v>
      </c>
      <c r="O365" s="204">
        <v>68520</v>
      </c>
      <c r="P365" s="203">
        <v>40</v>
      </c>
      <c r="Q365" s="204">
        <v>54636</v>
      </c>
      <c r="R365" s="204">
        <v>87848</v>
      </c>
      <c r="S365" s="203">
        <v>20</v>
      </c>
      <c r="T365" s="204">
        <v>14428</v>
      </c>
      <c r="U365" s="216">
        <v>15599</v>
      </c>
    </row>
    <row r="366" spans="1:21" ht="13.5" thickBot="1" x14ac:dyDescent="0.25">
      <c r="A366" s="2" t="s">
        <v>339</v>
      </c>
      <c r="B366" s="1" t="s">
        <v>338</v>
      </c>
      <c r="C366" s="214" t="s">
        <v>60</v>
      </c>
      <c r="D366" s="203">
        <v>40</v>
      </c>
      <c r="E366" s="204">
        <v>65000</v>
      </c>
      <c r="F366" s="204">
        <v>82000</v>
      </c>
      <c r="G366" s="203">
        <v>40</v>
      </c>
      <c r="H366" s="204">
        <v>66209</v>
      </c>
      <c r="I366" s="204">
        <v>70999</v>
      </c>
      <c r="J366" s="203">
        <v>40</v>
      </c>
      <c r="K366" s="204">
        <v>49225</v>
      </c>
      <c r="L366" s="204">
        <v>63994</v>
      </c>
      <c r="M366" s="203">
        <v>40</v>
      </c>
      <c r="N366" s="204">
        <v>49225</v>
      </c>
      <c r="O366" s="204">
        <v>49225</v>
      </c>
      <c r="P366" s="203">
        <v>40</v>
      </c>
      <c r="Q366" s="204">
        <v>46125</v>
      </c>
      <c r="R366" s="204">
        <v>62000</v>
      </c>
      <c r="S366" s="203">
        <v>40</v>
      </c>
      <c r="T366" s="204">
        <v>30766</v>
      </c>
      <c r="U366" s="216">
        <v>39638</v>
      </c>
    </row>
    <row r="367" spans="1:21" ht="13.5" thickBot="1" x14ac:dyDescent="0.25">
      <c r="A367" s="2" t="s">
        <v>367</v>
      </c>
      <c r="B367" s="1" t="s">
        <v>366</v>
      </c>
      <c r="C367" s="214" t="s">
        <v>60</v>
      </c>
      <c r="D367" s="203">
        <v>40</v>
      </c>
      <c r="E367" s="204">
        <v>64230</v>
      </c>
      <c r="F367" s="204">
        <v>78083</v>
      </c>
      <c r="G367" s="203">
        <v>40</v>
      </c>
      <c r="H367" s="204">
        <v>52021</v>
      </c>
      <c r="I367" s="204">
        <v>64230</v>
      </c>
      <c r="J367" s="203">
        <v>40</v>
      </c>
      <c r="K367" s="204">
        <v>52021</v>
      </c>
      <c r="L367" s="204">
        <v>64230</v>
      </c>
      <c r="M367" s="203">
        <v>40</v>
      </c>
      <c r="N367" s="204">
        <v>47757</v>
      </c>
      <c r="O367" s="204">
        <v>58406</v>
      </c>
      <c r="P367" s="203">
        <v>40</v>
      </c>
      <c r="Q367" s="204">
        <v>36941</v>
      </c>
      <c r="R367" s="204">
        <v>48048</v>
      </c>
      <c r="S367" s="203">
        <v>40</v>
      </c>
      <c r="T367" s="204">
        <v>33010</v>
      </c>
      <c r="U367" s="216">
        <v>42182</v>
      </c>
    </row>
    <row r="368" spans="1:21" ht="13.5" thickBot="1" x14ac:dyDescent="0.25">
      <c r="A368" s="2" t="s">
        <v>389</v>
      </c>
      <c r="B368" s="1" t="s">
        <v>388</v>
      </c>
      <c r="C368" s="214" t="s">
        <v>60</v>
      </c>
      <c r="D368" s="205" t="s">
        <v>16</v>
      </c>
      <c r="E368" s="205" t="s">
        <v>16</v>
      </c>
      <c r="F368" s="205" t="s">
        <v>16</v>
      </c>
      <c r="G368" s="203">
        <v>41</v>
      </c>
      <c r="H368" s="204">
        <v>39541</v>
      </c>
      <c r="I368" s="204">
        <v>72779</v>
      </c>
      <c r="J368" s="205" t="s">
        <v>16</v>
      </c>
      <c r="K368" s="205" t="s">
        <v>16</v>
      </c>
      <c r="L368" s="205" t="s">
        <v>16</v>
      </c>
      <c r="M368" s="203">
        <v>40</v>
      </c>
      <c r="N368" s="204">
        <v>34840</v>
      </c>
      <c r="O368" s="204">
        <v>55744</v>
      </c>
      <c r="P368" s="203">
        <v>40</v>
      </c>
      <c r="Q368" s="204">
        <v>39541</v>
      </c>
      <c r="R368" s="204">
        <v>63242</v>
      </c>
      <c r="S368" s="203">
        <v>22</v>
      </c>
      <c r="T368" s="204">
        <v>14872</v>
      </c>
      <c r="U368" s="216">
        <v>49130</v>
      </c>
    </row>
    <row r="369" spans="1:21" ht="13.5" thickBot="1" x14ac:dyDescent="0.25">
      <c r="A369" s="2" t="s">
        <v>409</v>
      </c>
      <c r="B369" s="1" t="s">
        <v>408</v>
      </c>
      <c r="C369" s="214" t="s">
        <v>60</v>
      </c>
      <c r="D369" s="203">
        <v>40</v>
      </c>
      <c r="E369" s="204">
        <v>72100</v>
      </c>
      <c r="F369" s="204">
        <v>82400</v>
      </c>
      <c r="G369" s="203">
        <v>38</v>
      </c>
      <c r="H369" s="204">
        <v>38022</v>
      </c>
      <c r="I369" s="204">
        <v>63232</v>
      </c>
      <c r="J369" s="203">
        <v>40</v>
      </c>
      <c r="K369" s="204">
        <v>46508</v>
      </c>
      <c r="L369" s="204">
        <v>54433</v>
      </c>
      <c r="M369" s="203">
        <v>38</v>
      </c>
      <c r="N369" s="204">
        <v>39665</v>
      </c>
      <c r="O369" s="204">
        <v>48110</v>
      </c>
      <c r="P369" s="203">
        <v>40</v>
      </c>
      <c r="Q369" s="204">
        <v>56650</v>
      </c>
      <c r="R369" s="204">
        <v>66950</v>
      </c>
      <c r="S369" s="203">
        <v>27</v>
      </c>
      <c r="T369" s="204">
        <v>24752</v>
      </c>
      <c r="U369" s="216">
        <v>35027</v>
      </c>
    </row>
    <row r="370" spans="1:21" ht="13.5" thickBot="1" x14ac:dyDescent="0.25">
      <c r="A370" s="2" t="s">
        <v>417</v>
      </c>
      <c r="B370" s="1" t="s">
        <v>416</v>
      </c>
      <c r="C370" s="214" t="s">
        <v>60</v>
      </c>
      <c r="D370" s="203">
        <v>40</v>
      </c>
      <c r="E370" s="204">
        <v>74965</v>
      </c>
      <c r="F370" s="204">
        <v>98965</v>
      </c>
      <c r="G370" s="203">
        <v>40</v>
      </c>
      <c r="H370" s="204">
        <v>66490</v>
      </c>
      <c r="I370" s="204">
        <v>88490</v>
      </c>
      <c r="J370" s="203">
        <v>40</v>
      </c>
      <c r="K370" s="204">
        <v>60553</v>
      </c>
      <c r="L370" s="204">
        <v>73014</v>
      </c>
      <c r="M370" s="203">
        <v>40</v>
      </c>
      <c r="N370" s="204">
        <v>49876</v>
      </c>
      <c r="O370" s="204">
        <v>60554</v>
      </c>
      <c r="P370" s="203">
        <v>40</v>
      </c>
      <c r="Q370" s="204">
        <v>35875</v>
      </c>
      <c r="R370" s="204">
        <v>72215</v>
      </c>
      <c r="S370" s="203">
        <v>40</v>
      </c>
      <c r="T370" s="204">
        <v>29690</v>
      </c>
      <c r="U370" s="216">
        <v>45654</v>
      </c>
    </row>
    <row r="371" spans="1:21" ht="13.5" thickBot="1" x14ac:dyDescent="0.25">
      <c r="A371" s="2" t="s">
        <v>421</v>
      </c>
      <c r="B371" s="1" t="s">
        <v>420</v>
      </c>
      <c r="C371" s="214" t="s">
        <v>60</v>
      </c>
      <c r="D371" s="205" t="s">
        <v>16</v>
      </c>
      <c r="E371" s="205" t="s">
        <v>16</v>
      </c>
      <c r="F371" s="205" t="s">
        <v>16</v>
      </c>
      <c r="G371" s="203">
        <v>40</v>
      </c>
      <c r="H371" s="204">
        <v>52240</v>
      </c>
      <c r="I371" s="204">
        <v>77627</v>
      </c>
      <c r="J371" s="203">
        <v>40</v>
      </c>
      <c r="K371" s="204">
        <v>52104</v>
      </c>
      <c r="L371" s="204">
        <v>63024</v>
      </c>
      <c r="M371" s="203">
        <v>33</v>
      </c>
      <c r="N371" s="204">
        <v>46384</v>
      </c>
      <c r="O371" s="204">
        <v>61173</v>
      </c>
      <c r="P371" s="203">
        <v>40</v>
      </c>
      <c r="Q371" s="204">
        <v>49150</v>
      </c>
      <c r="R371" s="204">
        <v>60029</v>
      </c>
      <c r="S371" s="203">
        <v>23</v>
      </c>
      <c r="T371" s="204">
        <v>23400</v>
      </c>
      <c r="U371" s="216">
        <v>37398</v>
      </c>
    </row>
    <row r="372" spans="1:21" ht="13.5" thickBot="1" x14ac:dyDescent="0.25">
      <c r="A372" s="2" t="s">
        <v>431</v>
      </c>
      <c r="B372" s="1" t="s">
        <v>430</v>
      </c>
      <c r="C372" s="214" t="s">
        <v>60</v>
      </c>
      <c r="D372" s="203">
        <v>40</v>
      </c>
      <c r="E372" s="204">
        <v>48259</v>
      </c>
      <c r="F372" s="204">
        <v>60183</v>
      </c>
      <c r="G372" s="203">
        <v>40</v>
      </c>
      <c r="H372" s="204">
        <v>41746</v>
      </c>
      <c r="I372" s="204">
        <v>52062</v>
      </c>
      <c r="J372" s="205" t="s">
        <v>16</v>
      </c>
      <c r="K372" s="205" t="s">
        <v>16</v>
      </c>
      <c r="L372" s="205" t="s">
        <v>16</v>
      </c>
      <c r="M372" s="205" t="s">
        <v>16</v>
      </c>
      <c r="N372" s="205" t="s">
        <v>16</v>
      </c>
      <c r="O372" s="205" t="s">
        <v>16</v>
      </c>
      <c r="P372" s="203">
        <v>0</v>
      </c>
      <c r="Q372" s="204">
        <v>0</v>
      </c>
      <c r="R372" s="204">
        <v>0</v>
      </c>
      <c r="S372" s="203">
        <v>40</v>
      </c>
      <c r="T372" s="204">
        <v>27435</v>
      </c>
      <c r="U372" s="216">
        <v>34237</v>
      </c>
    </row>
    <row r="373" spans="1:21" ht="13.5" thickBot="1" x14ac:dyDescent="0.25">
      <c r="A373" s="2" t="s">
        <v>459</v>
      </c>
      <c r="B373" s="1" t="s">
        <v>458</v>
      </c>
      <c r="C373" s="214" t="s">
        <v>60</v>
      </c>
      <c r="D373" s="205" t="s">
        <v>16</v>
      </c>
      <c r="E373" s="205" t="s">
        <v>16</v>
      </c>
      <c r="F373" s="205" t="s">
        <v>16</v>
      </c>
      <c r="G373" s="203">
        <v>40</v>
      </c>
      <c r="H373" s="204">
        <v>63419</v>
      </c>
      <c r="I373" s="204">
        <v>73944</v>
      </c>
      <c r="J373" s="203">
        <v>40</v>
      </c>
      <c r="K373" s="204">
        <v>59196</v>
      </c>
      <c r="L373" s="204">
        <v>69243</v>
      </c>
      <c r="M373" s="203">
        <v>40</v>
      </c>
      <c r="N373" s="204">
        <v>47445</v>
      </c>
      <c r="O373" s="204">
        <v>55473</v>
      </c>
      <c r="P373" s="203">
        <v>40</v>
      </c>
      <c r="Q373" s="204">
        <v>63419</v>
      </c>
      <c r="R373" s="204">
        <v>73944</v>
      </c>
      <c r="S373" s="203">
        <v>40</v>
      </c>
      <c r="T373" s="204">
        <v>33342</v>
      </c>
      <c r="U373" s="216">
        <v>36837</v>
      </c>
    </row>
    <row r="374" spans="1:21" ht="13.5" thickBot="1" x14ac:dyDescent="0.25">
      <c r="A374" s="2" t="s">
        <v>526</v>
      </c>
      <c r="B374" s="1" t="s">
        <v>525</v>
      </c>
      <c r="C374" s="214" t="s">
        <v>60</v>
      </c>
      <c r="D374" s="203">
        <v>0</v>
      </c>
      <c r="E374" s="204">
        <v>0</v>
      </c>
      <c r="F374" s="204">
        <v>0</v>
      </c>
      <c r="G374" s="203">
        <v>40</v>
      </c>
      <c r="H374" s="204">
        <v>47466</v>
      </c>
      <c r="I374" s="204">
        <v>63939</v>
      </c>
      <c r="J374" s="203">
        <v>40</v>
      </c>
      <c r="K374" s="204">
        <v>43784</v>
      </c>
      <c r="L374" s="204">
        <v>61838</v>
      </c>
      <c r="M374" s="203">
        <v>33</v>
      </c>
      <c r="N374" s="204">
        <v>12611</v>
      </c>
      <c r="O374" s="204">
        <v>55515</v>
      </c>
      <c r="P374" s="203">
        <v>40</v>
      </c>
      <c r="Q374" s="204">
        <v>42474</v>
      </c>
      <c r="R374" s="204">
        <v>61838</v>
      </c>
      <c r="S374" s="203">
        <v>22</v>
      </c>
      <c r="T374" s="204">
        <v>3066</v>
      </c>
      <c r="U374" s="216">
        <v>37981</v>
      </c>
    </row>
    <row r="375" spans="1:21" ht="13.5" thickBot="1" x14ac:dyDescent="0.25">
      <c r="A375" s="2" t="s">
        <v>540</v>
      </c>
      <c r="B375" s="1" t="s">
        <v>539</v>
      </c>
      <c r="C375" s="214" t="s">
        <v>60</v>
      </c>
      <c r="D375" s="203">
        <v>40</v>
      </c>
      <c r="E375" s="204">
        <v>58115</v>
      </c>
      <c r="F375" s="204">
        <v>69097</v>
      </c>
      <c r="G375" s="203">
        <v>40</v>
      </c>
      <c r="H375" s="204">
        <v>52000</v>
      </c>
      <c r="I375" s="204">
        <v>61360</v>
      </c>
      <c r="J375" s="203">
        <v>40</v>
      </c>
      <c r="K375" s="204">
        <v>46862</v>
      </c>
      <c r="L375" s="204">
        <v>55681</v>
      </c>
      <c r="M375" s="203">
        <v>40</v>
      </c>
      <c r="N375" s="204">
        <v>41204</v>
      </c>
      <c r="O375" s="204">
        <v>48880</v>
      </c>
      <c r="P375" s="203">
        <v>40</v>
      </c>
      <c r="Q375" s="204">
        <v>37169</v>
      </c>
      <c r="R375" s="204">
        <v>44262</v>
      </c>
      <c r="S375" s="203">
        <v>24</v>
      </c>
      <c r="T375" s="204">
        <v>29473</v>
      </c>
      <c r="U375" s="216">
        <v>33987</v>
      </c>
    </row>
    <row r="376" spans="1:21" ht="13.5" thickBot="1" x14ac:dyDescent="0.25">
      <c r="A376" s="2" t="s">
        <v>560</v>
      </c>
      <c r="B376" s="1" t="s">
        <v>559</v>
      </c>
      <c r="C376" s="214" t="s">
        <v>60</v>
      </c>
      <c r="D376" s="203">
        <v>0</v>
      </c>
      <c r="E376" s="204">
        <v>66146</v>
      </c>
      <c r="F376" s="204">
        <v>92604</v>
      </c>
      <c r="G376" s="203">
        <v>40</v>
      </c>
      <c r="H376" s="204">
        <v>50111</v>
      </c>
      <c r="I376" s="204">
        <v>77170</v>
      </c>
      <c r="J376" s="203">
        <v>40</v>
      </c>
      <c r="K376" s="204">
        <v>50111</v>
      </c>
      <c r="L376" s="204">
        <v>67649</v>
      </c>
      <c r="M376" s="203">
        <v>18</v>
      </c>
      <c r="N376" s="204">
        <v>45555</v>
      </c>
      <c r="O376" s="204">
        <v>59222</v>
      </c>
      <c r="P376" s="203">
        <v>40</v>
      </c>
      <c r="Q376" s="204">
        <v>55122</v>
      </c>
      <c r="R376" s="204">
        <v>77170</v>
      </c>
      <c r="S376" s="203">
        <v>23</v>
      </c>
      <c r="T376" s="204">
        <v>24050</v>
      </c>
      <c r="U376" s="216">
        <v>30063</v>
      </c>
    </row>
    <row r="377" spans="1:21" ht="13.5" thickBot="1" x14ac:dyDescent="0.25">
      <c r="A377" s="2" t="s">
        <v>610</v>
      </c>
      <c r="B377" s="1" t="s">
        <v>609</v>
      </c>
      <c r="C377" s="214" t="s">
        <v>60</v>
      </c>
      <c r="D377" s="205" t="s">
        <v>16</v>
      </c>
      <c r="E377" s="205" t="s">
        <v>16</v>
      </c>
      <c r="F377" s="205" t="s">
        <v>16</v>
      </c>
      <c r="G377" s="205" t="s">
        <v>16</v>
      </c>
      <c r="H377" s="205" t="s">
        <v>16</v>
      </c>
      <c r="I377" s="205" t="s">
        <v>16</v>
      </c>
      <c r="J377" s="205" t="s">
        <v>16</v>
      </c>
      <c r="K377" s="205" t="s">
        <v>16</v>
      </c>
      <c r="L377" s="205" t="s">
        <v>16</v>
      </c>
      <c r="M377" s="203">
        <v>40</v>
      </c>
      <c r="N377" s="204">
        <v>37400</v>
      </c>
      <c r="O377" s="204">
        <v>40000</v>
      </c>
      <c r="P377" s="203">
        <v>29</v>
      </c>
      <c r="Q377" s="204">
        <v>27000</v>
      </c>
      <c r="R377" s="204">
        <v>27000</v>
      </c>
      <c r="S377" s="203">
        <v>29</v>
      </c>
      <c r="T377" s="204">
        <v>12000</v>
      </c>
      <c r="U377" s="216">
        <v>25000</v>
      </c>
    </row>
    <row r="378" spans="1:21" ht="13.5" thickBot="1" x14ac:dyDescent="0.25">
      <c r="A378" s="2" t="s">
        <v>614</v>
      </c>
      <c r="B378" s="1" t="s">
        <v>613</v>
      </c>
      <c r="C378" s="214" t="s">
        <v>60</v>
      </c>
      <c r="D378" s="203">
        <v>0</v>
      </c>
      <c r="E378" s="204">
        <v>0</v>
      </c>
      <c r="F378" s="204">
        <v>0</v>
      </c>
      <c r="G378" s="203">
        <v>45</v>
      </c>
      <c r="H378" s="204">
        <v>47000</v>
      </c>
      <c r="I378" s="204">
        <v>78720</v>
      </c>
      <c r="J378" s="203">
        <v>40</v>
      </c>
      <c r="K378" s="204">
        <v>40641</v>
      </c>
      <c r="L378" s="204">
        <v>61474</v>
      </c>
      <c r="M378" s="203">
        <v>40</v>
      </c>
      <c r="N378" s="204">
        <v>40641</v>
      </c>
      <c r="O378" s="204">
        <v>61474</v>
      </c>
      <c r="P378" s="203">
        <v>45</v>
      </c>
      <c r="Q378" s="204">
        <v>47000</v>
      </c>
      <c r="R378" s="204">
        <v>78720</v>
      </c>
      <c r="S378" s="203">
        <v>20</v>
      </c>
      <c r="T378" s="204">
        <v>27560</v>
      </c>
      <c r="U378" s="216">
        <v>38667</v>
      </c>
    </row>
    <row r="379" spans="1:21" ht="13.5" thickBot="1" x14ac:dyDescent="0.25">
      <c r="A379" s="2" t="s">
        <v>624</v>
      </c>
      <c r="B379" s="1" t="s">
        <v>623</v>
      </c>
      <c r="C379" s="214" t="s">
        <v>60</v>
      </c>
      <c r="D379" s="203">
        <v>0</v>
      </c>
      <c r="E379" s="204">
        <v>0</v>
      </c>
      <c r="F379" s="204">
        <v>0</v>
      </c>
      <c r="G379" s="203">
        <v>40</v>
      </c>
      <c r="H379" s="204">
        <v>43005</v>
      </c>
      <c r="I379" s="204">
        <v>67743</v>
      </c>
      <c r="J379" s="203">
        <v>40</v>
      </c>
      <c r="K379" s="204">
        <v>43005</v>
      </c>
      <c r="L379" s="204">
        <v>67743</v>
      </c>
      <c r="M379" s="203">
        <v>25</v>
      </c>
      <c r="N379" s="204">
        <v>35940</v>
      </c>
      <c r="O379" s="204">
        <v>45317</v>
      </c>
      <c r="P379" s="203">
        <v>40</v>
      </c>
      <c r="Q379" s="204">
        <v>41095</v>
      </c>
      <c r="R379" s="204">
        <v>51809</v>
      </c>
      <c r="S379" s="203">
        <v>25</v>
      </c>
      <c r="T379" s="204">
        <v>15119</v>
      </c>
      <c r="U379" s="216">
        <v>27183</v>
      </c>
    </row>
    <row r="380" spans="1:21" ht="13.5" thickBot="1" x14ac:dyDescent="0.25">
      <c r="A380" s="2" t="s">
        <v>660</v>
      </c>
      <c r="B380" s="1" t="s">
        <v>659</v>
      </c>
      <c r="C380" s="214" t="s">
        <v>60</v>
      </c>
      <c r="D380" s="203">
        <v>38</v>
      </c>
      <c r="E380" s="204">
        <v>63962</v>
      </c>
      <c r="F380" s="204">
        <v>91037</v>
      </c>
      <c r="G380" s="203">
        <v>38</v>
      </c>
      <c r="H380" s="204">
        <v>51545</v>
      </c>
      <c r="I380" s="204">
        <v>73365</v>
      </c>
      <c r="J380" s="203">
        <v>38</v>
      </c>
      <c r="K380" s="204">
        <v>44938</v>
      </c>
      <c r="L380" s="204">
        <v>61501</v>
      </c>
      <c r="M380" s="203">
        <v>38</v>
      </c>
      <c r="N380" s="204">
        <v>41549</v>
      </c>
      <c r="O380" s="204">
        <v>56862</v>
      </c>
      <c r="P380" s="203">
        <v>38</v>
      </c>
      <c r="Q380" s="204">
        <v>31946</v>
      </c>
      <c r="R380" s="204">
        <v>43720</v>
      </c>
      <c r="S380" s="203">
        <v>38</v>
      </c>
      <c r="T380" s="204">
        <v>25246</v>
      </c>
      <c r="U380" s="216">
        <v>33222</v>
      </c>
    </row>
    <row r="381" spans="1:21" ht="13.5" thickBot="1" x14ac:dyDescent="0.25">
      <c r="A381" s="2" t="s">
        <v>670</v>
      </c>
      <c r="B381" s="1" t="s">
        <v>669</v>
      </c>
      <c r="C381" s="214" t="s">
        <v>60</v>
      </c>
      <c r="D381" s="205" t="s">
        <v>16</v>
      </c>
      <c r="E381" s="205" t="s">
        <v>16</v>
      </c>
      <c r="F381" s="205" t="s">
        <v>16</v>
      </c>
      <c r="G381" s="203">
        <v>40</v>
      </c>
      <c r="H381" s="204">
        <v>56013</v>
      </c>
      <c r="I381" s="204">
        <v>61814</v>
      </c>
      <c r="J381" s="203">
        <v>40</v>
      </c>
      <c r="K381" s="204">
        <v>50902</v>
      </c>
      <c r="L381" s="204">
        <v>56012</v>
      </c>
      <c r="M381" s="203">
        <v>40</v>
      </c>
      <c r="N381" s="204">
        <v>41975</v>
      </c>
      <c r="O381" s="204">
        <v>50921</v>
      </c>
      <c r="P381" s="203">
        <v>40</v>
      </c>
      <c r="Q381" s="204">
        <v>45129</v>
      </c>
      <c r="R381" s="204">
        <v>66613</v>
      </c>
      <c r="S381" s="203">
        <v>40</v>
      </c>
      <c r="T381" s="204">
        <v>37363</v>
      </c>
      <c r="U381" s="216">
        <v>43541</v>
      </c>
    </row>
    <row r="382" spans="1:21" ht="13.5" thickBot="1" x14ac:dyDescent="0.25">
      <c r="A382" s="2" t="s">
        <v>678</v>
      </c>
      <c r="B382" s="1" t="s">
        <v>677</v>
      </c>
      <c r="C382" s="214" t="s">
        <v>60</v>
      </c>
      <c r="D382" s="203">
        <v>40</v>
      </c>
      <c r="E382" s="204">
        <v>40944</v>
      </c>
      <c r="F382" s="204">
        <v>42581</v>
      </c>
      <c r="G382" s="203">
        <v>40</v>
      </c>
      <c r="H382" s="204">
        <v>28766</v>
      </c>
      <c r="I382" s="204">
        <v>31114</v>
      </c>
      <c r="J382" s="203">
        <v>40</v>
      </c>
      <c r="K382" s="204">
        <v>46056</v>
      </c>
      <c r="L382" s="204">
        <v>49814</v>
      </c>
      <c r="M382" s="203">
        <v>40</v>
      </c>
      <c r="N382" s="204">
        <v>39369</v>
      </c>
      <c r="O382" s="204">
        <v>42581</v>
      </c>
      <c r="P382" s="203">
        <v>0</v>
      </c>
      <c r="Q382" s="204">
        <v>0</v>
      </c>
      <c r="R382" s="204">
        <v>0</v>
      </c>
      <c r="S382" s="203">
        <v>40</v>
      </c>
      <c r="T382" s="204">
        <v>26597</v>
      </c>
      <c r="U382" s="216">
        <v>28766</v>
      </c>
    </row>
    <row r="383" spans="1:21" ht="13.5" thickBot="1" x14ac:dyDescent="0.25">
      <c r="A383" s="2" t="s">
        <v>680</v>
      </c>
      <c r="B383" s="1" t="s">
        <v>679</v>
      </c>
      <c r="C383" s="214" t="s">
        <v>60</v>
      </c>
      <c r="D383" s="203">
        <v>72568</v>
      </c>
      <c r="E383" s="204">
        <v>61602</v>
      </c>
      <c r="F383" s="204">
        <v>72537</v>
      </c>
      <c r="G383" s="203">
        <v>0</v>
      </c>
      <c r="H383" s="204">
        <v>0</v>
      </c>
      <c r="I383" s="204">
        <v>0</v>
      </c>
      <c r="J383" s="203">
        <v>38</v>
      </c>
      <c r="K383" s="204">
        <v>53267</v>
      </c>
      <c r="L383" s="204">
        <v>63668</v>
      </c>
      <c r="M383" s="203">
        <v>38</v>
      </c>
      <c r="N383" s="204">
        <v>43621</v>
      </c>
      <c r="O383" s="204">
        <v>50550</v>
      </c>
      <c r="P383" s="203">
        <v>38</v>
      </c>
      <c r="Q383" s="204">
        <v>35792</v>
      </c>
      <c r="R383" s="204">
        <v>44740</v>
      </c>
      <c r="S383" s="203">
        <v>38</v>
      </c>
      <c r="T383" s="204">
        <v>33874</v>
      </c>
      <c r="U383" s="216">
        <v>44740</v>
      </c>
    </row>
    <row r="384" spans="1:21" ht="13.5" thickBot="1" x14ac:dyDescent="0.25">
      <c r="A384" s="2" t="s">
        <v>708</v>
      </c>
      <c r="B384" s="1" t="s">
        <v>707</v>
      </c>
      <c r="C384" s="214" t="s">
        <v>60</v>
      </c>
      <c r="D384" s="203">
        <v>38</v>
      </c>
      <c r="E384" s="204">
        <v>72979</v>
      </c>
      <c r="F384" s="204">
        <v>83962</v>
      </c>
      <c r="G384" s="203">
        <v>0</v>
      </c>
      <c r="H384" s="204">
        <v>0</v>
      </c>
      <c r="I384" s="204">
        <v>0</v>
      </c>
      <c r="J384" s="203">
        <v>38</v>
      </c>
      <c r="K384" s="204">
        <v>49256</v>
      </c>
      <c r="L384" s="204">
        <v>56615</v>
      </c>
      <c r="M384" s="205" t="s">
        <v>16</v>
      </c>
      <c r="N384" s="204">
        <v>49256</v>
      </c>
      <c r="O384" s="204">
        <v>56615</v>
      </c>
      <c r="P384" s="203">
        <v>0</v>
      </c>
      <c r="Q384" s="204">
        <v>0</v>
      </c>
      <c r="R384" s="204">
        <v>0</v>
      </c>
      <c r="S384" s="203">
        <v>38</v>
      </c>
      <c r="T384" s="204">
        <v>35212</v>
      </c>
      <c r="U384" s="216">
        <v>40473</v>
      </c>
    </row>
    <row r="385" spans="1:21" ht="13.5" thickBot="1" x14ac:dyDescent="0.25">
      <c r="A385" s="2" t="s">
        <v>720</v>
      </c>
      <c r="B385" s="1" t="s">
        <v>719</v>
      </c>
      <c r="C385" s="214" t="s">
        <v>60</v>
      </c>
      <c r="D385" s="203">
        <v>40</v>
      </c>
      <c r="E385" s="204">
        <v>62396</v>
      </c>
      <c r="F385" s="204">
        <v>76800</v>
      </c>
      <c r="G385" s="203">
        <v>40</v>
      </c>
      <c r="H385" s="204">
        <v>57264</v>
      </c>
      <c r="I385" s="204">
        <v>70483</v>
      </c>
      <c r="J385" s="203">
        <v>40</v>
      </c>
      <c r="K385" s="204">
        <v>48739</v>
      </c>
      <c r="L385" s="204">
        <v>59900</v>
      </c>
      <c r="M385" s="203">
        <v>40</v>
      </c>
      <c r="N385" s="204">
        <v>42252</v>
      </c>
      <c r="O385" s="204">
        <v>52007</v>
      </c>
      <c r="P385" s="203">
        <v>40</v>
      </c>
      <c r="Q385" s="204">
        <v>39613</v>
      </c>
      <c r="R385" s="204">
        <v>48757</v>
      </c>
      <c r="S385" s="203">
        <v>40</v>
      </c>
      <c r="T385" s="204">
        <v>33502</v>
      </c>
      <c r="U385" s="216">
        <v>43370</v>
      </c>
    </row>
    <row r="386" spans="1:21" ht="13.5" thickBot="1" x14ac:dyDescent="0.25">
      <c r="A386" s="2" t="s">
        <v>734</v>
      </c>
      <c r="B386" s="1" t="s">
        <v>733</v>
      </c>
      <c r="C386" s="214" t="s">
        <v>60</v>
      </c>
      <c r="D386" s="205" t="s">
        <v>16</v>
      </c>
      <c r="E386" s="205" t="s">
        <v>16</v>
      </c>
      <c r="F386" s="205" t="s">
        <v>16</v>
      </c>
      <c r="G386" s="203">
        <v>38</v>
      </c>
      <c r="H386" s="204">
        <v>61877</v>
      </c>
      <c r="I386" s="204">
        <v>70194</v>
      </c>
      <c r="J386" s="203">
        <v>38</v>
      </c>
      <c r="K386" s="204">
        <v>52034</v>
      </c>
      <c r="L386" s="204">
        <v>64935</v>
      </c>
      <c r="M386" s="203">
        <v>20</v>
      </c>
      <c r="N386" s="204">
        <v>24667</v>
      </c>
      <c r="O386" s="204">
        <v>27705</v>
      </c>
      <c r="P386" s="205" t="s">
        <v>16</v>
      </c>
      <c r="Q386" s="205" t="s">
        <v>16</v>
      </c>
      <c r="R386" s="205" t="s">
        <v>16</v>
      </c>
      <c r="S386" s="203">
        <v>20</v>
      </c>
      <c r="T386" s="204">
        <v>16300</v>
      </c>
      <c r="U386" s="216">
        <v>19331</v>
      </c>
    </row>
    <row r="387" spans="1:21" ht="13.5" thickBot="1" x14ac:dyDescent="0.25">
      <c r="A387" s="2" t="s">
        <v>751</v>
      </c>
      <c r="B387" s="1" t="s">
        <v>750</v>
      </c>
      <c r="C387" s="214" t="s">
        <v>60</v>
      </c>
      <c r="D387" s="203">
        <v>40</v>
      </c>
      <c r="E387" s="204">
        <v>55</v>
      </c>
      <c r="F387" s="204">
        <v>60</v>
      </c>
      <c r="G387" s="203">
        <v>40</v>
      </c>
      <c r="H387" s="204">
        <v>51001</v>
      </c>
      <c r="I387" s="204">
        <v>56097</v>
      </c>
      <c r="J387" s="205" t="s">
        <v>16</v>
      </c>
      <c r="K387" s="205" t="s">
        <v>16</v>
      </c>
      <c r="L387" s="205" t="s">
        <v>16</v>
      </c>
      <c r="M387" s="205" t="s">
        <v>16</v>
      </c>
      <c r="N387" s="205" t="s">
        <v>16</v>
      </c>
      <c r="O387" s="205" t="s">
        <v>16</v>
      </c>
      <c r="P387" s="205" t="s">
        <v>16</v>
      </c>
      <c r="Q387" s="205" t="s">
        <v>16</v>
      </c>
      <c r="R387" s="205" t="s">
        <v>16</v>
      </c>
      <c r="S387" s="203">
        <v>25</v>
      </c>
      <c r="T387" s="204">
        <v>14300</v>
      </c>
      <c r="U387" s="216">
        <v>17875</v>
      </c>
    </row>
    <row r="388" spans="1:21" ht="13.5" thickBot="1" x14ac:dyDescent="0.25">
      <c r="A388" s="2" t="s">
        <v>777</v>
      </c>
      <c r="B388" s="1" t="s">
        <v>776</v>
      </c>
      <c r="C388" s="214" t="s">
        <v>60</v>
      </c>
      <c r="D388" s="203">
        <v>40</v>
      </c>
      <c r="E388" s="204">
        <v>70000</v>
      </c>
      <c r="F388" s="204">
        <v>78290</v>
      </c>
      <c r="G388" s="203">
        <v>40</v>
      </c>
      <c r="H388" s="204">
        <v>42266</v>
      </c>
      <c r="I388" s="204">
        <v>57680</v>
      </c>
      <c r="J388" s="203">
        <v>40</v>
      </c>
      <c r="K388" s="204">
        <v>43555</v>
      </c>
      <c r="L388" s="204">
        <v>57387</v>
      </c>
      <c r="M388" s="203">
        <v>40</v>
      </c>
      <c r="N388" s="204">
        <v>35360</v>
      </c>
      <c r="O388" s="204">
        <v>55640</v>
      </c>
      <c r="P388" s="203">
        <v>40</v>
      </c>
      <c r="Q388" s="204">
        <v>42266</v>
      </c>
      <c r="R388" s="204">
        <v>57387</v>
      </c>
      <c r="S388" s="203">
        <v>40</v>
      </c>
      <c r="T388" s="204">
        <v>31346</v>
      </c>
      <c r="U388" s="216">
        <v>49971</v>
      </c>
    </row>
    <row r="389" spans="1:21" ht="13.5" thickBot="1" x14ac:dyDescent="0.25">
      <c r="A389" s="2" t="s">
        <v>779</v>
      </c>
      <c r="B389" s="1" t="s">
        <v>778</v>
      </c>
      <c r="C389" s="214" t="s">
        <v>60</v>
      </c>
      <c r="D389" s="203">
        <v>40</v>
      </c>
      <c r="E389" s="204">
        <v>48494</v>
      </c>
      <c r="F389" s="204">
        <v>56731</v>
      </c>
      <c r="G389" s="205" t="s">
        <v>16</v>
      </c>
      <c r="H389" s="205" t="s">
        <v>16</v>
      </c>
      <c r="I389" s="205" t="s">
        <v>16</v>
      </c>
      <c r="J389" s="203">
        <v>40</v>
      </c>
      <c r="K389" s="204">
        <v>40411</v>
      </c>
      <c r="L389" s="204">
        <v>47276</v>
      </c>
      <c r="M389" s="203">
        <v>40</v>
      </c>
      <c r="N389" s="204">
        <v>36654</v>
      </c>
      <c r="O389" s="204">
        <v>42880</v>
      </c>
      <c r="P389" s="205" t="s">
        <v>16</v>
      </c>
      <c r="Q389" s="205" t="s">
        <v>16</v>
      </c>
      <c r="R389" s="205" t="s">
        <v>16</v>
      </c>
      <c r="S389" s="203">
        <v>29</v>
      </c>
      <c r="T389" s="204">
        <v>18096</v>
      </c>
      <c r="U389" s="216">
        <v>19604</v>
      </c>
    </row>
    <row r="390" spans="1:21" ht="13.5" thickBot="1" x14ac:dyDescent="0.25">
      <c r="A390" s="2" t="s">
        <v>781</v>
      </c>
      <c r="B390" s="1" t="s">
        <v>780</v>
      </c>
      <c r="C390" s="214" t="s">
        <v>60</v>
      </c>
      <c r="D390" s="203">
        <v>40</v>
      </c>
      <c r="E390" s="204">
        <v>57633</v>
      </c>
      <c r="F390" s="204">
        <v>86448</v>
      </c>
      <c r="G390" s="203">
        <v>40</v>
      </c>
      <c r="H390" s="204">
        <v>48439</v>
      </c>
      <c r="I390" s="204">
        <v>72660</v>
      </c>
      <c r="J390" s="203">
        <v>40</v>
      </c>
      <c r="K390" s="204">
        <v>41247</v>
      </c>
      <c r="L390" s="204">
        <v>61868</v>
      </c>
      <c r="M390" s="203">
        <v>20</v>
      </c>
      <c r="N390" s="204">
        <v>19240</v>
      </c>
      <c r="O390" s="204">
        <v>25480</v>
      </c>
      <c r="P390" s="203">
        <v>20</v>
      </c>
      <c r="Q390" s="204">
        <v>11960</v>
      </c>
      <c r="R390" s="204">
        <v>17160</v>
      </c>
      <c r="S390" s="203">
        <v>20</v>
      </c>
      <c r="T390" s="204">
        <v>11960</v>
      </c>
      <c r="U390" s="216">
        <v>17160</v>
      </c>
    </row>
    <row r="391" spans="1:21" ht="13.5" thickBot="1" x14ac:dyDescent="0.25">
      <c r="A391" s="2" t="s">
        <v>805</v>
      </c>
      <c r="B391" s="1" t="s">
        <v>804</v>
      </c>
      <c r="C391" s="214" t="s">
        <v>60</v>
      </c>
      <c r="D391" s="203">
        <v>0</v>
      </c>
      <c r="E391" s="204">
        <v>0</v>
      </c>
      <c r="F391" s="204">
        <v>0</v>
      </c>
      <c r="G391" s="203">
        <v>38</v>
      </c>
      <c r="H391" s="204">
        <v>74744</v>
      </c>
      <c r="I391" s="204">
        <v>80848</v>
      </c>
      <c r="J391" s="203">
        <v>38</v>
      </c>
      <c r="K391" s="204">
        <v>59934</v>
      </c>
      <c r="L391" s="204">
        <v>65321</v>
      </c>
      <c r="M391" s="203">
        <v>38</v>
      </c>
      <c r="N391" s="204">
        <v>51271</v>
      </c>
      <c r="O391" s="204">
        <v>55804</v>
      </c>
      <c r="P391" s="203">
        <v>0</v>
      </c>
      <c r="Q391" s="204">
        <v>0</v>
      </c>
      <c r="R391" s="204">
        <v>0</v>
      </c>
      <c r="S391" s="203">
        <v>38</v>
      </c>
      <c r="T391" s="204">
        <v>31614</v>
      </c>
      <c r="U391" s="216">
        <v>37850</v>
      </c>
    </row>
    <row r="392" spans="1:21" ht="13.5" thickBot="1" x14ac:dyDescent="0.25">
      <c r="A392" s="2" t="s">
        <v>807</v>
      </c>
      <c r="B392" s="1" t="s">
        <v>806</v>
      </c>
      <c r="C392" s="214" t="s">
        <v>60</v>
      </c>
      <c r="D392" s="205" t="s">
        <v>16</v>
      </c>
      <c r="E392" s="205" t="s">
        <v>16</v>
      </c>
      <c r="F392" s="205" t="s">
        <v>16</v>
      </c>
      <c r="G392" s="203">
        <v>40</v>
      </c>
      <c r="H392" s="204">
        <v>45661</v>
      </c>
      <c r="I392" s="204">
        <v>53712</v>
      </c>
      <c r="J392" s="205" t="s">
        <v>16</v>
      </c>
      <c r="K392" s="205" t="s">
        <v>16</v>
      </c>
      <c r="L392" s="205" t="s">
        <v>16</v>
      </c>
      <c r="M392" s="203">
        <v>40</v>
      </c>
      <c r="N392" s="204">
        <v>38217</v>
      </c>
      <c r="O392" s="204">
        <v>44947</v>
      </c>
      <c r="P392" s="203">
        <v>40</v>
      </c>
      <c r="Q392" s="204">
        <v>50741</v>
      </c>
      <c r="R392" s="204">
        <v>59699</v>
      </c>
      <c r="S392" s="205" t="s">
        <v>16</v>
      </c>
      <c r="T392" s="205" t="s">
        <v>16</v>
      </c>
      <c r="U392" s="215" t="s">
        <v>16</v>
      </c>
    </row>
    <row r="393" spans="1:21" ht="13.5" thickBot="1" x14ac:dyDescent="0.25">
      <c r="A393" s="2" t="s">
        <v>815</v>
      </c>
      <c r="B393" s="1" t="s">
        <v>814</v>
      </c>
      <c r="C393" s="214" t="s">
        <v>60</v>
      </c>
      <c r="D393" s="205" t="s">
        <v>16</v>
      </c>
      <c r="E393" s="205" t="s">
        <v>16</v>
      </c>
      <c r="F393" s="205" t="s">
        <v>16</v>
      </c>
      <c r="G393" s="203">
        <v>35</v>
      </c>
      <c r="H393" s="204">
        <v>52699</v>
      </c>
      <c r="I393" s="204">
        <v>75136</v>
      </c>
      <c r="J393" s="203">
        <v>35</v>
      </c>
      <c r="K393" s="204">
        <v>42850</v>
      </c>
      <c r="L393" s="204">
        <v>61094</v>
      </c>
      <c r="M393" s="203">
        <v>35</v>
      </c>
      <c r="N393" s="204">
        <v>38760</v>
      </c>
      <c r="O393" s="204">
        <v>55262</v>
      </c>
      <c r="P393" s="203">
        <v>35</v>
      </c>
      <c r="Q393" s="204">
        <v>37022</v>
      </c>
      <c r="R393" s="204">
        <v>52785</v>
      </c>
      <c r="S393" s="203">
        <v>24</v>
      </c>
      <c r="T393" s="204">
        <v>14726</v>
      </c>
      <c r="U393" s="216">
        <v>21004</v>
      </c>
    </row>
    <row r="394" spans="1:21" ht="13.5" thickBot="1" x14ac:dyDescent="0.25">
      <c r="A394" s="2" t="s">
        <v>835</v>
      </c>
      <c r="B394" s="1" t="s">
        <v>834</v>
      </c>
      <c r="C394" s="214" t="s">
        <v>60</v>
      </c>
      <c r="D394" s="203">
        <v>40</v>
      </c>
      <c r="E394" s="204">
        <v>87108</v>
      </c>
      <c r="F394" s="204">
        <v>87108</v>
      </c>
      <c r="G394" s="203">
        <v>40</v>
      </c>
      <c r="H394" s="204">
        <v>49972</v>
      </c>
      <c r="I394" s="204">
        <v>82959</v>
      </c>
      <c r="J394" s="203">
        <v>40</v>
      </c>
      <c r="K394" s="204">
        <v>48972</v>
      </c>
      <c r="L394" s="204">
        <v>81959</v>
      </c>
      <c r="M394" s="203">
        <v>40</v>
      </c>
      <c r="N394" s="204">
        <v>48972</v>
      </c>
      <c r="O394" s="204">
        <v>81959</v>
      </c>
      <c r="P394" s="203">
        <v>40</v>
      </c>
      <c r="Q394" s="204">
        <v>48972</v>
      </c>
      <c r="R394" s="204">
        <v>81959</v>
      </c>
      <c r="S394" s="203">
        <v>30</v>
      </c>
      <c r="T394" s="204">
        <v>27436</v>
      </c>
      <c r="U394" s="216">
        <v>44996</v>
      </c>
    </row>
    <row r="395" spans="1:21" ht="13.5" thickBot="1" x14ac:dyDescent="0.25">
      <c r="A395" s="2" t="s">
        <v>837</v>
      </c>
      <c r="B395" s="1" t="s">
        <v>836</v>
      </c>
      <c r="C395" s="214" t="s">
        <v>60</v>
      </c>
      <c r="D395" s="205" t="s">
        <v>16</v>
      </c>
      <c r="E395" s="205" t="s">
        <v>16</v>
      </c>
      <c r="F395" s="205" t="s">
        <v>16</v>
      </c>
      <c r="G395" s="205" t="s">
        <v>16</v>
      </c>
      <c r="H395" s="204">
        <v>45000</v>
      </c>
      <c r="I395" s="204">
        <v>58000</v>
      </c>
      <c r="J395" s="203">
        <v>40</v>
      </c>
      <c r="K395" s="204">
        <v>40000</v>
      </c>
      <c r="L395" s="204">
        <v>50000</v>
      </c>
      <c r="M395" s="205" t="s">
        <v>16</v>
      </c>
      <c r="N395" s="205" t="s">
        <v>16</v>
      </c>
      <c r="O395" s="205" t="s">
        <v>16</v>
      </c>
      <c r="P395" s="203">
        <v>40</v>
      </c>
      <c r="Q395" s="204">
        <v>35000</v>
      </c>
      <c r="R395" s="204">
        <v>45000</v>
      </c>
      <c r="S395" s="203">
        <v>37</v>
      </c>
      <c r="T395" s="204">
        <v>19000</v>
      </c>
      <c r="U395" s="216">
        <v>36000</v>
      </c>
    </row>
    <row r="396" spans="1:21" ht="13.5" thickBot="1" x14ac:dyDescent="0.25">
      <c r="A396" s="2" t="s">
        <v>843</v>
      </c>
      <c r="B396" s="1" t="s">
        <v>842</v>
      </c>
      <c r="C396" s="218" t="s">
        <v>60</v>
      </c>
      <c r="D396" s="219">
        <v>40</v>
      </c>
      <c r="E396" s="220">
        <v>58473</v>
      </c>
      <c r="F396" s="220">
        <v>80108</v>
      </c>
      <c r="G396" s="219">
        <v>40</v>
      </c>
      <c r="H396" s="220">
        <v>52000</v>
      </c>
      <c r="I396" s="220">
        <v>70000</v>
      </c>
      <c r="J396" s="219">
        <v>40</v>
      </c>
      <c r="K396" s="220">
        <v>38757</v>
      </c>
      <c r="L396" s="220">
        <v>50576</v>
      </c>
      <c r="M396" s="219">
        <v>40</v>
      </c>
      <c r="N396" s="220">
        <v>38757</v>
      </c>
      <c r="O396" s="220">
        <v>50576</v>
      </c>
      <c r="P396" s="219">
        <v>40</v>
      </c>
      <c r="Q396" s="220">
        <v>32000</v>
      </c>
      <c r="R396" s="220">
        <v>43000</v>
      </c>
      <c r="S396" s="219">
        <v>40</v>
      </c>
      <c r="T396" s="220">
        <v>25791</v>
      </c>
      <c r="U396" s="221">
        <v>33665</v>
      </c>
    </row>
    <row r="397" spans="1:21" ht="18.75" thickBot="1" x14ac:dyDescent="0.3">
      <c r="B397" s="222" t="s">
        <v>2623</v>
      </c>
      <c r="C397" s="163">
        <f>SUBTOTAL(103,Table12[Library Class])</f>
        <v>393</v>
      </c>
    </row>
  </sheetData>
  <sortState xmlns:xlrd2="http://schemas.microsoft.com/office/spreadsheetml/2017/richdata2" ref="A4:U396">
    <sortCondition ref="C4:C396"/>
    <sortCondition ref="B4:B396"/>
  </sortState>
  <hyperlinks>
    <hyperlink ref="G1" location="'Table of Contents'!A1" display="Return to Table of Contents" xr:uid="{236EA018-9DD8-4C49-8F74-5A026252CB16}"/>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568D2"/>
  </sheetPr>
  <dimension ref="A1:B1452"/>
  <sheetViews>
    <sheetView zoomScale="112" zoomScaleNormal="112" workbookViewId="0">
      <selection activeCell="B25" sqref="B25"/>
    </sheetView>
  </sheetViews>
  <sheetFormatPr defaultRowHeight="12.75" x14ac:dyDescent="0.2"/>
  <cols>
    <col min="1" max="1" width="55.28515625" bestFit="1" customWidth="1"/>
    <col min="2" max="2" width="150.28515625" bestFit="1" customWidth="1"/>
  </cols>
  <sheetData>
    <row r="1" spans="2:2" ht="18.75" x14ac:dyDescent="0.3">
      <c r="B1" s="8" t="s">
        <v>1844</v>
      </c>
    </row>
    <row r="22" spans="1:2" ht="22.15" customHeight="1" thickBot="1" x14ac:dyDescent="0.25"/>
    <row r="23" spans="1:2" ht="13.5" thickBot="1" x14ac:dyDescent="0.25">
      <c r="A23" s="9" t="s">
        <v>1845</v>
      </c>
      <c r="B23" s="9" t="s">
        <v>1846</v>
      </c>
    </row>
    <row r="24" spans="1:2" ht="32.450000000000003" customHeight="1" thickBot="1" x14ac:dyDescent="0.25">
      <c r="A24" s="10" t="s">
        <v>1847</v>
      </c>
      <c r="B24" s="11"/>
    </row>
    <row r="25" spans="1:2" ht="64.900000000000006" customHeight="1" thickBot="1" x14ac:dyDescent="0.25">
      <c r="A25" s="12" t="s">
        <v>1848</v>
      </c>
      <c r="B25" s="13"/>
    </row>
    <row r="26" spans="1:2" x14ac:dyDescent="0.2">
      <c r="A26" s="14" t="s">
        <v>1849</v>
      </c>
      <c r="B26" s="15"/>
    </row>
    <row r="27" spans="1:2" ht="39" thickBot="1" x14ac:dyDescent="0.25">
      <c r="A27" s="16"/>
      <c r="B27" s="17" t="s">
        <v>3579</v>
      </c>
    </row>
    <row r="28" spans="1:2" x14ac:dyDescent="0.2">
      <c r="A28" s="14" t="s">
        <v>1850</v>
      </c>
      <c r="B28" s="15"/>
    </row>
    <row r="29" spans="1:2" ht="39" thickBot="1" x14ac:dyDescent="0.25">
      <c r="A29" s="16"/>
      <c r="B29" s="17" t="s">
        <v>3579</v>
      </c>
    </row>
    <row r="30" spans="1:2" ht="13.5" thickBot="1" x14ac:dyDescent="0.25">
      <c r="A30" s="18" t="s">
        <v>1851</v>
      </c>
      <c r="B30" s="18"/>
    </row>
    <row r="31" spans="1:2" ht="13.5" thickBot="1" x14ac:dyDescent="0.25">
      <c r="A31" s="18" t="s">
        <v>1852</v>
      </c>
      <c r="B31" s="19" t="s">
        <v>1853</v>
      </c>
    </row>
    <row r="32" spans="1:2" x14ac:dyDescent="0.2">
      <c r="A32" s="14" t="s">
        <v>1854</v>
      </c>
      <c r="B32" s="14"/>
    </row>
    <row r="33" spans="1:2" ht="13.5" thickBot="1" x14ac:dyDescent="0.25">
      <c r="A33" s="16"/>
      <c r="B33" s="16"/>
    </row>
    <row r="34" spans="1:2" x14ac:dyDescent="0.2">
      <c r="A34" s="14" t="s">
        <v>1855</v>
      </c>
      <c r="B34" s="20" t="s">
        <v>1856</v>
      </c>
    </row>
    <row r="35" spans="1:2" ht="13.5" thickBot="1" x14ac:dyDescent="0.25">
      <c r="A35" s="16"/>
      <c r="B35" s="17"/>
    </row>
    <row r="36" spans="1:2" x14ac:dyDescent="0.2">
      <c r="A36" s="14" t="s">
        <v>1857</v>
      </c>
      <c r="B36" s="20" t="s">
        <v>1858</v>
      </c>
    </row>
    <row r="37" spans="1:2" ht="13.5" thickBot="1" x14ac:dyDescent="0.25">
      <c r="A37" s="16"/>
      <c r="B37" s="17"/>
    </row>
    <row r="38" spans="1:2" x14ac:dyDescent="0.2">
      <c r="A38" s="14" t="s">
        <v>1859</v>
      </c>
      <c r="B38" s="20" t="s">
        <v>1860</v>
      </c>
    </row>
    <row r="39" spans="1:2" ht="13.5" thickBot="1" x14ac:dyDescent="0.25">
      <c r="A39" s="16"/>
      <c r="B39" s="17"/>
    </row>
    <row r="40" spans="1:2" x14ac:dyDescent="0.2">
      <c r="A40" s="14" t="s">
        <v>1861</v>
      </c>
      <c r="B40" s="20" t="s">
        <v>1862</v>
      </c>
    </row>
    <row r="41" spans="1:2" ht="13.5" thickBot="1" x14ac:dyDescent="0.25">
      <c r="A41" s="16"/>
      <c r="B41" s="17"/>
    </row>
    <row r="42" spans="1:2" x14ac:dyDescent="0.2">
      <c r="A42" s="14" t="s">
        <v>1863</v>
      </c>
      <c r="B42" s="20" t="s">
        <v>1864</v>
      </c>
    </row>
    <row r="43" spans="1:2" ht="13.5" thickBot="1" x14ac:dyDescent="0.25">
      <c r="A43" s="16"/>
      <c r="B43" s="17"/>
    </row>
    <row r="44" spans="1:2" x14ac:dyDescent="0.2">
      <c r="A44" s="14" t="s">
        <v>1865</v>
      </c>
      <c r="B44" s="20" t="s">
        <v>1866</v>
      </c>
    </row>
    <row r="45" spans="1:2" ht="13.5" thickBot="1" x14ac:dyDescent="0.25">
      <c r="A45" s="16"/>
      <c r="B45" s="17"/>
    </row>
    <row r="46" spans="1:2" x14ac:dyDescent="0.2">
      <c r="A46" s="14" t="s">
        <v>1867</v>
      </c>
      <c r="B46" s="20" t="s">
        <v>1868</v>
      </c>
    </row>
    <row r="47" spans="1:2" ht="13.5" thickBot="1" x14ac:dyDescent="0.25">
      <c r="A47" s="16"/>
      <c r="B47" s="17"/>
    </row>
    <row r="48" spans="1:2" x14ac:dyDescent="0.2">
      <c r="A48" s="14" t="s">
        <v>1869</v>
      </c>
      <c r="B48" s="20" t="s">
        <v>1870</v>
      </c>
    </row>
    <row r="49" spans="1:2" ht="13.5" thickBot="1" x14ac:dyDescent="0.25">
      <c r="A49" s="16"/>
      <c r="B49" s="17"/>
    </row>
    <row r="50" spans="1:2" ht="13.15" customHeight="1" x14ac:dyDescent="0.2">
      <c r="A50" s="14" t="s">
        <v>1871</v>
      </c>
      <c r="B50" s="20" t="s">
        <v>1872</v>
      </c>
    </row>
    <row r="51" spans="1:2" ht="13.5" thickBot="1" x14ac:dyDescent="0.25">
      <c r="A51" s="16"/>
      <c r="B51" s="17"/>
    </row>
    <row r="52" spans="1:2" x14ac:dyDescent="0.2">
      <c r="A52" s="14" t="s">
        <v>1873</v>
      </c>
      <c r="B52" s="20" t="s">
        <v>1874</v>
      </c>
    </row>
    <row r="53" spans="1:2" ht="13.5" thickBot="1" x14ac:dyDescent="0.25">
      <c r="A53" s="16"/>
      <c r="B53" s="17"/>
    </row>
    <row r="54" spans="1:2" x14ac:dyDescent="0.2">
      <c r="A54" s="14" t="s">
        <v>1875</v>
      </c>
      <c r="B54" s="20" t="s">
        <v>1876</v>
      </c>
    </row>
    <row r="55" spans="1:2" ht="13.5" thickBot="1" x14ac:dyDescent="0.25">
      <c r="A55" s="16"/>
      <c r="B55" s="17"/>
    </row>
    <row r="56" spans="1:2" ht="13.15" customHeight="1" x14ac:dyDescent="0.2">
      <c r="A56" s="14" t="s">
        <v>1877</v>
      </c>
      <c r="B56" s="20" t="s">
        <v>1878</v>
      </c>
    </row>
    <row r="57" spans="1:2" ht="13.5" thickBot="1" x14ac:dyDescent="0.25">
      <c r="A57" s="16"/>
      <c r="B57" s="17"/>
    </row>
    <row r="58" spans="1:2" x14ac:dyDescent="0.2">
      <c r="A58" s="14" t="s">
        <v>1879</v>
      </c>
      <c r="B58" s="20" t="s">
        <v>1880</v>
      </c>
    </row>
    <row r="59" spans="1:2" ht="13.5" thickBot="1" x14ac:dyDescent="0.25">
      <c r="A59" s="16"/>
      <c r="B59" s="17"/>
    </row>
    <row r="60" spans="1:2" x14ac:dyDescent="0.2">
      <c r="A60" s="14" t="s">
        <v>1881</v>
      </c>
      <c r="B60" s="15" t="s">
        <v>1882</v>
      </c>
    </row>
    <row r="61" spans="1:2" ht="13.5" thickBot="1" x14ac:dyDescent="0.25">
      <c r="A61" s="16"/>
      <c r="B61" s="17" t="s">
        <v>1883</v>
      </c>
    </row>
    <row r="62" spans="1:2" x14ac:dyDescent="0.2">
      <c r="A62" s="14" t="s">
        <v>1884</v>
      </c>
      <c r="B62" s="20" t="s">
        <v>1885</v>
      </c>
    </row>
    <row r="63" spans="1:2" ht="13.5" thickBot="1" x14ac:dyDescent="0.25">
      <c r="A63" s="16"/>
      <c r="B63" s="17"/>
    </row>
    <row r="64" spans="1:2" x14ac:dyDescent="0.2">
      <c r="A64" s="14" t="s">
        <v>1886</v>
      </c>
      <c r="B64" s="15" t="s">
        <v>1887</v>
      </c>
    </row>
    <row r="65" spans="1:2" ht="13.5" thickBot="1" x14ac:dyDescent="0.25">
      <c r="A65" s="16"/>
      <c r="B65" s="17" t="s">
        <v>1888</v>
      </c>
    </row>
    <row r="66" spans="1:2" x14ac:dyDescent="0.2">
      <c r="A66" s="14" t="s">
        <v>1889</v>
      </c>
      <c r="B66" s="14"/>
    </row>
    <row r="67" spans="1:2" ht="13.5" thickBot="1" x14ac:dyDescent="0.25">
      <c r="A67" s="16"/>
      <c r="B67" s="16"/>
    </row>
    <row r="68" spans="1:2" ht="90" thickBot="1" x14ac:dyDescent="0.25">
      <c r="A68" s="18" t="s">
        <v>1890</v>
      </c>
      <c r="B68" s="19" t="s">
        <v>1891</v>
      </c>
    </row>
    <row r="69" spans="1:2" x14ac:dyDescent="0.2">
      <c r="A69" s="14" t="s">
        <v>1892</v>
      </c>
      <c r="B69" s="20" t="s">
        <v>1893</v>
      </c>
    </row>
    <row r="70" spans="1:2" ht="13.5" thickBot="1" x14ac:dyDescent="0.25">
      <c r="A70" s="16"/>
      <c r="B70" s="17"/>
    </row>
    <row r="71" spans="1:2" x14ac:dyDescent="0.2">
      <c r="A71" s="14" t="s">
        <v>1894</v>
      </c>
      <c r="B71" s="20" t="s">
        <v>1895</v>
      </c>
    </row>
    <row r="72" spans="1:2" ht="13.5" thickBot="1" x14ac:dyDescent="0.25">
      <c r="A72" s="16"/>
      <c r="B72" s="17"/>
    </row>
    <row r="73" spans="1:2" ht="13.5" thickBot="1" x14ac:dyDescent="0.25">
      <c r="A73" s="18" t="s">
        <v>1896</v>
      </c>
      <c r="B73" s="18"/>
    </row>
    <row r="74" spans="1:2" x14ac:dyDescent="0.2">
      <c r="A74" s="14" t="s">
        <v>1897</v>
      </c>
      <c r="B74" s="20" t="s">
        <v>1898</v>
      </c>
    </row>
    <row r="75" spans="1:2" ht="13.5" thickBot="1" x14ac:dyDescent="0.25">
      <c r="A75" s="16"/>
      <c r="B75" s="17"/>
    </row>
    <row r="76" spans="1:2" ht="16.5" thickBot="1" x14ac:dyDescent="0.25">
      <c r="A76" s="21" t="s">
        <v>1899</v>
      </c>
      <c r="B76" s="22"/>
    </row>
    <row r="77" spans="1:2" ht="99.75" thickBot="1" x14ac:dyDescent="0.25">
      <c r="A77" s="23" t="s">
        <v>1900</v>
      </c>
      <c r="B77" s="24"/>
    </row>
    <row r="78" spans="1:2" ht="26.25" thickBot="1" x14ac:dyDescent="0.25">
      <c r="A78" s="18" t="s">
        <v>1901</v>
      </c>
      <c r="B78" s="18"/>
    </row>
    <row r="79" spans="1:2" ht="13.5" thickBot="1" x14ac:dyDescent="0.25">
      <c r="A79" s="18" t="s">
        <v>1902</v>
      </c>
      <c r="B79" s="18"/>
    </row>
    <row r="80" spans="1:2" ht="26.25" thickBot="1" x14ac:dyDescent="0.25">
      <c r="A80" s="18" t="s">
        <v>1903</v>
      </c>
      <c r="B80" s="18"/>
    </row>
    <row r="81" spans="1:2" ht="26.25" thickBot="1" x14ac:dyDescent="0.25">
      <c r="A81" s="18" t="s">
        <v>1904</v>
      </c>
      <c r="B81" s="18"/>
    </row>
    <row r="82" spans="1:2" ht="13.5" thickBot="1" x14ac:dyDescent="0.25">
      <c r="A82" s="18" t="s">
        <v>1905</v>
      </c>
      <c r="B82" s="18"/>
    </row>
    <row r="83" spans="1:2" ht="13.5" thickBot="1" x14ac:dyDescent="0.25">
      <c r="A83" s="18" t="s">
        <v>1906</v>
      </c>
      <c r="B83" s="18"/>
    </row>
    <row r="84" spans="1:2" ht="13.15" customHeight="1" x14ac:dyDescent="0.2">
      <c r="A84" s="14" t="s">
        <v>1907</v>
      </c>
      <c r="B84" s="20" t="s">
        <v>1908</v>
      </c>
    </row>
    <row r="85" spans="1:2" x14ac:dyDescent="0.2">
      <c r="A85" s="25"/>
      <c r="B85" s="26"/>
    </row>
    <row r="86" spans="1:2" ht="38.25" x14ac:dyDescent="0.2">
      <c r="A86" s="25"/>
      <c r="B86" s="27" t="s">
        <v>1909</v>
      </c>
    </row>
    <row r="87" spans="1:2" ht="13.5" thickBot="1" x14ac:dyDescent="0.25">
      <c r="A87" s="16"/>
      <c r="B87" s="28"/>
    </row>
    <row r="88" spans="1:2" ht="15.75" thickBot="1" x14ac:dyDescent="0.25">
      <c r="A88" s="29" t="s">
        <v>1910</v>
      </c>
      <c r="B88" s="30"/>
    </row>
    <row r="89" spans="1:2" ht="16.5" thickBot="1" x14ac:dyDescent="0.25">
      <c r="A89" s="21" t="s">
        <v>1911</v>
      </c>
      <c r="B89" s="22"/>
    </row>
    <row r="90" spans="1:2" ht="13.5" thickBot="1" x14ac:dyDescent="0.25">
      <c r="A90" s="18" t="s">
        <v>1912</v>
      </c>
      <c r="B90" s="31" t="s">
        <v>1913</v>
      </c>
    </row>
    <row r="91" spans="1:2" ht="13.5" thickBot="1" x14ac:dyDescent="0.25">
      <c r="A91" s="18" t="s">
        <v>1914</v>
      </c>
      <c r="B91" s="18"/>
    </row>
    <row r="92" spans="1:2" ht="13.5" thickBot="1" x14ac:dyDescent="0.25">
      <c r="A92" s="18" t="s">
        <v>1915</v>
      </c>
      <c r="B92" s="18"/>
    </row>
    <row r="93" spans="1:2" ht="16.5" thickBot="1" x14ac:dyDescent="0.25">
      <c r="A93" s="21" t="s">
        <v>1916</v>
      </c>
      <c r="B93" s="22"/>
    </row>
    <row r="94" spans="1:2" ht="13.5" thickBot="1" x14ac:dyDescent="0.25">
      <c r="A94" s="18" t="s">
        <v>1917</v>
      </c>
      <c r="B94" s="19" t="s">
        <v>1918</v>
      </c>
    </row>
    <row r="95" spans="1:2" ht="13.5" thickBot="1" x14ac:dyDescent="0.25">
      <c r="A95" s="18" t="s">
        <v>1135</v>
      </c>
      <c r="B95" s="19" t="s">
        <v>1919</v>
      </c>
    </row>
    <row r="96" spans="1:2" ht="13.5" thickBot="1" x14ac:dyDescent="0.25">
      <c r="A96" s="18" t="s">
        <v>1920</v>
      </c>
      <c r="B96" s="19" t="s">
        <v>1921</v>
      </c>
    </row>
    <row r="97" spans="1:2" ht="13.5" thickBot="1" x14ac:dyDescent="0.25">
      <c r="A97" s="18" t="s">
        <v>1124</v>
      </c>
      <c r="B97" s="19" t="s">
        <v>1922</v>
      </c>
    </row>
    <row r="98" spans="1:2" ht="16.5" thickBot="1" x14ac:dyDescent="0.25">
      <c r="A98" s="21" t="s">
        <v>1923</v>
      </c>
      <c r="B98" s="22"/>
    </row>
    <row r="99" spans="1:2" ht="13.5" thickBot="1" x14ac:dyDescent="0.25">
      <c r="A99" s="18" t="s">
        <v>1924</v>
      </c>
      <c r="B99" s="18"/>
    </row>
    <row r="100" spans="1:2" ht="13.5" thickBot="1" x14ac:dyDescent="0.25">
      <c r="A100" s="18" t="s">
        <v>1925</v>
      </c>
      <c r="B100" s="18"/>
    </row>
    <row r="101" spans="1:2" ht="13.5" thickBot="1" x14ac:dyDescent="0.25">
      <c r="A101" s="18" t="s">
        <v>1926</v>
      </c>
      <c r="B101" s="18"/>
    </row>
    <row r="102" spans="1:2" ht="16.5" thickBot="1" x14ac:dyDescent="0.25">
      <c r="A102" s="21" t="s">
        <v>1927</v>
      </c>
      <c r="B102" s="22"/>
    </row>
    <row r="103" spans="1:2" ht="13.5" thickBot="1" x14ac:dyDescent="0.25">
      <c r="A103" s="18" t="s">
        <v>1928</v>
      </c>
      <c r="B103" s="18"/>
    </row>
    <row r="104" spans="1:2" ht="13.5" thickBot="1" x14ac:dyDescent="0.25">
      <c r="A104" s="18" t="s">
        <v>7</v>
      </c>
      <c r="B104" s="18"/>
    </row>
    <row r="105" spans="1:2" ht="39" thickBot="1" x14ac:dyDescent="0.25">
      <c r="A105" s="18" t="s">
        <v>1929</v>
      </c>
      <c r="B105" s="19" t="s">
        <v>1930</v>
      </c>
    </row>
    <row r="106" spans="1:2" ht="77.25" thickBot="1" x14ac:dyDescent="0.25">
      <c r="A106" s="18" t="s">
        <v>1931</v>
      </c>
      <c r="B106" s="19" t="s">
        <v>1932</v>
      </c>
    </row>
    <row r="107" spans="1:2" ht="16.5" thickBot="1" x14ac:dyDescent="0.25">
      <c r="A107" s="21" t="s">
        <v>1933</v>
      </c>
      <c r="B107" s="22"/>
    </row>
    <row r="108" spans="1:2" ht="16.5" thickBot="1" x14ac:dyDescent="0.25">
      <c r="A108" s="21" t="s">
        <v>1933</v>
      </c>
      <c r="B108" s="22"/>
    </row>
    <row r="109" spans="1:2" ht="13.5" thickBot="1" x14ac:dyDescent="0.25">
      <c r="A109" s="18" t="s">
        <v>1934</v>
      </c>
      <c r="B109" s="31" t="s">
        <v>1935</v>
      </c>
    </row>
    <row r="110" spans="1:2" x14ac:dyDescent="0.2">
      <c r="A110" s="14" t="s">
        <v>1936</v>
      </c>
      <c r="B110" s="15" t="s">
        <v>1935</v>
      </c>
    </row>
    <row r="111" spans="1:2" ht="13.5" thickBot="1" x14ac:dyDescent="0.25">
      <c r="A111" s="16"/>
      <c r="B111" s="17" t="s">
        <v>1937</v>
      </c>
    </row>
    <row r="112" spans="1:2" x14ac:dyDescent="0.2">
      <c r="A112" s="14" t="s">
        <v>1938</v>
      </c>
      <c r="B112" s="15" t="s">
        <v>1935</v>
      </c>
    </row>
    <row r="113" spans="1:2" ht="13.5" thickBot="1" x14ac:dyDescent="0.25">
      <c r="A113" s="16"/>
      <c r="B113" s="17" t="s">
        <v>1939</v>
      </c>
    </row>
    <row r="114" spans="1:2" ht="16.5" thickBot="1" x14ac:dyDescent="0.25">
      <c r="A114" s="21" t="s">
        <v>1940</v>
      </c>
      <c r="B114" s="22"/>
    </row>
    <row r="115" spans="1:2" x14ac:dyDescent="0.2">
      <c r="A115" s="14" t="s">
        <v>1941</v>
      </c>
      <c r="B115" s="15" t="s">
        <v>1935</v>
      </c>
    </row>
    <row r="116" spans="1:2" ht="26.25" thickBot="1" x14ac:dyDescent="0.25">
      <c r="A116" s="16"/>
      <c r="B116" s="17" t="s">
        <v>1942</v>
      </c>
    </row>
    <row r="117" spans="1:2" ht="13.5" thickBot="1" x14ac:dyDescent="0.25">
      <c r="A117" s="18" t="s">
        <v>1943</v>
      </c>
      <c r="B117" s="31" t="s">
        <v>1935</v>
      </c>
    </row>
    <row r="118" spans="1:2" ht="31.15" customHeight="1" thickBot="1" x14ac:dyDescent="0.25">
      <c r="A118" s="21" t="s">
        <v>1944</v>
      </c>
      <c r="B118" s="22"/>
    </row>
    <row r="119" spans="1:2" ht="13.5" thickBot="1" x14ac:dyDescent="0.25">
      <c r="A119" s="18" t="s">
        <v>1945</v>
      </c>
      <c r="B119" s="18"/>
    </row>
    <row r="120" spans="1:2" ht="13.5" thickBot="1" x14ac:dyDescent="0.25">
      <c r="A120" s="18" t="s">
        <v>1946</v>
      </c>
      <c r="B120" s="18"/>
    </row>
    <row r="121" spans="1:2" ht="13.5" thickBot="1" x14ac:dyDescent="0.25">
      <c r="A121" s="18" t="s">
        <v>1947</v>
      </c>
      <c r="B121" s="18"/>
    </row>
    <row r="122" spans="1:2" ht="13.5" thickBot="1" x14ac:dyDescent="0.25">
      <c r="A122" s="18" t="s">
        <v>1948</v>
      </c>
      <c r="B122" s="18"/>
    </row>
    <row r="123" spans="1:2" ht="13.5" thickBot="1" x14ac:dyDescent="0.25">
      <c r="A123" s="18" t="s">
        <v>1949</v>
      </c>
      <c r="B123" s="18"/>
    </row>
    <row r="124" spans="1:2" ht="13.5" thickBot="1" x14ac:dyDescent="0.25">
      <c r="A124" s="18" t="s">
        <v>1950</v>
      </c>
      <c r="B124" s="18"/>
    </row>
    <row r="125" spans="1:2" ht="13.5" thickBot="1" x14ac:dyDescent="0.25">
      <c r="A125" s="18" t="s">
        <v>1951</v>
      </c>
      <c r="B125" s="18"/>
    </row>
    <row r="126" spans="1:2" ht="13.5" thickBot="1" x14ac:dyDescent="0.25">
      <c r="A126" s="18" t="s">
        <v>1952</v>
      </c>
      <c r="B126" s="18"/>
    </row>
    <row r="127" spans="1:2" ht="13.5" thickBot="1" x14ac:dyDescent="0.25">
      <c r="A127" s="18" t="s">
        <v>1953</v>
      </c>
      <c r="B127" s="18"/>
    </row>
    <row r="128" spans="1:2" ht="13.5" thickBot="1" x14ac:dyDescent="0.25">
      <c r="A128" s="18" t="s">
        <v>1954</v>
      </c>
      <c r="B128" s="18"/>
    </row>
    <row r="129" spans="1:2" ht="13.5" thickBot="1" x14ac:dyDescent="0.25">
      <c r="A129" s="18" t="s">
        <v>1955</v>
      </c>
      <c r="B129" s="18"/>
    </row>
    <row r="130" spans="1:2" ht="13.5" thickBot="1" x14ac:dyDescent="0.25">
      <c r="A130" s="18" t="s">
        <v>1956</v>
      </c>
      <c r="B130" s="18"/>
    </row>
    <row r="131" spans="1:2" ht="13.5" thickBot="1" x14ac:dyDescent="0.25">
      <c r="A131" s="18" t="s">
        <v>1957</v>
      </c>
      <c r="B131" s="18"/>
    </row>
    <row r="132" spans="1:2" ht="13.5" thickBot="1" x14ac:dyDescent="0.25">
      <c r="A132" s="18" t="s">
        <v>1958</v>
      </c>
      <c r="B132" s="18"/>
    </row>
    <row r="133" spans="1:2" ht="16.5" thickBot="1" x14ac:dyDescent="0.25">
      <c r="A133" s="21" t="s">
        <v>1959</v>
      </c>
      <c r="B133" s="22"/>
    </row>
    <row r="134" spans="1:2" ht="13.5" thickBot="1" x14ac:dyDescent="0.25">
      <c r="A134" s="18" t="s">
        <v>1960</v>
      </c>
      <c r="B134" s="31" t="s">
        <v>1935</v>
      </c>
    </row>
    <row r="135" spans="1:2" ht="13.5" thickBot="1" x14ac:dyDescent="0.25">
      <c r="A135" s="18" t="s">
        <v>1961</v>
      </c>
      <c r="B135" s="31" t="s">
        <v>1935</v>
      </c>
    </row>
    <row r="136" spans="1:2" ht="31.15" customHeight="1" thickBot="1" x14ac:dyDescent="0.25">
      <c r="A136" s="21" t="s">
        <v>1962</v>
      </c>
      <c r="B136" s="22"/>
    </row>
    <row r="137" spans="1:2" ht="13.5" thickBot="1" x14ac:dyDescent="0.25">
      <c r="A137" s="18" t="s">
        <v>1963</v>
      </c>
      <c r="B137" s="18"/>
    </row>
    <row r="138" spans="1:2" ht="13.5" thickBot="1" x14ac:dyDescent="0.25">
      <c r="A138" s="18" t="s">
        <v>1964</v>
      </c>
      <c r="B138" s="18"/>
    </row>
    <row r="139" spans="1:2" ht="13.5" thickBot="1" x14ac:dyDescent="0.25">
      <c r="A139" s="18" t="s">
        <v>1965</v>
      </c>
      <c r="B139" s="18"/>
    </row>
    <row r="140" spans="1:2" ht="13.5" thickBot="1" x14ac:dyDescent="0.25">
      <c r="A140" s="18" t="s">
        <v>1966</v>
      </c>
      <c r="B140" s="18"/>
    </row>
    <row r="141" spans="1:2" ht="13.5" thickBot="1" x14ac:dyDescent="0.25">
      <c r="A141" s="18" t="s">
        <v>1967</v>
      </c>
      <c r="B141" s="18"/>
    </row>
    <row r="142" spans="1:2" ht="13.5" thickBot="1" x14ac:dyDescent="0.25">
      <c r="A142" s="18" t="s">
        <v>1968</v>
      </c>
      <c r="B142" s="18"/>
    </row>
    <row r="143" spans="1:2" ht="13.5" thickBot="1" x14ac:dyDescent="0.25">
      <c r="A143" s="18" t="s">
        <v>1969</v>
      </c>
      <c r="B143" s="18"/>
    </row>
    <row r="144" spans="1:2" ht="13.5" thickBot="1" x14ac:dyDescent="0.25">
      <c r="A144" s="18" t="s">
        <v>1970</v>
      </c>
      <c r="B144" s="18"/>
    </row>
    <row r="145" spans="1:2" ht="13.5" thickBot="1" x14ac:dyDescent="0.25">
      <c r="A145" s="18" t="s">
        <v>1971</v>
      </c>
      <c r="B145" s="18"/>
    </row>
    <row r="146" spans="1:2" ht="13.5" thickBot="1" x14ac:dyDescent="0.25">
      <c r="A146" s="18" t="s">
        <v>1972</v>
      </c>
      <c r="B146" s="18"/>
    </row>
    <row r="147" spans="1:2" ht="13.5" thickBot="1" x14ac:dyDescent="0.25">
      <c r="A147" s="18" t="s">
        <v>1973</v>
      </c>
      <c r="B147" s="18"/>
    </row>
    <row r="148" spans="1:2" ht="13.5" thickBot="1" x14ac:dyDescent="0.25">
      <c r="A148" s="18" t="s">
        <v>1974</v>
      </c>
      <c r="B148" s="18"/>
    </row>
    <row r="149" spans="1:2" ht="13.5" thickBot="1" x14ac:dyDescent="0.25">
      <c r="A149" s="18" t="s">
        <v>1975</v>
      </c>
      <c r="B149" s="18"/>
    </row>
    <row r="150" spans="1:2" ht="13.5" thickBot="1" x14ac:dyDescent="0.25">
      <c r="A150" s="18" t="s">
        <v>1976</v>
      </c>
      <c r="B150" s="18"/>
    </row>
    <row r="151" spans="1:2" ht="64.900000000000006" customHeight="1" thickBot="1" x14ac:dyDescent="0.25">
      <c r="A151" s="29" t="s">
        <v>1977</v>
      </c>
      <c r="B151" s="30"/>
    </row>
    <row r="152" spans="1:2" ht="83.25" thickBot="1" x14ac:dyDescent="0.25">
      <c r="A152" s="23" t="s">
        <v>1978</v>
      </c>
      <c r="B152" s="24"/>
    </row>
    <row r="153" spans="1:2" ht="409.6" customHeight="1" x14ac:dyDescent="0.2">
      <c r="A153" s="14" t="s">
        <v>1979</v>
      </c>
      <c r="B153" s="20" t="s">
        <v>1980</v>
      </c>
    </row>
    <row r="154" spans="1:2" ht="13.5" thickBot="1" x14ac:dyDescent="0.25">
      <c r="A154" s="16"/>
      <c r="B154" s="17"/>
    </row>
    <row r="155" spans="1:2" ht="102.75" thickBot="1" x14ac:dyDescent="0.25">
      <c r="A155" s="18" t="s">
        <v>1981</v>
      </c>
      <c r="B155" s="19" t="s">
        <v>1982</v>
      </c>
    </row>
    <row r="156" spans="1:2" x14ac:dyDescent="0.2">
      <c r="A156" s="14" t="s">
        <v>1983</v>
      </c>
      <c r="B156" s="15" t="s">
        <v>1984</v>
      </c>
    </row>
    <row r="157" spans="1:2" x14ac:dyDescent="0.2">
      <c r="A157" s="25"/>
      <c r="B157" s="27" t="s">
        <v>1985</v>
      </c>
    </row>
    <row r="158" spans="1:2" x14ac:dyDescent="0.2">
      <c r="A158" s="25"/>
      <c r="B158" s="27"/>
    </row>
    <row r="159" spans="1:2" x14ac:dyDescent="0.2">
      <c r="A159" s="25"/>
      <c r="B159" s="27"/>
    </row>
    <row r="160" spans="1:2" x14ac:dyDescent="0.2">
      <c r="A160" s="25"/>
      <c r="B160" s="27"/>
    </row>
    <row r="161" spans="1:2" ht="13.5" thickBot="1" x14ac:dyDescent="0.25">
      <c r="A161" s="16"/>
      <c r="B161" s="17"/>
    </row>
    <row r="162" spans="1:2" ht="25.5" x14ac:dyDescent="0.2">
      <c r="A162" s="14" t="s">
        <v>1986</v>
      </c>
      <c r="B162" s="20" t="s">
        <v>1987</v>
      </c>
    </row>
    <row r="163" spans="1:2" x14ac:dyDescent="0.2">
      <c r="A163" s="25"/>
      <c r="B163" s="27"/>
    </row>
    <row r="164" spans="1:2" x14ac:dyDescent="0.2">
      <c r="A164" s="25"/>
      <c r="B164" s="27"/>
    </row>
    <row r="165" spans="1:2" x14ac:dyDescent="0.2">
      <c r="A165" s="25"/>
      <c r="B165" s="27"/>
    </row>
    <row r="166" spans="1:2" x14ac:dyDescent="0.2">
      <c r="A166" s="25"/>
      <c r="B166" s="27"/>
    </row>
    <row r="167" spans="1:2" ht="13.5" thickBot="1" x14ac:dyDescent="0.25">
      <c r="A167" s="16"/>
      <c r="B167" s="17"/>
    </row>
    <row r="168" spans="1:2" ht="64.5" thickBot="1" x14ac:dyDescent="0.25">
      <c r="A168" s="18" t="s">
        <v>1988</v>
      </c>
      <c r="B168" s="19" t="s">
        <v>1989</v>
      </c>
    </row>
    <row r="169" spans="1:2" ht="26.25" thickBot="1" x14ac:dyDescent="0.25">
      <c r="A169" s="18" t="s">
        <v>1990</v>
      </c>
      <c r="B169" s="19" t="s">
        <v>1991</v>
      </c>
    </row>
    <row r="170" spans="1:2" x14ac:dyDescent="0.2">
      <c r="A170" s="14" t="s">
        <v>1992</v>
      </c>
      <c r="B170" s="20" t="s">
        <v>1993</v>
      </c>
    </row>
    <row r="171" spans="1:2" x14ac:dyDescent="0.2">
      <c r="A171" s="25"/>
      <c r="B171" s="27" t="s">
        <v>1994</v>
      </c>
    </row>
    <row r="172" spans="1:2" x14ac:dyDescent="0.2">
      <c r="A172" s="25"/>
      <c r="B172" s="27" t="s">
        <v>1995</v>
      </c>
    </row>
    <row r="173" spans="1:2" x14ac:dyDescent="0.2">
      <c r="A173" s="25"/>
      <c r="B173" s="27" t="s">
        <v>1996</v>
      </c>
    </row>
    <row r="174" spans="1:2" x14ac:dyDescent="0.2">
      <c r="A174" s="25"/>
      <c r="B174" s="27" t="s">
        <v>1997</v>
      </c>
    </row>
    <row r="175" spans="1:2" x14ac:dyDescent="0.2">
      <c r="A175" s="25"/>
      <c r="B175" s="27" t="s">
        <v>1998</v>
      </c>
    </row>
    <row r="176" spans="1:2" x14ac:dyDescent="0.2">
      <c r="A176" s="25"/>
      <c r="B176" s="27"/>
    </row>
    <row r="177" spans="1:2" ht="51.75" thickBot="1" x14ac:dyDescent="0.25">
      <c r="A177" s="16"/>
      <c r="B177" s="17" t="s">
        <v>1999</v>
      </c>
    </row>
    <row r="178" spans="1:2" x14ac:dyDescent="0.2">
      <c r="A178" s="14" t="s">
        <v>2000</v>
      </c>
      <c r="B178" s="15" t="s">
        <v>2001</v>
      </c>
    </row>
    <row r="179" spans="1:2" ht="13.5" thickBot="1" x14ac:dyDescent="0.25">
      <c r="A179" s="16"/>
      <c r="B179" s="17" t="s">
        <v>1985</v>
      </c>
    </row>
    <row r="180" spans="1:2" ht="26.25" thickBot="1" x14ac:dyDescent="0.25">
      <c r="A180" s="18" t="s">
        <v>2002</v>
      </c>
      <c r="B180" s="19" t="s">
        <v>2003</v>
      </c>
    </row>
    <row r="181" spans="1:2" ht="26.25" thickBot="1" x14ac:dyDescent="0.25">
      <c r="A181" s="18" t="s">
        <v>2004</v>
      </c>
      <c r="B181" s="19" t="s">
        <v>2003</v>
      </c>
    </row>
    <row r="182" spans="1:2" ht="39" thickBot="1" x14ac:dyDescent="0.25">
      <c r="A182" s="18" t="s">
        <v>2005</v>
      </c>
      <c r="B182" s="19" t="s">
        <v>2006</v>
      </c>
    </row>
    <row r="183" spans="1:2" ht="25.5" x14ac:dyDescent="0.2">
      <c r="A183" s="14" t="s">
        <v>2007</v>
      </c>
      <c r="B183" s="15" t="s">
        <v>2008</v>
      </c>
    </row>
    <row r="184" spans="1:2" ht="13.5" thickBot="1" x14ac:dyDescent="0.25">
      <c r="A184" s="16"/>
      <c r="B184" s="17" t="s">
        <v>1985</v>
      </c>
    </row>
    <row r="185" spans="1:2" ht="39" thickBot="1" x14ac:dyDescent="0.25">
      <c r="A185" s="18" t="s">
        <v>2009</v>
      </c>
      <c r="B185" s="19" t="s">
        <v>2010</v>
      </c>
    </row>
    <row r="186" spans="1:2" ht="77.25" thickBot="1" x14ac:dyDescent="0.25">
      <c r="A186" s="18" t="s">
        <v>2011</v>
      </c>
      <c r="B186" s="19" t="s">
        <v>2012</v>
      </c>
    </row>
    <row r="187" spans="1:2" x14ac:dyDescent="0.2">
      <c r="A187" s="32" t="s">
        <v>2013</v>
      </c>
      <c r="B187" s="32"/>
    </row>
    <row r="188" spans="1:2" ht="13.5" thickBot="1" x14ac:dyDescent="0.25">
      <c r="A188" s="33"/>
      <c r="B188" s="33"/>
    </row>
    <row r="189" spans="1:2" ht="13.5" thickBot="1" x14ac:dyDescent="0.25">
      <c r="A189" s="18" t="s">
        <v>2014</v>
      </c>
      <c r="B189" s="18"/>
    </row>
    <row r="190" spans="1:2" x14ac:dyDescent="0.2">
      <c r="A190" s="14" t="s">
        <v>2015</v>
      </c>
      <c r="B190" s="15" t="s">
        <v>2016</v>
      </c>
    </row>
    <row r="191" spans="1:2" x14ac:dyDescent="0.2">
      <c r="A191" s="25"/>
      <c r="B191" s="27" t="s">
        <v>1985</v>
      </c>
    </row>
    <row r="192" spans="1:2" x14ac:dyDescent="0.2">
      <c r="A192" s="25"/>
      <c r="B192" s="27"/>
    </row>
    <row r="193" spans="1:2" ht="13.5" thickBot="1" x14ac:dyDescent="0.25">
      <c r="A193" s="16"/>
      <c r="B193" s="17"/>
    </row>
    <row r="194" spans="1:2" x14ac:dyDescent="0.2">
      <c r="A194" s="32" t="s">
        <v>2017</v>
      </c>
      <c r="B194" s="34" t="s">
        <v>2018</v>
      </c>
    </row>
    <row r="195" spans="1:2" ht="13.5" thickBot="1" x14ac:dyDescent="0.25">
      <c r="A195" s="33"/>
      <c r="B195" s="35"/>
    </row>
    <row r="196" spans="1:2" ht="171" customHeight="1" x14ac:dyDescent="0.2">
      <c r="A196" s="32" t="s">
        <v>2019</v>
      </c>
      <c r="B196" s="34" t="s">
        <v>2020</v>
      </c>
    </row>
    <row r="197" spans="1:2" ht="13.5" thickBot="1" x14ac:dyDescent="0.25">
      <c r="A197" s="33"/>
      <c r="B197" s="35"/>
    </row>
    <row r="198" spans="1:2" x14ac:dyDescent="0.2">
      <c r="A198" s="14" t="s">
        <v>2021</v>
      </c>
      <c r="B198" s="14"/>
    </row>
    <row r="199" spans="1:2" ht="13.5" thickBot="1" x14ac:dyDescent="0.25">
      <c r="A199" s="16"/>
      <c r="B199" s="16"/>
    </row>
    <row r="200" spans="1:2" ht="13.5" thickBot="1" x14ac:dyDescent="0.25">
      <c r="A200" s="18" t="s">
        <v>2022</v>
      </c>
      <c r="B200" s="18"/>
    </row>
    <row r="201" spans="1:2" ht="13.5" thickBot="1" x14ac:dyDescent="0.25">
      <c r="A201" s="36" t="s">
        <v>2023</v>
      </c>
      <c r="B201" s="37" t="s">
        <v>2024</v>
      </c>
    </row>
    <row r="202" spans="1:2" ht="16.5" thickBot="1" x14ac:dyDescent="0.25">
      <c r="A202" s="21" t="s">
        <v>2025</v>
      </c>
      <c r="B202" s="22"/>
    </row>
    <row r="203" spans="1:2" ht="13.5" thickBot="1" x14ac:dyDescent="0.25">
      <c r="A203" s="18" t="s">
        <v>2026</v>
      </c>
      <c r="B203" s="18"/>
    </row>
    <row r="204" spans="1:2" ht="13.5" thickBot="1" x14ac:dyDescent="0.25">
      <c r="A204" s="18" t="s">
        <v>2027</v>
      </c>
      <c r="B204" s="18"/>
    </row>
    <row r="205" spans="1:2" ht="13.5" thickBot="1" x14ac:dyDescent="0.25">
      <c r="A205" s="18" t="s">
        <v>2028</v>
      </c>
      <c r="B205" s="18"/>
    </row>
    <row r="206" spans="1:2" ht="13.5" thickBot="1" x14ac:dyDescent="0.25">
      <c r="A206" s="18" t="s">
        <v>2029</v>
      </c>
      <c r="B206" s="18"/>
    </row>
    <row r="207" spans="1:2" ht="13.5" thickBot="1" x14ac:dyDescent="0.25">
      <c r="A207" s="18" t="s">
        <v>2030</v>
      </c>
      <c r="B207" s="18"/>
    </row>
    <row r="208" spans="1:2" ht="13.5" thickBot="1" x14ac:dyDescent="0.25">
      <c r="A208" s="18" t="s">
        <v>2031</v>
      </c>
      <c r="B208" s="18"/>
    </row>
    <row r="209" spans="1:2" ht="32.450000000000003" customHeight="1" thickBot="1" x14ac:dyDescent="0.25">
      <c r="A209" s="29" t="s">
        <v>2032</v>
      </c>
      <c r="B209" s="30"/>
    </row>
    <row r="210" spans="1:2" ht="409.6" customHeight="1" thickBot="1" x14ac:dyDescent="0.25">
      <c r="A210" s="23" t="s">
        <v>2033</v>
      </c>
      <c r="B210" s="24"/>
    </row>
    <row r="211" spans="1:2" x14ac:dyDescent="0.2">
      <c r="A211" s="14" t="s">
        <v>2034</v>
      </c>
      <c r="B211" s="20" t="s">
        <v>2035</v>
      </c>
    </row>
    <row r="212" spans="1:2" x14ac:dyDescent="0.2">
      <c r="A212" s="25"/>
      <c r="B212" s="27"/>
    </row>
    <row r="213" spans="1:2" x14ac:dyDescent="0.2">
      <c r="A213" s="25"/>
      <c r="B213" s="27"/>
    </row>
    <row r="214" spans="1:2" ht="13.5" thickBot="1" x14ac:dyDescent="0.25">
      <c r="A214" s="16"/>
      <c r="B214" s="17"/>
    </row>
    <row r="215" spans="1:2" x14ac:dyDescent="0.2">
      <c r="A215" s="14" t="s">
        <v>2036</v>
      </c>
      <c r="B215" s="14"/>
    </row>
    <row r="216" spans="1:2" x14ac:dyDescent="0.2">
      <c r="A216" s="25"/>
      <c r="B216" s="25"/>
    </row>
    <row r="217" spans="1:2" x14ac:dyDescent="0.2">
      <c r="A217" s="25"/>
      <c r="B217" s="25"/>
    </row>
    <row r="218" spans="1:2" ht="13.5" thickBot="1" x14ac:dyDescent="0.25">
      <c r="A218" s="16"/>
      <c r="B218" s="16"/>
    </row>
    <row r="219" spans="1:2" ht="13.5" thickBot="1" x14ac:dyDescent="0.25">
      <c r="A219" s="36" t="s">
        <v>2037</v>
      </c>
      <c r="B219" s="36"/>
    </row>
    <row r="220" spans="1:2" ht="13.15" customHeight="1" x14ac:dyDescent="0.2">
      <c r="A220" s="14" t="s">
        <v>2038</v>
      </c>
      <c r="B220" s="20" t="s">
        <v>2039</v>
      </c>
    </row>
    <row r="221" spans="1:2" x14ac:dyDescent="0.2">
      <c r="A221" s="25"/>
      <c r="B221" s="27"/>
    </row>
    <row r="222" spans="1:2" x14ac:dyDescent="0.2">
      <c r="A222" s="25"/>
      <c r="B222" s="27"/>
    </row>
    <row r="223" spans="1:2" x14ac:dyDescent="0.2">
      <c r="A223" s="25"/>
      <c r="B223" s="27"/>
    </row>
    <row r="224" spans="1:2" x14ac:dyDescent="0.2">
      <c r="A224" s="25"/>
      <c r="B224" s="27"/>
    </row>
    <row r="225" spans="1:2" x14ac:dyDescent="0.2">
      <c r="A225" s="25"/>
      <c r="B225" s="27"/>
    </row>
    <row r="226" spans="1:2" x14ac:dyDescent="0.2">
      <c r="A226" s="25"/>
      <c r="B226" s="27"/>
    </row>
    <row r="227" spans="1:2" x14ac:dyDescent="0.2">
      <c r="A227" s="25"/>
      <c r="B227" s="27"/>
    </row>
    <row r="228" spans="1:2" x14ac:dyDescent="0.2">
      <c r="A228" s="25"/>
      <c r="B228" s="27"/>
    </row>
    <row r="229" spans="1:2" x14ac:dyDescent="0.2">
      <c r="A229" s="25"/>
      <c r="B229" s="27"/>
    </row>
    <row r="230" spans="1:2" x14ac:dyDescent="0.2">
      <c r="A230" s="25"/>
      <c r="B230" s="27"/>
    </row>
    <row r="231" spans="1:2" ht="13.5" thickBot="1" x14ac:dyDescent="0.25">
      <c r="A231" s="16"/>
      <c r="B231" s="17"/>
    </row>
    <row r="232" spans="1:2" ht="13.5" thickBot="1" x14ac:dyDescent="0.25">
      <c r="A232" s="18" t="s">
        <v>2040</v>
      </c>
      <c r="B232" s="18"/>
    </row>
    <row r="233" spans="1:2" ht="13.5" thickBot="1" x14ac:dyDescent="0.25">
      <c r="A233" s="36" t="s">
        <v>2041</v>
      </c>
      <c r="B233" s="36"/>
    </row>
    <row r="234" spans="1:2" x14ac:dyDescent="0.2">
      <c r="A234" s="14" t="s">
        <v>2042</v>
      </c>
      <c r="B234" s="20" t="s">
        <v>2043</v>
      </c>
    </row>
    <row r="235" spans="1:2" x14ac:dyDescent="0.2">
      <c r="A235" s="25"/>
      <c r="B235" s="27"/>
    </row>
    <row r="236" spans="1:2" x14ac:dyDescent="0.2">
      <c r="A236" s="25"/>
      <c r="B236" s="27"/>
    </row>
    <row r="237" spans="1:2" x14ac:dyDescent="0.2">
      <c r="A237" s="25"/>
      <c r="B237" s="27"/>
    </row>
    <row r="238" spans="1:2" x14ac:dyDescent="0.2">
      <c r="A238" s="25"/>
      <c r="B238" s="27"/>
    </row>
    <row r="239" spans="1:2" x14ac:dyDescent="0.2">
      <c r="A239" s="25"/>
      <c r="B239" s="27"/>
    </row>
    <row r="240" spans="1:2" x14ac:dyDescent="0.2">
      <c r="A240" s="25"/>
      <c r="B240" s="27"/>
    </row>
    <row r="241" spans="1:2" x14ac:dyDescent="0.2">
      <c r="A241" s="25"/>
      <c r="B241" s="27"/>
    </row>
    <row r="242" spans="1:2" x14ac:dyDescent="0.2">
      <c r="A242" s="25"/>
      <c r="B242" s="27"/>
    </row>
    <row r="243" spans="1:2" x14ac:dyDescent="0.2">
      <c r="A243" s="25"/>
      <c r="B243" s="27"/>
    </row>
    <row r="244" spans="1:2" x14ac:dyDescent="0.2">
      <c r="A244" s="25"/>
      <c r="B244" s="27"/>
    </row>
    <row r="245" spans="1:2" x14ac:dyDescent="0.2">
      <c r="A245" s="25"/>
      <c r="B245" s="27"/>
    </row>
    <row r="246" spans="1:2" x14ac:dyDescent="0.2">
      <c r="A246" s="25"/>
      <c r="B246" s="27"/>
    </row>
    <row r="247" spans="1:2" x14ac:dyDescent="0.2">
      <c r="A247" s="25"/>
      <c r="B247" s="27"/>
    </row>
    <row r="248" spans="1:2" x14ac:dyDescent="0.2">
      <c r="A248" s="25"/>
      <c r="B248" s="27"/>
    </row>
    <row r="249" spans="1:2" x14ac:dyDescent="0.2">
      <c r="A249" s="25"/>
      <c r="B249" s="27"/>
    </row>
    <row r="250" spans="1:2" x14ac:dyDescent="0.2">
      <c r="A250" s="25"/>
      <c r="B250" s="27"/>
    </row>
    <row r="251" spans="1:2" ht="13.5" thickBot="1" x14ac:dyDescent="0.25">
      <c r="A251" s="16"/>
      <c r="B251" s="17"/>
    </row>
    <row r="252" spans="1:2" x14ac:dyDescent="0.2">
      <c r="A252" s="14" t="s">
        <v>2044</v>
      </c>
      <c r="B252" s="14"/>
    </row>
    <row r="253" spans="1:2" ht="13.5" thickBot="1" x14ac:dyDescent="0.25">
      <c r="A253" s="16"/>
      <c r="B253" s="16"/>
    </row>
    <row r="254" spans="1:2" x14ac:dyDescent="0.2">
      <c r="A254" s="32" t="s">
        <v>2045</v>
      </c>
      <c r="B254" s="32"/>
    </row>
    <row r="255" spans="1:2" ht="13.5" thickBot="1" x14ac:dyDescent="0.25">
      <c r="A255" s="33"/>
      <c r="B255" s="33"/>
    </row>
    <row r="256" spans="1:2" x14ac:dyDescent="0.2">
      <c r="A256" s="14" t="s">
        <v>2046</v>
      </c>
      <c r="B256" s="20" t="s">
        <v>2047</v>
      </c>
    </row>
    <row r="257" spans="1:2" x14ac:dyDescent="0.2">
      <c r="A257" s="25"/>
      <c r="B257" s="27"/>
    </row>
    <row r="258" spans="1:2" x14ac:dyDescent="0.2">
      <c r="A258" s="25"/>
      <c r="B258" s="27"/>
    </row>
    <row r="259" spans="1:2" ht="13.5" thickBot="1" x14ac:dyDescent="0.25">
      <c r="A259" s="16"/>
      <c r="B259" s="17"/>
    </row>
    <row r="260" spans="1:2" x14ac:dyDescent="0.2">
      <c r="A260" s="14" t="s">
        <v>2048</v>
      </c>
      <c r="B260" s="14"/>
    </row>
    <row r="261" spans="1:2" x14ac:dyDescent="0.2">
      <c r="A261" s="25"/>
      <c r="B261" s="25"/>
    </row>
    <row r="262" spans="1:2" x14ac:dyDescent="0.2">
      <c r="A262" s="25"/>
      <c r="B262" s="25"/>
    </row>
    <row r="263" spans="1:2" x14ac:dyDescent="0.2">
      <c r="A263" s="25"/>
      <c r="B263" s="25"/>
    </row>
    <row r="264" spans="1:2" x14ac:dyDescent="0.2">
      <c r="A264" s="25"/>
      <c r="B264" s="25"/>
    </row>
    <row r="265" spans="1:2" x14ac:dyDescent="0.2">
      <c r="A265" s="25"/>
      <c r="B265" s="25"/>
    </row>
    <row r="266" spans="1:2" x14ac:dyDescent="0.2">
      <c r="A266" s="25"/>
      <c r="B266" s="25"/>
    </row>
    <row r="267" spans="1:2" ht="13.5" thickBot="1" x14ac:dyDescent="0.25">
      <c r="A267" s="16"/>
      <c r="B267" s="16"/>
    </row>
    <row r="268" spans="1:2" ht="13.5" thickBot="1" x14ac:dyDescent="0.25">
      <c r="A268" s="36" t="s">
        <v>2049</v>
      </c>
      <c r="B268" s="36"/>
    </row>
    <row r="269" spans="1:2" x14ac:dyDescent="0.2">
      <c r="A269" s="14" t="s">
        <v>2050</v>
      </c>
      <c r="B269" s="14"/>
    </row>
    <row r="270" spans="1:2" x14ac:dyDescent="0.2">
      <c r="A270" s="25"/>
      <c r="B270" s="25"/>
    </row>
    <row r="271" spans="1:2" x14ac:dyDescent="0.2">
      <c r="A271" s="25"/>
      <c r="B271" s="25"/>
    </row>
    <row r="272" spans="1:2" x14ac:dyDescent="0.2">
      <c r="A272" s="25"/>
      <c r="B272" s="25"/>
    </row>
    <row r="273" spans="1:2" x14ac:dyDescent="0.2">
      <c r="A273" s="25"/>
      <c r="B273" s="25"/>
    </row>
    <row r="274" spans="1:2" x14ac:dyDescent="0.2">
      <c r="A274" s="25"/>
      <c r="B274" s="25"/>
    </row>
    <row r="275" spans="1:2" x14ac:dyDescent="0.2">
      <c r="A275" s="25"/>
      <c r="B275" s="25"/>
    </row>
    <row r="276" spans="1:2" x14ac:dyDescent="0.2">
      <c r="A276" s="25"/>
      <c r="B276" s="25"/>
    </row>
    <row r="277" spans="1:2" x14ac:dyDescent="0.2">
      <c r="A277" s="25"/>
      <c r="B277" s="25"/>
    </row>
    <row r="278" spans="1:2" ht="13.5" thickBot="1" x14ac:dyDescent="0.25">
      <c r="A278" s="16"/>
      <c r="B278" s="16"/>
    </row>
    <row r="279" spans="1:2" x14ac:dyDescent="0.2">
      <c r="A279" s="32" t="s">
        <v>2051</v>
      </c>
      <c r="B279" s="32"/>
    </row>
    <row r="280" spans="1:2" ht="13.5" thickBot="1" x14ac:dyDescent="0.25">
      <c r="A280" s="33"/>
      <c r="B280" s="33"/>
    </row>
    <row r="281" spans="1:2" x14ac:dyDescent="0.2">
      <c r="A281" s="32" t="s">
        <v>2052</v>
      </c>
      <c r="B281" s="32"/>
    </row>
    <row r="282" spans="1:2" ht="13.5" thickBot="1" x14ac:dyDescent="0.25">
      <c r="A282" s="33"/>
      <c r="B282" s="33"/>
    </row>
    <row r="283" spans="1:2" ht="48.6" customHeight="1" thickBot="1" x14ac:dyDescent="0.25">
      <c r="A283" s="29" t="s">
        <v>2053</v>
      </c>
      <c r="B283" s="30"/>
    </row>
    <row r="284" spans="1:2" ht="409.6" customHeight="1" thickBot="1" x14ac:dyDescent="0.25">
      <c r="A284" s="23" t="s">
        <v>2054</v>
      </c>
      <c r="B284" s="24"/>
    </row>
    <row r="285" spans="1:2" ht="16.5" thickBot="1" x14ac:dyDescent="0.25">
      <c r="A285" s="21" t="s">
        <v>2055</v>
      </c>
      <c r="B285" s="22"/>
    </row>
    <row r="286" spans="1:2" ht="13.5" thickBot="1" x14ac:dyDescent="0.25">
      <c r="A286" s="18" t="s">
        <v>2056</v>
      </c>
      <c r="B286" s="19" t="s">
        <v>2057</v>
      </c>
    </row>
    <row r="287" spans="1:2" x14ac:dyDescent="0.2">
      <c r="A287" s="14" t="s">
        <v>2058</v>
      </c>
      <c r="B287" s="15" t="s">
        <v>2059</v>
      </c>
    </row>
    <row r="288" spans="1:2" ht="51" x14ac:dyDescent="0.2">
      <c r="A288" s="25"/>
      <c r="B288" s="27" t="s">
        <v>2060</v>
      </c>
    </row>
    <row r="289" spans="1:2" x14ac:dyDescent="0.2">
      <c r="A289" s="25"/>
      <c r="B289" s="27"/>
    </row>
    <row r="290" spans="1:2" ht="13.5" thickBot="1" x14ac:dyDescent="0.25">
      <c r="A290" s="16"/>
      <c r="B290" s="17"/>
    </row>
    <row r="291" spans="1:2" x14ac:dyDescent="0.2">
      <c r="A291" s="14" t="s">
        <v>2061</v>
      </c>
      <c r="B291" s="15" t="s">
        <v>2062</v>
      </c>
    </row>
    <row r="292" spans="1:2" ht="25.5" x14ac:dyDescent="0.2">
      <c r="A292" s="25"/>
      <c r="B292" s="27" t="s">
        <v>2063</v>
      </c>
    </row>
    <row r="293" spans="1:2" x14ac:dyDescent="0.2">
      <c r="A293" s="25"/>
      <c r="B293" s="27"/>
    </row>
    <row r="294" spans="1:2" x14ac:dyDescent="0.2">
      <c r="A294" s="25"/>
      <c r="B294" s="27"/>
    </row>
    <row r="295" spans="1:2" x14ac:dyDescent="0.2">
      <c r="A295" s="25"/>
      <c r="B295" s="27"/>
    </row>
    <row r="296" spans="1:2" x14ac:dyDescent="0.2">
      <c r="A296" s="25"/>
      <c r="B296" s="27"/>
    </row>
    <row r="297" spans="1:2" x14ac:dyDescent="0.2">
      <c r="A297" s="25"/>
      <c r="B297" s="27"/>
    </row>
    <row r="298" spans="1:2" ht="13.5" thickBot="1" x14ac:dyDescent="0.25">
      <c r="A298" s="16"/>
      <c r="B298" s="17"/>
    </row>
    <row r="299" spans="1:2" x14ac:dyDescent="0.2">
      <c r="A299" s="14" t="s">
        <v>2064</v>
      </c>
      <c r="B299" s="15" t="s">
        <v>2065</v>
      </c>
    </row>
    <row r="300" spans="1:2" ht="25.5" x14ac:dyDescent="0.2">
      <c r="A300" s="25"/>
      <c r="B300" s="27" t="s">
        <v>2066</v>
      </c>
    </row>
    <row r="301" spans="1:2" x14ac:dyDescent="0.2">
      <c r="A301" s="25"/>
      <c r="B301" s="27"/>
    </row>
    <row r="302" spans="1:2" x14ac:dyDescent="0.2">
      <c r="A302" s="25"/>
      <c r="B302" s="27"/>
    </row>
    <row r="303" spans="1:2" x14ac:dyDescent="0.2">
      <c r="A303" s="25"/>
      <c r="B303" s="27"/>
    </row>
    <row r="304" spans="1:2" x14ac:dyDescent="0.2">
      <c r="A304" s="25"/>
      <c r="B304" s="27"/>
    </row>
    <row r="305" spans="1:2" x14ac:dyDescent="0.2">
      <c r="A305" s="25"/>
      <c r="B305" s="27"/>
    </row>
    <row r="306" spans="1:2" x14ac:dyDescent="0.2">
      <c r="A306" s="25"/>
      <c r="B306" s="27"/>
    </row>
    <row r="307" spans="1:2" x14ac:dyDescent="0.2">
      <c r="A307" s="25"/>
      <c r="B307" s="27"/>
    </row>
    <row r="308" spans="1:2" ht="13.5" thickBot="1" x14ac:dyDescent="0.25">
      <c r="A308" s="16"/>
      <c r="B308" s="17"/>
    </row>
    <row r="309" spans="1:2" x14ac:dyDescent="0.2">
      <c r="A309" s="14" t="s">
        <v>2067</v>
      </c>
      <c r="B309" s="15" t="s">
        <v>2068</v>
      </c>
    </row>
    <row r="310" spans="1:2" ht="25.5" x14ac:dyDescent="0.2">
      <c r="A310" s="25"/>
      <c r="B310" s="27" t="s">
        <v>2069</v>
      </c>
    </row>
    <row r="311" spans="1:2" x14ac:dyDescent="0.2">
      <c r="A311" s="25"/>
      <c r="B311" s="27"/>
    </row>
    <row r="312" spans="1:2" x14ac:dyDescent="0.2">
      <c r="A312" s="25"/>
      <c r="B312" s="27"/>
    </row>
    <row r="313" spans="1:2" x14ac:dyDescent="0.2">
      <c r="A313" s="25"/>
      <c r="B313" s="27"/>
    </row>
    <row r="314" spans="1:2" x14ac:dyDescent="0.2">
      <c r="A314" s="25"/>
      <c r="B314" s="27"/>
    </row>
    <row r="315" spans="1:2" x14ac:dyDescent="0.2">
      <c r="A315" s="25"/>
      <c r="B315" s="27"/>
    </row>
    <row r="316" spans="1:2" x14ac:dyDescent="0.2">
      <c r="A316" s="25"/>
      <c r="B316" s="27"/>
    </row>
    <row r="317" spans="1:2" x14ac:dyDescent="0.2">
      <c r="A317" s="25"/>
      <c r="B317" s="27"/>
    </row>
    <row r="318" spans="1:2" x14ac:dyDescent="0.2">
      <c r="A318" s="25"/>
      <c r="B318" s="27"/>
    </row>
    <row r="319" spans="1:2" x14ac:dyDescent="0.2">
      <c r="A319" s="25"/>
      <c r="B319" s="27"/>
    </row>
    <row r="320" spans="1:2" x14ac:dyDescent="0.2">
      <c r="A320" s="25"/>
      <c r="B320" s="27"/>
    </row>
    <row r="321" spans="1:2" x14ac:dyDescent="0.2">
      <c r="A321" s="25"/>
      <c r="B321" s="27"/>
    </row>
    <row r="322" spans="1:2" x14ac:dyDescent="0.2">
      <c r="A322" s="25"/>
      <c r="B322" s="27"/>
    </row>
    <row r="323" spans="1:2" x14ac:dyDescent="0.2">
      <c r="A323" s="25"/>
      <c r="B323" s="27"/>
    </row>
    <row r="324" spans="1:2" x14ac:dyDescent="0.2">
      <c r="A324" s="25"/>
      <c r="B324" s="27"/>
    </row>
    <row r="325" spans="1:2" x14ac:dyDescent="0.2">
      <c r="A325" s="25"/>
      <c r="B325" s="27"/>
    </row>
    <row r="326" spans="1:2" x14ac:dyDescent="0.2">
      <c r="A326" s="25"/>
      <c r="B326" s="27"/>
    </row>
    <row r="327" spans="1:2" x14ac:dyDescent="0.2">
      <c r="A327" s="25"/>
      <c r="B327" s="27"/>
    </row>
    <row r="328" spans="1:2" x14ac:dyDescent="0.2">
      <c r="A328" s="25"/>
      <c r="B328" s="27"/>
    </row>
    <row r="329" spans="1:2" x14ac:dyDescent="0.2">
      <c r="A329" s="25"/>
      <c r="B329" s="27"/>
    </row>
    <row r="330" spans="1:2" x14ac:dyDescent="0.2">
      <c r="A330" s="25"/>
      <c r="B330" s="27"/>
    </row>
    <row r="331" spans="1:2" x14ac:dyDescent="0.2">
      <c r="A331" s="25"/>
      <c r="B331" s="27"/>
    </row>
    <row r="332" spans="1:2" x14ac:dyDescent="0.2">
      <c r="A332" s="25"/>
      <c r="B332" s="27"/>
    </row>
    <row r="333" spans="1:2" x14ac:dyDescent="0.2">
      <c r="A333" s="25"/>
      <c r="B333" s="27"/>
    </row>
    <row r="334" spans="1:2" x14ac:dyDescent="0.2">
      <c r="A334" s="25"/>
      <c r="B334" s="27"/>
    </row>
    <row r="335" spans="1:2" x14ac:dyDescent="0.2">
      <c r="A335" s="25"/>
      <c r="B335" s="27"/>
    </row>
    <row r="336" spans="1:2" ht="13.5" thickBot="1" x14ac:dyDescent="0.25">
      <c r="A336" s="16"/>
      <c r="B336" s="17"/>
    </row>
    <row r="337" spans="1:2" x14ac:dyDescent="0.2">
      <c r="A337" s="14" t="s">
        <v>2070</v>
      </c>
      <c r="B337" s="15" t="s">
        <v>2071</v>
      </c>
    </row>
    <row r="338" spans="1:2" ht="51" x14ac:dyDescent="0.2">
      <c r="A338" s="25"/>
      <c r="B338" s="27" t="s">
        <v>2072</v>
      </c>
    </row>
    <row r="339" spans="1:2" x14ac:dyDescent="0.2">
      <c r="A339" s="25"/>
      <c r="B339" s="27"/>
    </row>
    <row r="340" spans="1:2" x14ac:dyDescent="0.2">
      <c r="A340" s="25"/>
      <c r="B340" s="27"/>
    </row>
    <row r="341" spans="1:2" x14ac:dyDescent="0.2">
      <c r="A341" s="25"/>
      <c r="B341" s="27"/>
    </row>
    <row r="342" spans="1:2" ht="13.5" thickBot="1" x14ac:dyDescent="0.25">
      <c r="A342" s="16"/>
      <c r="B342" s="17"/>
    </row>
    <row r="343" spans="1:2" x14ac:dyDescent="0.2">
      <c r="A343" s="14" t="s">
        <v>2073</v>
      </c>
      <c r="B343" s="15" t="s">
        <v>2074</v>
      </c>
    </row>
    <row r="344" spans="1:2" ht="63.75" x14ac:dyDescent="0.2">
      <c r="A344" s="25"/>
      <c r="B344" s="27" t="s">
        <v>2075</v>
      </c>
    </row>
    <row r="345" spans="1:2" x14ac:dyDescent="0.2">
      <c r="A345" s="25"/>
      <c r="B345" s="27"/>
    </row>
    <row r="346" spans="1:2" x14ac:dyDescent="0.2">
      <c r="A346" s="25"/>
      <c r="B346" s="27"/>
    </row>
    <row r="347" spans="1:2" x14ac:dyDescent="0.2">
      <c r="A347" s="25"/>
      <c r="B347" s="27"/>
    </row>
    <row r="348" spans="1:2" x14ac:dyDescent="0.2">
      <c r="A348" s="25"/>
      <c r="B348" s="27"/>
    </row>
    <row r="349" spans="1:2" x14ac:dyDescent="0.2">
      <c r="A349" s="25"/>
      <c r="B349" s="27"/>
    </row>
    <row r="350" spans="1:2" x14ac:dyDescent="0.2">
      <c r="A350" s="25"/>
      <c r="B350" s="27"/>
    </row>
    <row r="351" spans="1:2" x14ac:dyDescent="0.2">
      <c r="A351" s="25"/>
      <c r="B351" s="27"/>
    </row>
    <row r="352" spans="1:2" x14ac:dyDescent="0.2">
      <c r="A352" s="25"/>
      <c r="B352" s="27"/>
    </row>
    <row r="353" spans="1:2" x14ac:dyDescent="0.2">
      <c r="A353" s="25"/>
      <c r="B353" s="27"/>
    </row>
    <row r="354" spans="1:2" x14ac:dyDescent="0.2">
      <c r="A354" s="25"/>
      <c r="B354" s="27"/>
    </row>
    <row r="355" spans="1:2" x14ac:dyDescent="0.2">
      <c r="A355" s="25"/>
      <c r="B355" s="27"/>
    </row>
    <row r="356" spans="1:2" x14ac:dyDescent="0.2">
      <c r="A356" s="25"/>
      <c r="B356" s="27"/>
    </row>
    <row r="357" spans="1:2" x14ac:dyDescent="0.2">
      <c r="A357" s="25"/>
      <c r="B357" s="27"/>
    </row>
    <row r="358" spans="1:2" x14ac:dyDescent="0.2">
      <c r="A358" s="25"/>
      <c r="B358" s="27"/>
    </row>
    <row r="359" spans="1:2" x14ac:dyDescent="0.2">
      <c r="A359" s="25"/>
      <c r="B359" s="27"/>
    </row>
    <row r="360" spans="1:2" x14ac:dyDescent="0.2">
      <c r="A360" s="25"/>
      <c r="B360" s="27"/>
    </row>
    <row r="361" spans="1:2" x14ac:dyDescent="0.2">
      <c r="A361" s="25"/>
      <c r="B361" s="27"/>
    </row>
    <row r="362" spans="1:2" x14ac:dyDescent="0.2">
      <c r="A362" s="25"/>
      <c r="B362" s="27"/>
    </row>
    <row r="363" spans="1:2" x14ac:dyDescent="0.2">
      <c r="A363" s="25"/>
      <c r="B363" s="27"/>
    </row>
    <row r="364" spans="1:2" x14ac:dyDescent="0.2">
      <c r="A364" s="25"/>
      <c r="B364" s="27"/>
    </row>
    <row r="365" spans="1:2" x14ac:dyDescent="0.2">
      <c r="A365" s="25"/>
      <c r="B365" s="27"/>
    </row>
    <row r="366" spans="1:2" x14ac:dyDescent="0.2">
      <c r="A366" s="25"/>
      <c r="B366" s="27"/>
    </row>
    <row r="367" spans="1:2" x14ac:dyDescent="0.2">
      <c r="A367" s="25"/>
      <c r="B367" s="27"/>
    </row>
    <row r="368" spans="1:2" ht="13.5" thickBot="1" x14ac:dyDescent="0.25">
      <c r="A368" s="16"/>
      <c r="B368" s="17"/>
    </row>
    <row r="369" spans="1:2" x14ac:dyDescent="0.2">
      <c r="A369" s="14" t="s">
        <v>2076</v>
      </c>
      <c r="B369" s="15" t="s">
        <v>2077</v>
      </c>
    </row>
    <row r="370" spans="1:2" x14ac:dyDescent="0.2">
      <c r="A370" s="25"/>
      <c r="B370" s="38"/>
    </row>
    <row r="371" spans="1:2" x14ac:dyDescent="0.2">
      <c r="A371" s="25"/>
      <c r="B371" s="38"/>
    </row>
    <row r="372" spans="1:2" x14ac:dyDescent="0.2">
      <c r="A372" s="25"/>
      <c r="B372" s="38"/>
    </row>
    <row r="373" spans="1:2" x14ac:dyDescent="0.2">
      <c r="A373" s="25"/>
      <c r="B373" s="38"/>
    </row>
    <row r="374" spans="1:2" ht="13.5" thickBot="1" x14ac:dyDescent="0.25">
      <c r="A374" s="16"/>
      <c r="B374" s="39"/>
    </row>
    <row r="375" spans="1:2" ht="13.5" thickBot="1" x14ac:dyDescent="0.25">
      <c r="A375" s="18" t="s">
        <v>2078</v>
      </c>
      <c r="B375" s="31" t="s">
        <v>2079</v>
      </c>
    </row>
    <row r="376" spans="1:2" ht="13.5" thickBot="1" x14ac:dyDescent="0.25">
      <c r="A376" s="18" t="s">
        <v>2080</v>
      </c>
      <c r="B376" s="31" t="s">
        <v>2081</v>
      </c>
    </row>
    <row r="377" spans="1:2" x14ac:dyDescent="0.2">
      <c r="A377" s="14" t="s">
        <v>2082</v>
      </c>
      <c r="B377" s="15" t="s">
        <v>2083</v>
      </c>
    </row>
    <row r="378" spans="1:2" ht="13.5" thickBot="1" x14ac:dyDescent="0.25">
      <c r="A378" s="16"/>
      <c r="B378" s="39"/>
    </row>
    <row r="379" spans="1:2" ht="13.5" thickBot="1" x14ac:dyDescent="0.25">
      <c r="A379" s="18" t="s">
        <v>2084</v>
      </c>
      <c r="B379" s="31" t="s">
        <v>2085</v>
      </c>
    </row>
    <row r="380" spans="1:2" ht="13.5" thickBot="1" x14ac:dyDescent="0.25">
      <c r="A380" s="18" t="s">
        <v>2086</v>
      </c>
      <c r="B380" s="31" t="s">
        <v>2087</v>
      </c>
    </row>
    <row r="381" spans="1:2" ht="31.15" customHeight="1" thickBot="1" x14ac:dyDescent="0.25">
      <c r="A381" s="21" t="s">
        <v>2088</v>
      </c>
      <c r="B381" s="22"/>
    </row>
    <row r="382" spans="1:2" ht="16.5" thickBot="1" x14ac:dyDescent="0.25">
      <c r="A382" s="21" t="s">
        <v>2089</v>
      </c>
      <c r="B382" s="22"/>
    </row>
    <row r="383" spans="1:2" x14ac:dyDescent="0.2">
      <c r="A383" s="32" t="s">
        <v>2090</v>
      </c>
      <c r="B383" s="40" t="s">
        <v>2091</v>
      </c>
    </row>
    <row r="384" spans="1:2" x14ac:dyDescent="0.2">
      <c r="A384" s="41"/>
      <c r="B384" s="42"/>
    </row>
    <row r="385" spans="1:2" x14ac:dyDescent="0.2">
      <c r="A385" s="41"/>
      <c r="B385" s="42"/>
    </row>
    <row r="386" spans="1:2" x14ac:dyDescent="0.2">
      <c r="A386" s="41"/>
      <c r="B386" s="42"/>
    </row>
    <row r="387" spans="1:2" x14ac:dyDescent="0.2">
      <c r="A387" s="41"/>
      <c r="B387" s="42"/>
    </row>
    <row r="388" spans="1:2" ht="13.5" thickBot="1" x14ac:dyDescent="0.25">
      <c r="A388" s="33"/>
      <c r="B388" s="43"/>
    </row>
    <row r="389" spans="1:2" x14ac:dyDescent="0.2">
      <c r="A389" s="32" t="s">
        <v>2092</v>
      </c>
      <c r="B389" s="40" t="s">
        <v>2093</v>
      </c>
    </row>
    <row r="390" spans="1:2" x14ac:dyDescent="0.2">
      <c r="A390" s="41"/>
      <c r="B390" s="42"/>
    </row>
    <row r="391" spans="1:2" x14ac:dyDescent="0.2">
      <c r="A391" s="41"/>
      <c r="B391" s="42"/>
    </row>
    <row r="392" spans="1:2" x14ac:dyDescent="0.2">
      <c r="A392" s="41"/>
      <c r="B392" s="42"/>
    </row>
    <row r="393" spans="1:2" x14ac:dyDescent="0.2">
      <c r="A393" s="41"/>
      <c r="B393" s="42"/>
    </row>
    <row r="394" spans="1:2" x14ac:dyDescent="0.2">
      <c r="A394" s="41"/>
      <c r="B394" s="42"/>
    </row>
    <row r="395" spans="1:2" x14ac:dyDescent="0.2">
      <c r="A395" s="41"/>
      <c r="B395" s="42"/>
    </row>
    <row r="396" spans="1:2" x14ac:dyDescent="0.2">
      <c r="A396" s="41"/>
      <c r="B396" s="42"/>
    </row>
    <row r="397" spans="1:2" x14ac:dyDescent="0.2">
      <c r="A397" s="41"/>
      <c r="B397" s="42"/>
    </row>
    <row r="398" spans="1:2" ht="13.5" thickBot="1" x14ac:dyDescent="0.25">
      <c r="A398" s="33"/>
      <c r="B398" s="43"/>
    </row>
    <row r="399" spans="1:2" x14ac:dyDescent="0.2">
      <c r="A399" s="32" t="s">
        <v>2094</v>
      </c>
      <c r="B399" s="40" t="s">
        <v>2095</v>
      </c>
    </row>
    <row r="400" spans="1:2" x14ac:dyDescent="0.2">
      <c r="A400" s="41"/>
      <c r="B400" s="42"/>
    </row>
    <row r="401" spans="1:2" x14ac:dyDescent="0.2">
      <c r="A401" s="41"/>
      <c r="B401" s="42"/>
    </row>
    <row r="402" spans="1:2" x14ac:dyDescent="0.2">
      <c r="A402" s="41"/>
      <c r="B402" s="42"/>
    </row>
    <row r="403" spans="1:2" x14ac:dyDescent="0.2">
      <c r="A403" s="41"/>
      <c r="B403" s="42"/>
    </row>
    <row r="404" spans="1:2" ht="13.5" thickBot="1" x14ac:dyDescent="0.25">
      <c r="A404" s="33"/>
      <c r="B404" s="43"/>
    </row>
    <row r="405" spans="1:2" x14ac:dyDescent="0.2">
      <c r="A405" s="32" t="s">
        <v>2096</v>
      </c>
      <c r="B405" s="40" t="s">
        <v>2097</v>
      </c>
    </row>
    <row r="406" spans="1:2" ht="13.5" thickBot="1" x14ac:dyDescent="0.25">
      <c r="A406" s="33"/>
      <c r="B406" s="43"/>
    </row>
    <row r="407" spans="1:2" x14ac:dyDescent="0.2">
      <c r="A407" s="32" t="s">
        <v>2098</v>
      </c>
      <c r="B407" s="40" t="s">
        <v>2099</v>
      </c>
    </row>
    <row r="408" spans="1:2" x14ac:dyDescent="0.2">
      <c r="A408" s="41"/>
      <c r="B408" s="42"/>
    </row>
    <row r="409" spans="1:2" x14ac:dyDescent="0.2">
      <c r="A409" s="41"/>
      <c r="B409" s="42"/>
    </row>
    <row r="410" spans="1:2" ht="13.5" thickBot="1" x14ac:dyDescent="0.25">
      <c r="A410" s="33"/>
      <c r="B410" s="43"/>
    </row>
    <row r="411" spans="1:2" x14ac:dyDescent="0.2">
      <c r="A411" s="32" t="s">
        <v>2100</v>
      </c>
      <c r="B411" s="40" t="s">
        <v>2101</v>
      </c>
    </row>
    <row r="412" spans="1:2" x14ac:dyDescent="0.2">
      <c r="A412" s="41"/>
      <c r="B412" s="42"/>
    </row>
    <row r="413" spans="1:2" x14ac:dyDescent="0.2">
      <c r="A413" s="41"/>
      <c r="B413" s="42"/>
    </row>
    <row r="414" spans="1:2" ht="13.5" thickBot="1" x14ac:dyDescent="0.25">
      <c r="A414" s="33"/>
      <c r="B414" s="43"/>
    </row>
    <row r="415" spans="1:2" x14ac:dyDescent="0.2">
      <c r="A415" s="32" t="s">
        <v>2102</v>
      </c>
      <c r="B415" s="40" t="s">
        <v>2103</v>
      </c>
    </row>
    <row r="416" spans="1:2" x14ac:dyDescent="0.2">
      <c r="A416" s="41"/>
      <c r="B416" s="42"/>
    </row>
    <row r="417" spans="1:2" x14ac:dyDescent="0.2">
      <c r="A417" s="41"/>
      <c r="B417" s="42"/>
    </row>
    <row r="418" spans="1:2" ht="13.5" thickBot="1" x14ac:dyDescent="0.25">
      <c r="A418" s="33"/>
      <c r="B418" s="43"/>
    </row>
    <row r="419" spans="1:2" ht="31.15" customHeight="1" thickBot="1" x14ac:dyDescent="0.25">
      <c r="A419" s="21" t="s">
        <v>2104</v>
      </c>
      <c r="B419" s="22"/>
    </row>
    <row r="420" spans="1:2" x14ac:dyDescent="0.2">
      <c r="A420" s="14" t="s">
        <v>2105</v>
      </c>
      <c r="B420" s="15" t="s">
        <v>2106</v>
      </c>
    </row>
    <row r="421" spans="1:2" x14ac:dyDescent="0.2">
      <c r="A421" s="25"/>
      <c r="B421" s="27" t="s">
        <v>2107</v>
      </c>
    </row>
    <row r="422" spans="1:2" x14ac:dyDescent="0.2">
      <c r="A422" s="25"/>
      <c r="B422" s="27"/>
    </row>
    <row r="423" spans="1:2" ht="13.5" thickBot="1" x14ac:dyDescent="0.25">
      <c r="A423" s="16"/>
      <c r="B423" s="17"/>
    </row>
    <row r="424" spans="1:2" ht="409.6" customHeight="1" x14ac:dyDescent="0.2">
      <c r="A424" s="14" t="s">
        <v>2108</v>
      </c>
      <c r="B424" s="20" t="s">
        <v>2109</v>
      </c>
    </row>
    <row r="425" spans="1:2" ht="13.5" thickBot="1" x14ac:dyDescent="0.25">
      <c r="A425" s="16"/>
      <c r="B425" s="17"/>
    </row>
    <row r="426" spans="1:2" ht="26.25" thickBot="1" x14ac:dyDescent="0.25">
      <c r="A426" s="18" t="s">
        <v>2110</v>
      </c>
      <c r="B426" s="19" t="s">
        <v>2111</v>
      </c>
    </row>
    <row r="427" spans="1:2" ht="316.14999999999998" customHeight="1" x14ac:dyDescent="0.2">
      <c r="A427" s="14" t="s">
        <v>2112</v>
      </c>
      <c r="B427" s="20" t="s">
        <v>2113</v>
      </c>
    </row>
    <row r="428" spans="1:2" ht="13.5" thickBot="1" x14ac:dyDescent="0.25">
      <c r="A428" s="16"/>
      <c r="B428" s="17"/>
    </row>
    <row r="429" spans="1:2" ht="13.5" thickBot="1" x14ac:dyDescent="0.25">
      <c r="A429" s="18" t="s">
        <v>2114</v>
      </c>
      <c r="B429" s="19" t="s">
        <v>2115</v>
      </c>
    </row>
    <row r="430" spans="1:2" x14ac:dyDescent="0.2">
      <c r="A430" s="14" t="s">
        <v>2116</v>
      </c>
      <c r="B430" s="15" t="s">
        <v>2117</v>
      </c>
    </row>
    <row r="431" spans="1:2" ht="39" thickBot="1" x14ac:dyDescent="0.25">
      <c r="A431" s="16"/>
      <c r="B431" s="17" t="s">
        <v>2118</v>
      </c>
    </row>
    <row r="432" spans="1:2" ht="51.75" thickBot="1" x14ac:dyDescent="0.25">
      <c r="A432" s="18" t="s">
        <v>2119</v>
      </c>
      <c r="B432" s="19" t="s">
        <v>2120</v>
      </c>
    </row>
    <row r="433" spans="1:2" x14ac:dyDescent="0.2">
      <c r="A433" s="14" t="s">
        <v>2121</v>
      </c>
      <c r="B433" s="14"/>
    </row>
    <row r="434" spans="1:2" ht="13.5" thickBot="1" x14ac:dyDescent="0.25">
      <c r="A434" s="16"/>
      <c r="B434" s="16"/>
    </row>
    <row r="435" spans="1:2" ht="13.5" thickBot="1" x14ac:dyDescent="0.25">
      <c r="A435" s="18" t="s">
        <v>2122</v>
      </c>
      <c r="B435" s="31" t="s">
        <v>2123</v>
      </c>
    </row>
    <row r="436" spans="1:2" x14ac:dyDescent="0.2">
      <c r="A436" s="14" t="s">
        <v>2124</v>
      </c>
      <c r="B436" s="15" t="s">
        <v>2125</v>
      </c>
    </row>
    <row r="437" spans="1:2" ht="13.5" thickBot="1" x14ac:dyDescent="0.25">
      <c r="A437" s="16"/>
      <c r="B437" s="39"/>
    </row>
    <row r="438" spans="1:2" ht="13.5" thickBot="1" x14ac:dyDescent="0.25">
      <c r="A438" s="18" t="s">
        <v>2126</v>
      </c>
      <c r="B438" s="31" t="s">
        <v>2127</v>
      </c>
    </row>
    <row r="439" spans="1:2" ht="13.5" thickBot="1" x14ac:dyDescent="0.25">
      <c r="A439" s="18" t="s">
        <v>2128</v>
      </c>
      <c r="B439" s="31" t="s">
        <v>2129</v>
      </c>
    </row>
    <row r="440" spans="1:2" x14ac:dyDescent="0.2">
      <c r="A440" s="14" t="s">
        <v>2130</v>
      </c>
      <c r="B440" s="15" t="s">
        <v>2131</v>
      </c>
    </row>
    <row r="441" spans="1:2" ht="13.5" thickBot="1" x14ac:dyDescent="0.25">
      <c r="A441" s="16"/>
      <c r="B441" s="39"/>
    </row>
    <row r="442" spans="1:2" ht="31.15" customHeight="1" thickBot="1" x14ac:dyDescent="0.25">
      <c r="A442" s="21" t="s">
        <v>2132</v>
      </c>
      <c r="B442" s="22"/>
    </row>
    <row r="443" spans="1:2" ht="16.5" thickBot="1" x14ac:dyDescent="0.25">
      <c r="A443" s="21" t="s">
        <v>2089</v>
      </c>
      <c r="B443" s="22"/>
    </row>
    <row r="444" spans="1:2" x14ac:dyDescent="0.2">
      <c r="A444" s="32" t="s">
        <v>2133</v>
      </c>
      <c r="B444" s="40" t="s">
        <v>2134</v>
      </c>
    </row>
    <row r="445" spans="1:2" x14ac:dyDescent="0.2">
      <c r="A445" s="41"/>
      <c r="B445" s="42"/>
    </row>
    <row r="446" spans="1:2" x14ac:dyDescent="0.2">
      <c r="A446" s="41"/>
      <c r="B446" s="42"/>
    </row>
    <row r="447" spans="1:2" x14ac:dyDescent="0.2">
      <c r="A447" s="41"/>
      <c r="B447" s="42"/>
    </row>
    <row r="448" spans="1:2" x14ac:dyDescent="0.2">
      <c r="A448" s="41"/>
      <c r="B448" s="42"/>
    </row>
    <row r="449" spans="1:2" x14ac:dyDescent="0.2">
      <c r="A449" s="41"/>
      <c r="B449" s="42"/>
    </row>
    <row r="450" spans="1:2" x14ac:dyDescent="0.2">
      <c r="A450" s="41"/>
      <c r="B450" s="42"/>
    </row>
    <row r="451" spans="1:2" ht="13.5" thickBot="1" x14ac:dyDescent="0.25">
      <c r="A451" s="33"/>
      <c r="B451" s="43"/>
    </row>
    <row r="452" spans="1:2" x14ac:dyDescent="0.2">
      <c r="A452" s="32" t="s">
        <v>2135</v>
      </c>
      <c r="B452" s="40" t="s">
        <v>2136</v>
      </c>
    </row>
    <row r="453" spans="1:2" x14ac:dyDescent="0.2">
      <c r="A453" s="41"/>
      <c r="B453" s="42"/>
    </row>
    <row r="454" spans="1:2" x14ac:dyDescent="0.2">
      <c r="A454" s="41"/>
      <c r="B454" s="42"/>
    </row>
    <row r="455" spans="1:2" x14ac:dyDescent="0.2">
      <c r="A455" s="41"/>
      <c r="B455" s="42"/>
    </row>
    <row r="456" spans="1:2" x14ac:dyDescent="0.2">
      <c r="A456" s="41"/>
      <c r="B456" s="42"/>
    </row>
    <row r="457" spans="1:2" x14ac:dyDescent="0.2">
      <c r="A457" s="41"/>
      <c r="B457" s="42"/>
    </row>
    <row r="458" spans="1:2" x14ac:dyDescent="0.2">
      <c r="A458" s="41"/>
      <c r="B458" s="42"/>
    </row>
    <row r="459" spans="1:2" ht="13.5" thickBot="1" x14ac:dyDescent="0.25">
      <c r="A459" s="33"/>
      <c r="B459" s="43"/>
    </row>
    <row r="460" spans="1:2" x14ac:dyDescent="0.2">
      <c r="A460" s="32" t="s">
        <v>2137</v>
      </c>
      <c r="B460" s="40" t="s">
        <v>2138</v>
      </c>
    </row>
    <row r="461" spans="1:2" x14ac:dyDescent="0.2">
      <c r="A461" s="41"/>
      <c r="B461" s="42"/>
    </row>
    <row r="462" spans="1:2" x14ac:dyDescent="0.2">
      <c r="A462" s="41"/>
      <c r="B462" s="42"/>
    </row>
    <row r="463" spans="1:2" ht="13.5" thickBot="1" x14ac:dyDescent="0.25">
      <c r="A463" s="33"/>
      <c r="B463" s="43"/>
    </row>
    <row r="464" spans="1:2" ht="13.5" thickBot="1" x14ac:dyDescent="0.25">
      <c r="A464" s="36" t="s">
        <v>2139</v>
      </c>
      <c r="B464" s="44" t="s">
        <v>2140</v>
      </c>
    </row>
    <row r="465" spans="1:2" x14ac:dyDescent="0.2">
      <c r="A465" s="32" t="s">
        <v>2141</v>
      </c>
      <c r="B465" s="40" t="s">
        <v>2142</v>
      </c>
    </row>
    <row r="466" spans="1:2" x14ac:dyDescent="0.2">
      <c r="A466" s="41"/>
      <c r="B466" s="42"/>
    </row>
    <row r="467" spans="1:2" x14ac:dyDescent="0.2">
      <c r="A467" s="41"/>
      <c r="B467" s="42"/>
    </row>
    <row r="468" spans="1:2" ht="13.5" thickBot="1" x14ac:dyDescent="0.25">
      <c r="A468" s="33"/>
      <c r="B468" s="43"/>
    </row>
    <row r="469" spans="1:2" x14ac:dyDescent="0.2">
      <c r="A469" s="32" t="s">
        <v>2143</v>
      </c>
      <c r="B469" s="40" t="s">
        <v>2144</v>
      </c>
    </row>
    <row r="470" spans="1:2" ht="13.5" thickBot="1" x14ac:dyDescent="0.25">
      <c r="A470" s="33"/>
      <c r="B470" s="43"/>
    </row>
    <row r="471" spans="1:2" x14ac:dyDescent="0.2">
      <c r="A471" s="32" t="s">
        <v>2145</v>
      </c>
      <c r="B471" s="40" t="s">
        <v>2146</v>
      </c>
    </row>
    <row r="472" spans="1:2" x14ac:dyDescent="0.2">
      <c r="A472" s="41"/>
      <c r="B472" s="42"/>
    </row>
    <row r="473" spans="1:2" x14ac:dyDescent="0.2">
      <c r="A473" s="41"/>
      <c r="B473" s="42"/>
    </row>
    <row r="474" spans="1:2" ht="13.5" thickBot="1" x14ac:dyDescent="0.25">
      <c r="A474" s="33"/>
      <c r="B474" s="43"/>
    </row>
    <row r="475" spans="1:2" ht="31.15" customHeight="1" thickBot="1" x14ac:dyDescent="0.25">
      <c r="A475" s="21" t="s">
        <v>2147</v>
      </c>
      <c r="B475" s="22"/>
    </row>
    <row r="476" spans="1:2" x14ac:dyDescent="0.2">
      <c r="A476" s="32" t="s">
        <v>2148</v>
      </c>
      <c r="B476" s="40" t="s">
        <v>2149</v>
      </c>
    </row>
    <row r="477" spans="1:2" x14ac:dyDescent="0.2">
      <c r="A477" s="41"/>
      <c r="B477" s="45" t="s">
        <v>2150</v>
      </c>
    </row>
    <row r="478" spans="1:2" x14ac:dyDescent="0.2">
      <c r="A478" s="41"/>
      <c r="B478" s="45"/>
    </row>
    <row r="479" spans="1:2" x14ac:dyDescent="0.2">
      <c r="A479" s="41"/>
      <c r="B479" s="45"/>
    </row>
    <row r="480" spans="1:2" x14ac:dyDescent="0.2">
      <c r="A480" s="41"/>
      <c r="B480" s="45"/>
    </row>
    <row r="481" spans="1:2" x14ac:dyDescent="0.2">
      <c r="A481" s="41"/>
      <c r="B481" s="45"/>
    </row>
    <row r="482" spans="1:2" x14ac:dyDescent="0.2">
      <c r="A482" s="41"/>
      <c r="B482" s="45"/>
    </row>
    <row r="483" spans="1:2" x14ac:dyDescent="0.2">
      <c r="A483" s="41"/>
      <c r="B483" s="45"/>
    </row>
    <row r="484" spans="1:2" x14ac:dyDescent="0.2">
      <c r="A484" s="41"/>
      <c r="B484" s="45"/>
    </row>
    <row r="485" spans="1:2" ht="13.5" thickBot="1" x14ac:dyDescent="0.25">
      <c r="A485" s="33"/>
      <c r="B485" s="35"/>
    </row>
    <row r="486" spans="1:2" x14ac:dyDescent="0.2">
      <c r="A486" s="32" t="s">
        <v>2151</v>
      </c>
      <c r="B486" s="40" t="s">
        <v>2152</v>
      </c>
    </row>
    <row r="487" spans="1:2" ht="13.5" thickBot="1" x14ac:dyDescent="0.25">
      <c r="A487" s="33"/>
      <c r="B487" s="35" t="s">
        <v>2153</v>
      </c>
    </row>
    <row r="488" spans="1:2" x14ac:dyDescent="0.2">
      <c r="A488" s="32" t="s">
        <v>2154</v>
      </c>
      <c r="B488" s="40" t="s">
        <v>2155</v>
      </c>
    </row>
    <row r="489" spans="1:2" ht="25.5" x14ac:dyDescent="0.2">
      <c r="A489" s="41"/>
      <c r="B489" s="45" t="s">
        <v>2156</v>
      </c>
    </row>
    <row r="490" spans="1:2" x14ac:dyDescent="0.2">
      <c r="A490" s="41"/>
      <c r="B490" s="45"/>
    </row>
    <row r="491" spans="1:2" ht="13.5" thickBot="1" x14ac:dyDescent="0.25">
      <c r="A491" s="33"/>
      <c r="B491" s="35"/>
    </row>
    <row r="492" spans="1:2" x14ac:dyDescent="0.2">
      <c r="A492" s="14" t="s">
        <v>2157</v>
      </c>
      <c r="B492" s="15" t="s">
        <v>2158</v>
      </c>
    </row>
    <row r="493" spans="1:2" ht="25.5" x14ac:dyDescent="0.2">
      <c r="A493" s="25"/>
      <c r="B493" s="27" t="s">
        <v>2159</v>
      </c>
    </row>
    <row r="494" spans="1:2" x14ac:dyDescent="0.2">
      <c r="A494" s="25"/>
      <c r="B494" s="27"/>
    </row>
    <row r="495" spans="1:2" x14ac:dyDescent="0.2">
      <c r="A495" s="25"/>
      <c r="B495" s="27"/>
    </row>
    <row r="496" spans="1:2" x14ac:dyDescent="0.2">
      <c r="A496" s="25"/>
      <c r="B496" s="27"/>
    </row>
    <row r="497" spans="1:2" x14ac:dyDescent="0.2">
      <c r="A497" s="25"/>
      <c r="B497" s="27"/>
    </row>
    <row r="498" spans="1:2" x14ac:dyDescent="0.2">
      <c r="A498" s="25"/>
      <c r="B498" s="27"/>
    </row>
    <row r="499" spans="1:2" x14ac:dyDescent="0.2">
      <c r="A499" s="25"/>
      <c r="B499" s="27"/>
    </row>
    <row r="500" spans="1:2" x14ac:dyDescent="0.2">
      <c r="A500" s="25"/>
      <c r="B500" s="27"/>
    </row>
    <row r="501" spans="1:2" x14ac:dyDescent="0.2">
      <c r="A501" s="25"/>
      <c r="B501" s="27"/>
    </row>
    <row r="502" spans="1:2" x14ac:dyDescent="0.2">
      <c r="A502" s="25"/>
      <c r="B502" s="27"/>
    </row>
    <row r="503" spans="1:2" x14ac:dyDescent="0.2">
      <c r="A503" s="25"/>
      <c r="B503" s="27"/>
    </row>
    <row r="504" spans="1:2" x14ac:dyDescent="0.2">
      <c r="A504" s="25"/>
      <c r="B504" s="27"/>
    </row>
    <row r="505" spans="1:2" x14ac:dyDescent="0.2">
      <c r="A505" s="25"/>
      <c r="B505" s="27"/>
    </row>
    <row r="506" spans="1:2" x14ac:dyDescent="0.2">
      <c r="A506" s="25"/>
      <c r="B506" s="27"/>
    </row>
    <row r="507" spans="1:2" x14ac:dyDescent="0.2">
      <c r="A507" s="25"/>
      <c r="B507" s="27"/>
    </row>
    <row r="508" spans="1:2" x14ac:dyDescent="0.2">
      <c r="A508" s="25"/>
      <c r="B508" s="27"/>
    </row>
    <row r="509" spans="1:2" x14ac:dyDescent="0.2">
      <c r="A509" s="25"/>
      <c r="B509" s="27"/>
    </row>
    <row r="510" spans="1:2" x14ac:dyDescent="0.2">
      <c r="A510" s="25"/>
      <c r="B510" s="27"/>
    </row>
    <row r="511" spans="1:2" ht="13.5" thickBot="1" x14ac:dyDescent="0.25">
      <c r="A511" s="16"/>
      <c r="B511" s="17"/>
    </row>
    <row r="512" spans="1:2" x14ac:dyDescent="0.2">
      <c r="A512" s="14" t="s">
        <v>2160</v>
      </c>
      <c r="B512" s="15" t="s">
        <v>2161</v>
      </c>
    </row>
    <row r="513" spans="1:2" ht="25.5" x14ac:dyDescent="0.2">
      <c r="A513" s="25"/>
      <c r="B513" s="27" t="s">
        <v>2162</v>
      </c>
    </row>
    <row r="514" spans="1:2" x14ac:dyDescent="0.2">
      <c r="A514" s="25"/>
      <c r="B514" s="27"/>
    </row>
    <row r="515" spans="1:2" x14ac:dyDescent="0.2">
      <c r="A515" s="25"/>
      <c r="B515" s="27"/>
    </row>
    <row r="516" spans="1:2" x14ac:dyDescent="0.2">
      <c r="A516" s="25"/>
      <c r="B516" s="27"/>
    </row>
    <row r="517" spans="1:2" x14ac:dyDescent="0.2">
      <c r="A517" s="25"/>
      <c r="B517" s="27"/>
    </row>
    <row r="518" spans="1:2" x14ac:dyDescent="0.2">
      <c r="A518" s="25"/>
      <c r="B518" s="27"/>
    </row>
    <row r="519" spans="1:2" ht="13.5" thickBot="1" x14ac:dyDescent="0.25">
      <c r="A519" s="16"/>
      <c r="B519" s="17"/>
    </row>
    <row r="520" spans="1:2" x14ac:dyDescent="0.2">
      <c r="A520" s="32" t="s">
        <v>2163</v>
      </c>
      <c r="B520" s="40" t="s">
        <v>2164</v>
      </c>
    </row>
    <row r="521" spans="1:2" x14ac:dyDescent="0.2">
      <c r="A521" s="41"/>
      <c r="B521" s="45" t="s">
        <v>2165</v>
      </c>
    </row>
    <row r="522" spans="1:2" x14ac:dyDescent="0.2">
      <c r="A522" s="41"/>
      <c r="B522" s="45"/>
    </row>
    <row r="523" spans="1:2" x14ac:dyDescent="0.2">
      <c r="A523" s="41"/>
      <c r="B523" s="45"/>
    </row>
    <row r="524" spans="1:2" x14ac:dyDescent="0.2">
      <c r="A524" s="41"/>
      <c r="B524" s="45"/>
    </row>
    <row r="525" spans="1:2" x14ac:dyDescent="0.2">
      <c r="A525" s="41"/>
      <c r="B525" s="45"/>
    </row>
    <row r="526" spans="1:2" x14ac:dyDescent="0.2">
      <c r="A526" s="41"/>
      <c r="B526" s="45"/>
    </row>
    <row r="527" spans="1:2" x14ac:dyDescent="0.2">
      <c r="A527" s="41"/>
      <c r="B527" s="45"/>
    </row>
    <row r="528" spans="1:2" x14ac:dyDescent="0.2">
      <c r="A528" s="41"/>
      <c r="B528" s="45"/>
    </row>
    <row r="529" spans="1:2" x14ac:dyDescent="0.2">
      <c r="A529" s="41"/>
      <c r="B529" s="45"/>
    </row>
    <row r="530" spans="1:2" x14ac:dyDescent="0.2">
      <c r="A530" s="41"/>
      <c r="B530" s="45"/>
    </row>
    <row r="531" spans="1:2" ht="13.5" thickBot="1" x14ac:dyDescent="0.25">
      <c r="A531" s="33"/>
      <c r="B531" s="35"/>
    </row>
    <row r="532" spans="1:2" ht="32.450000000000003" customHeight="1" thickBot="1" x14ac:dyDescent="0.25">
      <c r="A532" s="29" t="s">
        <v>2166</v>
      </c>
      <c r="B532" s="30"/>
    </row>
    <row r="533" spans="1:2" ht="409.6" customHeight="1" x14ac:dyDescent="0.2">
      <c r="A533" s="14" t="s">
        <v>2167</v>
      </c>
      <c r="B533" s="20" t="s">
        <v>2168</v>
      </c>
    </row>
    <row r="534" spans="1:2" ht="13.5" thickBot="1" x14ac:dyDescent="0.25">
      <c r="A534" s="16"/>
      <c r="B534" s="17"/>
    </row>
    <row r="535" spans="1:2" ht="39" thickBot="1" x14ac:dyDescent="0.25">
      <c r="A535" s="18" t="s">
        <v>2169</v>
      </c>
      <c r="B535" s="19" t="s">
        <v>2170</v>
      </c>
    </row>
    <row r="536" spans="1:2" ht="39" thickBot="1" x14ac:dyDescent="0.25">
      <c r="A536" s="18" t="s">
        <v>2171</v>
      </c>
      <c r="B536" s="19" t="s">
        <v>2172</v>
      </c>
    </row>
    <row r="537" spans="1:2" ht="13.15" customHeight="1" x14ac:dyDescent="0.2">
      <c r="A537" s="14" t="s">
        <v>2173</v>
      </c>
      <c r="B537" s="20" t="s">
        <v>2174</v>
      </c>
    </row>
    <row r="538" spans="1:2" x14ac:dyDescent="0.2">
      <c r="A538" s="25"/>
      <c r="B538" s="27"/>
    </row>
    <row r="539" spans="1:2" x14ac:dyDescent="0.2">
      <c r="A539" s="25"/>
      <c r="B539" s="27"/>
    </row>
    <row r="540" spans="1:2" x14ac:dyDescent="0.2">
      <c r="A540" s="25"/>
      <c r="B540" s="27"/>
    </row>
    <row r="541" spans="1:2" x14ac:dyDescent="0.2">
      <c r="A541" s="25"/>
      <c r="B541" s="27"/>
    </row>
    <row r="542" spans="1:2" x14ac:dyDescent="0.2">
      <c r="A542" s="25"/>
      <c r="B542" s="27"/>
    </row>
    <row r="543" spans="1:2" x14ac:dyDescent="0.2">
      <c r="A543" s="25"/>
      <c r="B543" s="27"/>
    </row>
    <row r="544" spans="1:2" ht="13.5" thickBot="1" x14ac:dyDescent="0.25">
      <c r="A544" s="16"/>
      <c r="B544" s="17"/>
    </row>
    <row r="545" spans="1:2" x14ac:dyDescent="0.2">
      <c r="A545" s="32" t="s">
        <v>2175</v>
      </c>
      <c r="B545" s="34" t="s">
        <v>2176</v>
      </c>
    </row>
    <row r="546" spans="1:2" ht="13.5" thickBot="1" x14ac:dyDescent="0.25">
      <c r="A546" s="33"/>
      <c r="B546" s="35"/>
    </row>
    <row r="547" spans="1:2" x14ac:dyDescent="0.2">
      <c r="A547" s="32" t="s">
        <v>2177</v>
      </c>
      <c r="B547" s="34" t="s">
        <v>2178</v>
      </c>
    </row>
    <row r="548" spans="1:2" ht="13.5" thickBot="1" x14ac:dyDescent="0.25">
      <c r="A548" s="33"/>
      <c r="B548" s="35"/>
    </row>
    <row r="549" spans="1:2" ht="48.6" customHeight="1" thickBot="1" x14ac:dyDescent="0.25">
      <c r="A549" s="29" t="s">
        <v>2179</v>
      </c>
      <c r="B549" s="30"/>
    </row>
    <row r="550" spans="1:2" ht="145.9" customHeight="1" thickBot="1" x14ac:dyDescent="0.25">
      <c r="A550" s="23" t="s">
        <v>2180</v>
      </c>
      <c r="B550" s="24"/>
    </row>
    <row r="551" spans="1:2" ht="16.5" thickBot="1" x14ac:dyDescent="0.25">
      <c r="A551" s="21" t="s">
        <v>2181</v>
      </c>
      <c r="B551" s="22"/>
    </row>
    <row r="552" spans="1:2" ht="13.15" customHeight="1" x14ac:dyDescent="0.2">
      <c r="A552" s="14" t="s">
        <v>2182</v>
      </c>
      <c r="B552" s="20" t="s">
        <v>2183</v>
      </c>
    </row>
    <row r="553" spans="1:2" x14ac:dyDescent="0.2">
      <c r="A553" s="25"/>
      <c r="B553" s="27"/>
    </row>
    <row r="554" spans="1:2" x14ac:dyDescent="0.2">
      <c r="A554" s="25"/>
      <c r="B554" s="27"/>
    </row>
    <row r="555" spans="1:2" x14ac:dyDescent="0.2">
      <c r="A555" s="25"/>
      <c r="B555" s="27"/>
    </row>
    <row r="556" spans="1:2" x14ac:dyDescent="0.2">
      <c r="A556" s="25"/>
      <c r="B556" s="27"/>
    </row>
    <row r="557" spans="1:2" x14ac:dyDescent="0.2">
      <c r="A557" s="25"/>
      <c r="B557" s="27"/>
    </row>
    <row r="558" spans="1:2" x14ac:dyDescent="0.2">
      <c r="A558" s="25"/>
      <c r="B558" s="27"/>
    </row>
    <row r="559" spans="1:2" x14ac:dyDescent="0.2">
      <c r="A559" s="25"/>
      <c r="B559" s="27"/>
    </row>
    <row r="560" spans="1:2" x14ac:dyDescent="0.2">
      <c r="A560" s="25"/>
      <c r="B560" s="27"/>
    </row>
    <row r="561" spans="1:2" ht="13.5" thickBot="1" x14ac:dyDescent="0.25">
      <c r="A561" s="16"/>
      <c r="B561" s="17"/>
    </row>
    <row r="562" spans="1:2" ht="13.15" customHeight="1" x14ac:dyDescent="0.2">
      <c r="A562" s="14" t="s">
        <v>2184</v>
      </c>
      <c r="B562" s="20" t="s">
        <v>2185</v>
      </c>
    </row>
    <row r="563" spans="1:2" x14ac:dyDescent="0.2">
      <c r="A563" s="25"/>
      <c r="B563" s="27"/>
    </row>
    <row r="564" spans="1:2" x14ac:dyDescent="0.2">
      <c r="A564" s="25"/>
      <c r="B564" s="27"/>
    </row>
    <row r="565" spans="1:2" x14ac:dyDescent="0.2">
      <c r="A565" s="25"/>
      <c r="B565" s="27"/>
    </row>
    <row r="566" spans="1:2" x14ac:dyDescent="0.2">
      <c r="A566" s="25"/>
      <c r="B566" s="27"/>
    </row>
    <row r="567" spans="1:2" x14ac:dyDescent="0.2">
      <c r="A567" s="25"/>
      <c r="B567" s="27"/>
    </row>
    <row r="568" spans="1:2" x14ac:dyDescent="0.2">
      <c r="A568" s="25"/>
      <c r="B568" s="27"/>
    </row>
    <row r="569" spans="1:2" x14ac:dyDescent="0.2">
      <c r="A569" s="25"/>
      <c r="B569" s="27"/>
    </row>
    <row r="570" spans="1:2" x14ac:dyDescent="0.2">
      <c r="A570" s="25"/>
      <c r="B570" s="27"/>
    </row>
    <row r="571" spans="1:2" x14ac:dyDescent="0.2">
      <c r="A571" s="25"/>
      <c r="B571" s="27"/>
    </row>
    <row r="572" spans="1:2" x14ac:dyDescent="0.2">
      <c r="A572" s="25"/>
      <c r="B572" s="27"/>
    </row>
    <row r="573" spans="1:2" x14ac:dyDescent="0.2">
      <c r="A573" s="25"/>
      <c r="B573" s="27"/>
    </row>
    <row r="574" spans="1:2" x14ac:dyDescent="0.2">
      <c r="A574" s="25"/>
      <c r="B574" s="27"/>
    </row>
    <row r="575" spans="1:2" x14ac:dyDescent="0.2">
      <c r="A575" s="25"/>
      <c r="B575" s="27"/>
    </row>
    <row r="576" spans="1:2" x14ac:dyDescent="0.2">
      <c r="A576" s="25"/>
      <c r="B576" s="27"/>
    </row>
    <row r="577" spans="1:2" ht="13.5" thickBot="1" x14ac:dyDescent="0.25">
      <c r="A577" s="16"/>
      <c r="B577" s="17"/>
    </row>
    <row r="578" spans="1:2" x14ac:dyDescent="0.2">
      <c r="A578" s="32" t="s">
        <v>2186</v>
      </c>
      <c r="B578" s="34" t="s">
        <v>2187</v>
      </c>
    </row>
    <row r="579" spans="1:2" ht="13.5" thickBot="1" x14ac:dyDescent="0.25">
      <c r="A579" s="33"/>
      <c r="B579" s="35"/>
    </row>
    <row r="580" spans="1:2" ht="31.15" customHeight="1" thickBot="1" x14ac:dyDescent="0.25">
      <c r="A580" s="21" t="s">
        <v>2188</v>
      </c>
      <c r="B580" s="22"/>
    </row>
    <row r="581" spans="1:2" ht="13.15" customHeight="1" x14ac:dyDescent="0.2">
      <c r="A581" s="14" t="s">
        <v>2189</v>
      </c>
      <c r="B581" s="20" t="s">
        <v>2190</v>
      </c>
    </row>
    <row r="582" spans="1:2" x14ac:dyDescent="0.2">
      <c r="A582" s="25"/>
      <c r="B582" s="27"/>
    </row>
    <row r="583" spans="1:2" x14ac:dyDescent="0.2">
      <c r="A583" s="25"/>
      <c r="B583" s="27"/>
    </row>
    <row r="584" spans="1:2" x14ac:dyDescent="0.2">
      <c r="A584" s="25"/>
      <c r="B584" s="27"/>
    </row>
    <row r="585" spans="1:2" x14ac:dyDescent="0.2">
      <c r="A585" s="25"/>
      <c r="B585" s="27"/>
    </row>
    <row r="586" spans="1:2" x14ac:dyDescent="0.2">
      <c r="A586" s="25"/>
      <c r="B586" s="27"/>
    </row>
    <row r="587" spans="1:2" x14ac:dyDescent="0.2">
      <c r="A587" s="25"/>
      <c r="B587" s="27"/>
    </row>
    <row r="588" spans="1:2" x14ac:dyDescent="0.2">
      <c r="A588" s="25"/>
      <c r="B588" s="27"/>
    </row>
    <row r="589" spans="1:2" x14ac:dyDescent="0.2">
      <c r="A589" s="25"/>
      <c r="B589" s="27"/>
    </row>
    <row r="590" spans="1:2" x14ac:dyDescent="0.2">
      <c r="A590" s="25"/>
      <c r="B590" s="27"/>
    </row>
    <row r="591" spans="1:2" x14ac:dyDescent="0.2">
      <c r="A591" s="25"/>
      <c r="B591" s="27"/>
    </row>
    <row r="592" spans="1:2" x14ac:dyDescent="0.2">
      <c r="A592" s="25"/>
      <c r="B592" s="27"/>
    </row>
    <row r="593" spans="1:2" x14ac:dyDescent="0.2">
      <c r="A593" s="25"/>
      <c r="B593" s="27"/>
    </row>
    <row r="594" spans="1:2" x14ac:dyDescent="0.2">
      <c r="A594" s="25"/>
      <c r="B594" s="27"/>
    </row>
    <row r="595" spans="1:2" x14ac:dyDescent="0.2">
      <c r="A595" s="25"/>
      <c r="B595" s="27"/>
    </row>
    <row r="596" spans="1:2" x14ac:dyDescent="0.2">
      <c r="A596" s="25"/>
      <c r="B596" s="27"/>
    </row>
    <row r="597" spans="1:2" x14ac:dyDescent="0.2">
      <c r="A597" s="25"/>
      <c r="B597" s="27"/>
    </row>
    <row r="598" spans="1:2" x14ac:dyDescent="0.2">
      <c r="A598" s="25"/>
      <c r="B598" s="27"/>
    </row>
    <row r="599" spans="1:2" x14ac:dyDescent="0.2">
      <c r="A599" s="25"/>
      <c r="B599" s="27"/>
    </row>
    <row r="600" spans="1:2" ht="13.5" thickBot="1" x14ac:dyDescent="0.25">
      <c r="A600" s="16"/>
      <c r="B600" s="17"/>
    </row>
    <row r="601" spans="1:2" x14ac:dyDescent="0.2">
      <c r="A601" s="14" t="s">
        <v>2191</v>
      </c>
      <c r="B601" s="20" t="s">
        <v>2192</v>
      </c>
    </row>
    <row r="602" spans="1:2" x14ac:dyDescent="0.2">
      <c r="A602" s="25"/>
      <c r="B602" s="27"/>
    </row>
    <row r="603" spans="1:2" x14ac:dyDescent="0.2">
      <c r="A603" s="25"/>
      <c r="B603" s="27"/>
    </row>
    <row r="604" spans="1:2" x14ac:dyDescent="0.2">
      <c r="A604" s="25"/>
      <c r="B604" s="27"/>
    </row>
    <row r="605" spans="1:2" x14ac:dyDescent="0.2">
      <c r="A605" s="25"/>
      <c r="B605" s="27"/>
    </row>
    <row r="606" spans="1:2" x14ac:dyDescent="0.2">
      <c r="A606" s="25"/>
      <c r="B606" s="27"/>
    </row>
    <row r="607" spans="1:2" x14ac:dyDescent="0.2">
      <c r="A607" s="25"/>
      <c r="B607" s="27"/>
    </row>
    <row r="608" spans="1:2" x14ac:dyDescent="0.2">
      <c r="A608" s="25"/>
      <c r="B608" s="27"/>
    </row>
    <row r="609" spans="1:2" x14ac:dyDescent="0.2">
      <c r="A609" s="25"/>
      <c r="B609" s="27"/>
    </row>
    <row r="610" spans="1:2" x14ac:dyDescent="0.2">
      <c r="A610" s="25"/>
      <c r="B610" s="27"/>
    </row>
    <row r="611" spans="1:2" x14ac:dyDescent="0.2">
      <c r="A611" s="25"/>
      <c r="B611" s="27"/>
    </row>
    <row r="612" spans="1:2" x14ac:dyDescent="0.2">
      <c r="A612" s="25"/>
      <c r="B612" s="27"/>
    </row>
    <row r="613" spans="1:2" x14ac:dyDescent="0.2">
      <c r="A613" s="25"/>
      <c r="B613" s="27"/>
    </row>
    <row r="614" spans="1:2" x14ac:dyDescent="0.2">
      <c r="A614" s="25"/>
      <c r="B614" s="27"/>
    </row>
    <row r="615" spans="1:2" x14ac:dyDescent="0.2">
      <c r="A615" s="25"/>
      <c r="B615" s="27"/>
    </row>
    <row r="616" spans="1:2" x14ac:dyDescent="0.2">
      <c r="A616" s="25"/>
      <c r="B616" s="27"/>
    </row>
    <row r="617" spans="1:2" x14ac:dyDescent="0.2">
      <c r="A617" s="25"/>
      <c r="B617" s="27"/>
    </row>
    <row r="618" spans="1:2" ht="13.5" thickBot="1" x14ac:dyDescent="0.25">
      <c r="A618" s="16"/>
      <c r="B618" s="17"/>
    </row>
    <row r="619" spans="1:2" ht="13.15" customHeight="1" x14ac:dyDescent="0.2">
      <c r="A619" s="14" t="s">
        <v>2193</v>
      </c>
      <c r="B619" s="20" t="s">
        <v>2194</v>
      </c>
    </row>
    <row r="620" spans="1:2" x14ac:dyDescent="0.2">
      <c r="A620" s="25"/>
      <c r="B620" s="27"/>
    </row>
    <row r="621" spans="1:2" x14ac:dyDescent="0.2">
      <c r="A621" s="25"/>
      <c r="B621" s="27"/>
    </row>
    <row r="622" spans="1:2" x14ac:dyDescent="0.2">
      <c r="A622" s="25"/>
      <c r="B622" s="27"/>
    </row>
    <row r="623" spans="1:2" x14ac:dyDescent="0.2">
      <c r="A623" s="25"/>
      <c r="B623" s="27"/>
    </row>
    <row r="624" spans="1:2" x14ac:dyDescent="0.2">
      <c r="A624" s="25"/>
      <c r="B624" s="27"/>
    </row>
    <row r="625" spans="1:2" x14ac:dyDescent="0.2">
      <c r="A625" s="25"/>
      <c r="B625" s="27"/>
    </row>
    <row r="626" spans="1:2" x14ac:dyDescent="0.2">
      <c r="A626" s="25"/>
      <c r="B626" s="27"/>
    </row>
    <row r="627" spans="1:2" x14ac:dyDescent="0.2">
      <c r="A627" s="25"/>
      <c r="B627" s="27"/>
    </row>
    <row r="628" spans="1:2" x14ac:dyDescent="0.2">
      <c r="A628" s="25"/>
      <c r="B628" s="27"/>
    </row>
    <row r="629" spans="1:2" x14ac:dyDescent="0.2">
      <c r="A629" s="25"/>
      <c r="B629" s="27"/>
    </row>
    <row r="630" spans="1:2" x14ac:dyDescent="0.2">
      <c r="A630" s="25"/>
      <c r="B630" s="27"/>
    </row>
    <row r="631" spans="1:2" x14ac:dyDescent="0.2">
      <c r="A631" s="25"/>
      <c r="B631" s="27"/>
    </row>
    <row r="632" spans="1:2" x14ac:dyDescent="0.2">
      <c r="A632" s="25"/>
      <c r="B632" s="27"/>
    </row>
    <row r="633" spans="1:2" x14ac:dyDescent="0.2">
      <c r="A633" s="25"/>
      <c r="B633" s="27"/>
    </row>
    <row r="634" spans="1:2" x14ac:dyDescent="0.2">
      <c r="A634" s="25"/>
      <c r="B634" s="27"/>
    </row>
    <row r="635" spans="1:2" x14ac:dyDescent="0.2">
      <c r="A635" s="25"/>
      <c r="B635" s="27"/>
    </row>
    <row r="636" spans="1:2" x14ac:dyDescent="0.2">
      <c r="A636" s="25"/>
      <c r="B636" s="27"/>
    </row>
    <row r="637" spans="1:2" x14ac:dyDescent="0.2">
      <c r="A637" s="25"/>
      <c r="B637" s="27"/>
    </row>
    <row r="638" spans="1:2" ht="13.5" thickBot="1" x14ac:dyDescent="0.25">
      <c r="A638" s="16"/>
      <c r="B638" s="17"/>
    </row>
    <row r="639" spans="1:2" x14ac:dyDescent="0.2">
      <c r="A639" s="32" t="s">
        <v>2195</v>
      </c>
      <c r="B639" s="34" t="s">
        <v>2196</v>
      </c>
    </row>
    <row r="640" spans="1:2" x14ac:dyDescent="0.2">
      <c r="A640" s="41"/>
      <c r="B640" s="45"/>
    </row>
    <row r="641" spans="1:2" x14ac:dyDescent="0.2">
      <c r="A641" s="41"/>
      <c r="B641" s="45"/>
    </row>
    <row r="642" spans="1:2" x14ac:dyDescent="0.2">
      <c r="A642" s="41"/>
      <c r="B642" s="45"/>
    </row>
    <row r="643" spans="1:2" x14ac:dyDescent="0.2">
      <c r="A643" s="41"/>
      <c r="B643" s="45"/>
    </row>
    <row r="644" spans="1:2" x14ac:dyDescent="0.2">
      <c r="A644" s="41"/>
      <c r="B644" s="45"/>
    </row>
    <row r="645" spans="1:2" x14ac:dyDescent="0.2">
      <c r="A645" s="41"/>
      <c r="B645" s="45"/>
    </row>
    <row r="646" spans="1:2" x14ac:dyDescent="0.2">
      <c r="A646" s="41"/>
      <c r="B646" s="45"/>
    </row>
    <row r="647" spans="1:2" x14ac:dyDescent="0.2">
      <c r="A647" s="41"/>
      <c r="B647" s="45"/>
    </row>
    <row r="648" spans="1:2" ht="13.5" thickBot="1" x14ac:dyDescent="0.25">
      <c r="A648" s="33"/>
      <c r="B648" s="35"/>
    </row>
    <row r="649" spans="1:2" ht="31.15" customHeight="1" thickBot="1" x14ac:dyDescent="0.25">
      <c r="A649" s="21" t="s">
        <v>2197</v>
      </c>
      <c r="B649" s="22"/>
    </row>
    <row r="650" spans="1:2" ht="13.15" customHeight="1" x14ac:dyDescent="0.2">
      <c r="A650" s="14" t="s">
        <v>2198</v>
      </c>
      <c r="B650" s="20" t="s">
        <v>2199</v>
      </c>
    </row>
    <row r="651" spans="1:2" x14ac:dyDescent="0.2">
      <c r="A651" s="25"/>
      <c r="B651" s="27"/>
    </row>
    <row r="652" spans="1:2" x14ac:dyDescent="0.2">
      <c r="A652" s="25"/>
      <c r="B652" s="27"/>
    </row>
    <row r="653" spans="1:2" x14ac:dyDescent="0.2">
      <c r="A653" s="25"/>
      <c r="B653" s="27"/>
    </row>
    <row r="654" spans="1:2" x14ac:dyDescent="0.2">
      <c r="A654" s="25"/>
      <c r="B654" s="27"/>
    </row>
    <row r="655" spans="1:2" x14ac:dyDescent="0.2">
      <c r="A655" s="25"/>
      <c r="B655" s="27"/>
    </row>
    <row r="656" spans="1:2" x14ac:dyDescent="0.2">
      <c r="A656" s="25"/>
      <c r="B656" s="27"/>
    </row>
    <row r="657" spans="1:2" x14ac:dyDescent="0.2">
      <c r="A657" s="25"/>
      <c r="B657" s="27"/>
    </row>
    <row r="658" spans="1:2" x14ac:dyDescent="0.2">
      <c r="A658" s="25"/>
      <c r="B658" s="27"/>
    </row>
    <row r="659" spans="1:2" x14ac:dyDescent="0.2">
      <c r="A659" s="25"/>
      <c r="B659" s="27"/>
    </row>
    <row r="660" spans="1:2" x14ac:dyDescent="0.2">
      <c r="A660" s="25"/>
      <c r="B660" s="27"/>
    </row>
    <row r="661" spans="1:2" x14ac:dyDescent="0.2">
      <c r="A661" s="25"/>
      <c r="B661" s="27"/>
    </row>
    <row r="662" spans="1:2" x14ac:dyDescent="0.2">
      <c r="A662" s="25"/>
      <c r="B662" s="27"/>
    </row>
    <row r="663" spans="1:2" x14ac:dyDescent="0.2">
      <c r="A663" s="25"/>
      <c r="B663" s="27"/>
    </row>
    <row r="664" spans="1:2" x14ac:dyDescent="0.2">
      <c r="A664" s="25"/>
      <c r="B664" s="27"/>
    </row>
    <row r="665" spans="1:2" ht="13.5" thickBot="1" x14ac:dyDescent="0.25">
      <c r="A665" s="16"/>
      <c r="B665" s="17"/>
    </row>
    <row r="666" spans="1:2" ht="31.15" customHeight="1" thickBot="1" x14ac:dyDescent="0.25">
      <c r="A666" s="21" t="s">
        <v>2200</v>
      </c>
      <c r="B666" s="22"/>
    </row>
    <row r="667" spans="1:2" x14ac:dyDescent="0.2">
      <c r="A667" s="32" t="s">
        <v>2201</v>
      </c>
      <c r="B667" s="34" t="s">
        <v>2202</v>
      </c>
    </row>
    <row r="668" spans="1:2" x14ac:dyDescent="0.2">
      <c r="A668" s="41"/>
      <c r="B668" s="45"/>
    </row>
    <row r="669" spans="1:2" x14ac:dyDescent="0.2">
      <c r="A669" s="41"/>
      <c r="B669" s="45"/>
    </row>
    <row r="670" spans="1:2" ht="13.5" thickBot="1" x14ac:dyDescent="0.25">
      <c r="A670" s="33"/>
      <c r="B670" s="35"/>
    </row>
    <row r="671" spans="1:2" ht="32.450000000000003" customHeight="1" thickBot="1" x14ac:dyDescent="0.25">
      <c r="A671" s="29" t="s">
        <v>2203</v>
      </c>
      <c r="B671" s="30"/>
    </row>
    <row r="672" spans="1:2" ht="388.9" customHeight="1" thickBot="1" x14ac:dyDescent="0.25">
      <c r="A672" s="23" t="s">
        <v>2204</v>
      </c>
      <c r="B672" s="24"/>
    </row>
    <row r="673" spans="1:2" ht="13.15" customHeight="1" x14ac:dyDescent="0.2">
      <c r="A673" s="14" t="s">
        <v>2205</v>
      </c>
      <c r="B673" s="20" t="s">
        <v>2206</v>
      </c>
    </row>
    <row r="674" spans="1:2" x14ac:dyDescent="0.2">
      <c r="A674" s="25"/>
      <c r="B674" s="27"/>
    </row>
    <row r="675" spans="1:2" x14ac:dyDescent="0.2">
      <c r="A675" s="25"/>
      <c r="B675" s="27"/>
    </row>
    <row r="676" spans="1:2" x14ac:dyDescent="0.2">
      <c r="A676" s="25"/>
      <c r="B676" s="27"/>
    </row>
    <row r="677" spans="1:2" x14ac:dyDescent="0.2">
      <c r="A677" s="25"/>
      <c r="B677" s="27"/>
    </row>
    <row r="678" spans="1:2" x14ac:dyDescent="0.2">
      <c r="A678" s="25"/>
      <c r="B678" s="27"/>
    </row>
    <row r="679" spans="1:2" x14ac:dyDescent="0.2">
      <c r="A679" s="25"/>
      <c r="B679" s="27"/>
    </row>
    <row r="680" spans="1:2" x14ac:dyDescent="0.2">
      <c r="A680" s="25"/>
      <c r="B680" s="27"/>
    </row>
    <row r="681" spans="1:2" x14ac:dyDescent="0.2">
      <c r="A681" s="25"/>
      <c r="B681" s="27"/>
    </row>
    <row r="682" spans="1:2" x14ac:dyDescent="0.2">
      <c r="A682" s="25"/>
      <c r="B682" s="27"/>
    </row>
    <row r="683" spans="1:2" x14ac:dyDescent="0.2">
      <c r="A683" s="25"/>
      <c r="B683" s="27"/>
    </row>
    <row r="684" spans="1:2" x14ac:dyDescent="0.2">
      <c r="A684" s="25"/>
      <c r="B684" s="27"/>
    </row>
    <row r="685" spans="1:2" x14ac:dyDescent="0.2">
      <c r="A685" s="25"/>
      <c r="B685" s="27"/>
    </row>
    <row r="686" spans="1:2" x14ac:dyDescent="0.2">
      <c r="A686" s="25"/>
      <c r="B686" s="27"/>
    </row>
    <row r="687" spans="1:2" x14ac:dyDescent="0.2">
      <c r="A687" s="25"/>
      <c r="B687" s="27"/>
    </row>
    <row r="688" spans="1:2" x14ac:dyDescent="0.2">
      <c r="A688" s="25"/>
      <c r="B688" s="27"/>
    </row>
    <row r="689" spans="1:2" x14ac:dyDescent="0.2">
      <c r="A689" s="25"/>
      <c r="B689" s="27"/>
    </row>
    <row r="690" spans="1:2" ht="13.5" thickBot="1" x14ac:dyDescent="0.25">
      <c r="A690" s="16"/>
      <c r="B690" s="17"/>
    </row>
    <row r="691" spans="1:2" ht="237" customHeight="1" x14ac:dyDescent="0.2">
      <c r="A691" s="14" t="s">
        <v>2207</v>
      </c>
      <c r="B691" s="20" t="s">
        <v>2208</v>
      </c>
    </row>
    <row r="692" spans="1:2" x14ac:dyDescent="0.2">
      <c r="A692" s="25"/>
      <c r="B692" s="27"/>
    </row>
    <row r="693" spans="1:2" x14ac:dyDescent="0.2">
      <c r="A693" s="25"/>
      <c r="B693" s="27"/>
    </row>
    <row r="694" spans="1:2" ht="13.5" thickBot="1" x14ac:dyDescent="0.25">
      <c r="A694" s="16"/>
      <c r="B694" s="17"/>
    </row>
    <row r="695" spans="1:2" ht="13.15" customHeight="1" x14ac:dyDescent="0.2">
      <c r="A695" s="14" t="s">
        <v>2209</v>
      </c>
      <c r="B695" s="20" t="s">
        <v>2210</v>
      </c>
    </row>
    <row r="696" spans="1:2" x14ac:dyDescent="0.2">
      <c r="A696" s="25"/>
      <c r="B696" s="27"/>
    </row>
    <row r="697" spans="1:2" x14ac:dyDescent="0.2">
      <c r="A697" s="25"/>
      <c r="B697" s="27"/>
    </row>
    <row r="698" spans="1:2" x14ac:dyDescent="0.2">
      <c r="A698" s="25"/>
      <c r="B698" s="27"/>
    </row>
    <row r="699" spans="1:2" x14ac:dyDescent="0.2">
      <c r="A699" s="25"/>
      <c r="B699" s="27"/>
    </row>
    <row r="700" spans="1:2" x14ac:dyDescent="0.2">
      <c r="A700" s="25"/>
      <c r="B700" s="27"/>
    </row>
    <row r="701" spans="1:2" x14ac:dyDescent="0.2">
      <c r="A701" s="25"/>
      <c r="B701" s="27"/>
    </row>
    <row r="702" spans="1:2" x14ac:dyDescent="0.2">
      <c r="A702" s="25"/>
      <c r="B702" s="27"/>
    </row>
    <row r="703" spans="1:2" x14ac:dyDescent="0.2">
      <c r="A703" s="25"/>
      <c r="B703" s="27"/>
    </row>
    <row r="704" spans="1:2" x14ac:dyDescent="0.2">
      <c r="A704" s="25"/>
      <c r="B704" s="27"/>
    </row>
    <row r="705" spans="1:2" x14ac:dyDescent="0.2">
      <c r="A705" s="25"/>
      <c r="B705" s="27"/>
    </row>
    <row r="706" spans="1:2" x14ac:dyDescent="0.2">
      <c r="A706" s="25"/>
      <c r="B706" s="27"/>
    </row>
    <row r="707" spans="1:2" x14ac:dyDescent="0.2">
      <c r="A707" s="25"/>
      <c r="B707" s="27"/>
    </row>
    <row r="708" spans="1:2" ht="13.5" thickBot="1" x14ac:dyDescent="0.25">
      <c r="A708" s="16"/>
      <c r="B708" s="17"/>
    </row>
    <row r="709" spans="1:2" x14ac:dyDescent="0.2">
      <c r="A709" s="14" t="s">
        <v>2211</v>
      </c>
      <c r="B709" s="20" t="s">
        <v>2212</v>
      </c>
    </row>
    <row r="710" spans="1:2" x14ac:dyDescent="0.2">
      <c r="A710" s="25"/>
      <c r="B710" s="27"/>
    </row>
    <row r="711" spans="1:2" x14ac:dyDescent="0.2">
      <c r="A711" s="25"/>
      <c r="B711" s="27"/>
    </row>
    <row r="712" spans="1:2" ht="13.5" thickBot="1" x14ac:dyDescent="0.25">
      <c r="A712" s="16"/>
      <c r="B712" s="17"/>
    </row>
    <row r="713" spans="1:2" x14ac:dyDescent="0.2">
      <c r="A713" s="32" t="s">
        <v>2213</v>
      </c>
      <c r="B713" s="34" t="s">
        <v>2214</v>
      </c>
    </row>
    <row r="714" spans="1:2" x14ac:dyDescent="0.2">
      <c r="A714" s="41"/>
      <c r="B714" s="45"/>
    </row>
    <row r="715" spans="1:2" x14ac:dyDescent="0.2">
      <c r="A715" s="41"/>
      <c r="B715" s="45"/>
    </row>
    <row r="716" spans="1:2" x14ac:dyDescent="0.2">
      <c r="A716" s="41"/>
      <c r="B716" s="45"/>
    </row>
    <row r="717" spans="1:2" x14ac:dyDescent="0.2">
      <c r="A717" s="41"/>
      <c r="B717" s="45"/>
    </row>
    <row r="718" spans="1:2" x14ac:dyDescent="0.2">
      <c r="A718" s="41"/>
      <c r="B718" s="45"/>
    </row>
    <row r="719" spans="1:2" x14ac:dyDescent="0.2">
      <c r="A719" s="41"/>
      <c r="B719" s="45"/>
    </row>
    <row r="720" spans="1:2" x14ac:dyDescent="0.2">
      <c r="A720" s="41"/>
      <c r="B720" s="45"/>
    </row>
    <row r="721" spans="1:2" x14ac:dyDescent="0.2">
      <c r="A721" s="41"/>
      <c r="B721" s="45"/>
    </row>
    <row r="722" spans="1:2" ht="13.5" thickBot="1" x14ac:dyDescent="0.25">
      <c r="A722" s="33"/>
      <c r="B722" s="35"/>
    </row>
    <row r="723" spans="1:2" ht="32.450000000000003" customHeight="1" thickBot="1" x14ac:dyDescent="0.25">
      <c r="A723" s="29" t="s">
        <v>2215</v>
      </c>
      <c r="B723" s="30"/>
    </row>
    <row r="724" spans="1:2" ht="324" customHeight="1" thickBot="1" x14ac:dyDescent="0.25">
      <c r="A724" s="23" t="s">
        <v>2216</v>
      </c>
      <c r="B724" s="24"/>
    </row>
    <row r="725" spans="1:2" x14ac:dyDescent="0.2">
      <c r="A725" s="14" t="s">
        <v>2217</v>
      </c>
      <c r="B725" s="20" t="s">
        <v>2218</v>
      </c>
    </row>
    <row r="726" spans="1:2" x14ac:dyDescent="0.2">
      <c r="A726" s="25"/>
      <c r="B726" s="26"/>
    </row>
    <row r="727" spans="1:2" ht="38.25" x14ac:dyDescent="0.2">
      <c r="A727" s="25"/>
      <c r="B727" s="27" t="s">
        <v>2219</v>
      </c>
    </row>
    <row r="728" spans="1:2" x14ac:dyDescent="0.2">
      <c r="A728" s="25"/>
      <c r="B728" s="26"/>
    </row>
    <row r="729" spans="1:2" ht="76.5" x14ac:dyDescent="0.2">
      <c r="A729" s="25"/>
      <c r="B729" s="27" t="s">
        <v>2220</v>
      </c>
    </row>
    <row r="730" spans="1:2" x14ac:dyDescent="0.2">
      <c r="A730" s="25"/>
      <c r="B730" s="26"/>
    </row>
    <row r="731" spans="1:2" x14ac:dyDescent="0.2">
      <c r="A731" s="25"/>
      <c r="B731" s="26"/>
    </row>
    <row r="732" spans="1:2" x14ac:dyDescent="0.2">
      <c r="A732" s="25"/>
      <c r="B732" s="26"/>
    </row>
    <row r="733" spans="1:2" x14ac:dyDescent="0.2">
      <c r="A733" s="25"/>
      <c r="B733" s="26"/>
    </row>
    <row r="734" spans="1:2" x14ac:dyDescent="0.2">
      <c r="A734" s="25"/>
      <c r="B734" s="26"/>
    </row>
    <row r="735" spans="1:2" x14ac:dyDescent="0.2">
      <c r="A735" s="25"/>
      <c r="B735" s="26"/>
    </row>
    <row r="736" spans="1:2" x14ac:dyDescent="0.2">
      <c r="A736" s="25"/>
      <c r="B736" s="26"/>
    </row>
    <row r="737" spans="1:2" x14ac:dyDescent="0.2">
      <c r="A737" s="25"/>
      <c r="B737" s="26"/>
    </row>
    <row r="738" spans="1:2" ht="13.5" thickBot="1" x14ac:dyDescent="0.25">
      <c r="A738" s="16"/>
      <c r="B738" s="28"/>
    </row>
    <row r="739" spans="1:2" ht="13.15" customHeight="1" x14ac:dyDescent="0.2">
      <c r="A739" s="14" t="s">
        <v>2221</v>
      </c>
      <c r="B739" s="20" t="s">
        <v>2222</v>
      </c>
    </row>
    <row r="740" spans="1:2" x14ac:dyDescent="0.2">
      <c r="A740" s="25"/>
      <c r="B740" s="27"/>
    </row>
    <row r="741" spans="1:2" x14ac:dyDescent="0.2">
      <c r="A741" s="25"/>
      <c r="B741" s="27"/>
    </row>
    <row r="742" spans="1:2" x14ac:dyDescent="0.2">
      <c r="A742" s="25"/>
      <c r="B742" s="27"/>
    </row>
    <row r="743" spans="1:2" x14ac:dyDescent="0.2">
      <c r="A743" s="25"/>
      <c r="B743" s="27"/>
    </row>
    <row r="744" spans="1:2" x14ac:dyDescent="0.2">
      <c r="A744" s="25"/>
      <c r="B744" s="27"/>
    </row>
    <row r="745" spans="1:2" x14ac:dyDescent="0.2">
      <c r="A745" s="25"/>
      <c r="B745" s="27"/>
    </row>
    <row r="746" spans="1:2" x14ac:dyDescent="0.2">
      <c r="A746" s="25"/>
      <c r="B746" s="27"/>
    </row>
    <row r="747" spans="1:2" x14ac:dyDescent="0.2">
      <c r="A747" s="25"/>
      <c r="B747" s="27"/>
    </row>
    <row r="748" spans="1:2" x14ac:dyDescent="0.2">
      <c r="A748" s="25"/>
      <c r="B748" s="27"/>
    </row>
    <row r="749" spans="1:2" x14ac:dyDescent="0.2">
      <c r="A749" s="25"/>
      <c r="B749" s="27"/>
    </row>
    <row r="750" spans="1:2" x14ac:dyDescent="0.2">
      <c r="A750" s="25"/>
      <c r="B750" s="27"/>
    </row>
    <row r="751" spans="1:2" x14ac:dyDescent="0.2">
      <c r="A751" s="25"/>
      <c r="B751" s="27"/>
    </row>
    <row r="752" spans="1:2" ht="13.5" thickBot="1" x14ac:dyDescent="0.25">
      <c r="A752" s="16"/>
      <c r="B752" s="17"/>
    </row>
    <row r="753" spans="1:2" ht="38.25" x14ac:dyDescent="0.2">
      <c r="A753" s="14" t="s">
        <v>2223</v>
      </c>
      <c r="B753" s="20" t="s">
        <v>2224</v>
      </c>
    </row>
    <row r="754" spans="1:2" x14ac:dyDescent="0.2">
      <c r="A754" s="25"/>
      <c r="B754" s="26"/>
    </row>
    <row r="755" spans="1:2" ht="51" x14ac:dyDescent="0.2">
      <c r="A755" s="25"/>
      <c r="B755" s="27" t="s">
        <v>2225</v>
      </c>
    </row>
    <row r="756" spans="1:2" x14ac:dyDescent="0.2">
      <c r="A756" s="25"/>
      <c r="B756" s="26"/>
    </row>
    <row r="757" spans="1:2" ht="25.5" x14ac:dyDescent="0.2">
      <c r="A757" s="25"/>
      <c r="B757" s="27" t="s">
        <v>2226</v>
      </c>
    </row>
    <row r="758" spans="1:2" x14ac:dyDescent="0.2">
      <c r="A758" s="25"/>
      <c r="B758" s="26"/>
    </row>
    <row r="759" spans="1:2" ht="51" x14ac:dyDescent="0.2">
      <c r="A759" s="25"/>
      <c r="B759" s="27" t="s">
        <v>2227</v>
      </c>
    </row>
    <row r="760" spans="1:2" x14ac:dyDescent="0.2">
      <c r="A760" s="25"/>
      <c r="B760" s="26"/>
    </row>
    <row r="761" spans="1:2" ht="25.5" x14ac:dyDescent="0.2">
      <c r="A761" s="25"/>
      <c r="B761" s="27" t="s">
        <v>2228</v>
      </c>
    </row>
    <row r="762" spans="1:2" x14ac:dyDescent="0.2">
      <c r="A762" s="25"/>
      <c r="B762" s="27"/>
    </row>
    <row r="763" spans="1:2" ht="25.5" x14ac:dyDescent="0.2">
      <c r="A763" s="25"/>
      <c r="B763" s="27" t="s">
        <v>2229</v>
      </c>
    </row>
    <row r="764" spans="1:2" x14ac:dyDescent="0.2">
      <c r="A764" s="25"/>
      <c r="B764" s="27"/>
    </row>
    <row r="765" spans="1:2" x14ac:dyDescent="0.2">
      <c r="A765" s="25"/>
      <c r="B765" s="27"/>
    </row>
    <row r="766" spans="1:2" x14ac:dyDescent="0.2">
      <c r="A766" s="25"/>
      <c r="B766" s="27"/>
    </row>
    <row r="767" spans="1:2" x14ac:dyDescent="0.2">
      <c r="A767" s="25"/>
      <c r="B767" s="27"/>
    </row>
    <row r="768" spans="1:2" x14ac:dyDescent="0.2">
      <c r="A768" s="25"/>
      <c r="B768" s="27"/>
    </row>
    <row r="769" spans="1:2" x14ac:dyDescent="0.2">
      <c r="A769" s="25"/>
      <c r="B769" s="27"/>
    </row>
    <row r="770" spans="1:2" ht="13.5" thickBot="1" x14ac:dyDescent="0.25">
      <c r="A770" s="16"/>
      <c r="B770" s="17"/>
    </row>
    <row r="771" spans="1:2" ht="13.15" customHeight="1" x14ac:dyDescent="0.2">
      <c r="A771" s="14" t="s">
        <v>2230</v>
      </c>
      <c r="B771" s="20" t="s">
        <v>2231</v>
      </c>
    </row>
    <row r="772" spans="1:2" x14ac:dyDescent="0.2">
      <c r="A772" s="25"/>
      <c r="B772" s="27"/>
    </row>
    <row r="773" spans="1:2" x14ac:dyDescent="0.2">
      <c r="A773" s="25"/>
      <c r="B773" s="27"/>
    </row>
    <row r="774" spans="1:2" x14ac:dyDescent="0.2">
      <c r="A774" s="25"/>
      <c r="B774" s="27"/>
    </row>
    <row r="775" spans="1:2" x14ac:dyDescent="0.2">
      <c r="A775" s="25"/>
      <c r="B775" s="27"/>
    </row>
    <row r="776" spans="1:2" x14ac:dyDescent="0.2">
      <c r="A776" s="25"/>
      <c r="B776" s="27"/>
    </row>
    <row r="777" spans="1:2" x14ac:dyDescent="0.2">
      <c r="A777" s="25"/>
      <c r="B777" s="27"/>
    </row>
    <row r="778" spans="1:2" x14ac:dyDescent="0.2">
      <c r="A778" s="25"/>
      <c r="B778" s="27"/>
    </row>
    <row r="779" spans="1:2" x14ac:dyDescent="0.2">
      <c r="A779" s="25"/>
      <c r="B779" s="27"/>
    </row>
    <row r="780" spans="1:2" x14ac:dyDescent="0.2">
      <c r="A780" s="25"/>
      <c r="B780" s="27"/>
    </row>
    <row r="781" spans="1:2" x14ac:dyDescent="0.2">
      <c r="A781" s="25"/>
      <c r="B781" s="27"/>
    </row>
    <row r="782" spans="1:2" x14ac:dyDescent="0.2">
      <c r="A782" s="25"/>
      <c r="B782" s="27"/>
    </row>
    <row r="783" spans="1:2" x14ac:dyDescent="0.2">
      <c r="A783" s="25"/>
      <c r="B783" s="27"/>
    </row>
    <row r="784" spans="1:2" ht="13.5" thickBot="1" x14ac:dyDescent="0.25">
      <c r="A784" s="16"/>
      <c r="B784" s="17"/>
    </row>
    <row r="785" spans="1:2" ht="51" x14ac:dyDescent="0.2">
      <c r="A785" s="14" t="s">
        <v>2232</v>
      </c>
      <c r="B785" s="20" t="s">
        <v>2233</v>
      </c>
    </row>
    <row r="786" spans="1:2" x14ac:dyDescent="0.2">
      <c r="A786" s="25"/>
      <c r="B786" s="26"/>
    </row>
    <row r="787" spans="1:2" ht="51" x14ac:dyDescent="0.2">
      <c r="A787" s="25"/>
      <c r="B787" s="27" t="s">
        <v>2225</v>
      </c>
    </row>
    <row r="788" spans="1:2" x14ac:dyDescent="0.2">
      <c r="A788" s="25"/>
      <c r="B788" s="26"/>
    </row>
    <row r="789" spans="1:2" ht="25.5" x14ac:dyDescent="0.2">
      <c r="A789" s="25"/>
      <c r="B789" s="27" t="s">
        <v>2226</v>
      </c>
    </row>
    <row r="790" spans="1:2" x14ac:dyDescent="0.2">
      <c r="A790" s="25"/>
      <c r="B790" s="26"/>
    </row>
    <row r="791" spans="1:2" ht="51" x14ac:dyDescent="0.2">
      <c r="A791" s="25"/>
      <c r="B791" s="27" t="s">
        <v>2234</v>
      </c>
    </row>
    <row r="792" spans="1:2" x14ac:dyDescent="0.2">
      <c r="A792" s="25"/>
      <c r="B792" s="26"/>
    </row>
    <row r="793" spans="1:2" ht="25.5" x14ac:dyDescent="0.2">
      <c r="A793" s="25"/>
      <c r="B793" s="27" t="s">
        <v>2228</v>
      </c>
    </row>
    <row r="794" spans="1:2" x14ac:dyDescent="0.2">
      <c r="A794" s="25"/>
      <c r="B794" s="27"/>
    </row>
    <row r="795" spans="1:2" ht="26.25" thickBot="1" x14ac:dyDescent="0.25">
      <c r="A795" s="16"/>
      <c r="B795" s="17" t="s">
        <v>2235</v>
      </c>
    </row>
    <row r="796" spans="1:2" ht="409.6" customHeight="1" x14ac:dyDescent="0.2">
      <c r="A796" s="14" t="s">
        <v>2236</v>
      </c>
      <c r="B796" s="20" t="s">
        <v>2237</v>
      </c>
    </row>
    <row r="797" spans="1:2" ht="13.5" thickBot="1" x14ac:dyDescent="0.25">
      <c r="A797" s="16"/>
      <c r="B797" s="17"/>
    </row>
    <row r="798" spans="1:2" ht="63.75" x14ac:dyDescent="0.2">
      <c r="A798" s="14" t="s">
        <v>2238</v>
      </c>
      <c r="B798" s="20" t="s">
        <v>2239</v>
      </c>
    </row>
    <row r="799" spans="1:2" x14ac:dyDescent="0.2">
      <c r="A799" s="25"/>
      <c r="B799" s="26"/>
    </row>
    <row r="800" spans="1:2" ht="51" x14ac:dyDescent="0.2">
      <c r="A800" s="25"/>
      <c r="B800" s="27" t="s">
        <v>2225</v>
      </c>
    </row>
    <row r="801" spans="1:2" x14ac:dyDescent="0.2">
      <c r="A801" s="25"/>
      <c r="B801" s="26"/>
    </row>
    <row r="802" spans="1:2" ht="25.5" x14ac:dyDescent="0.2">
      <c r="A802" s="25"/>
      <c r="B802" s="27" t="s">
        <v>2226</v>
      </c>
    </row>
    <row r="803" spans="1:2" x14ac:dyDescent="0.2">
      <c r="A803" s="25"/>
      <c r="B803" s="26"/>
    </row>
    <row r="804" spans="1:2" ht="51" x14ac:dyDescent="0.2">
      <c r="A804" s="25"/>
      <c r="B804" s="27" t="s">
        <v>2240</v>
      </c>
    </row>
    <row r="805" spans="1:2" x14ac:dyDescent="0.2">
      <c r="A805" s="25"/>
      <c r="B805" s="26"/>
    </row>
    <row r="806" spans="1:2" ht="25.5" x14ac:dyDescent="0.2">
      <c r="A806" s="25"/>
      <c r="B806" s="27" t="s">
        <v>2228</v>
      </c>
    </row>
    <row r="807" spans="1:2" x14ac:dyDescent="0.2">
      <c r="A807" s="25"/>
      <c r="B807" s="27"/>
    </row>
    <row r="808" spans="1:2" x14ac:dyDescent="0.2">
      <c r="A808" s="25"/>
      <c r="B808" s="27" t="s">
        <v>2241</v>
      </c>
    </row>
    <row r="809" spans="1:2" x14ac:dyDescent="0.2">
      <c r="A809" s="25"/>
      <c r="B809" s="27"/>
    </row>
    <row r="810" spans="1:2" x14ac:dyDescent="0.2">
      <c r="A810" s="25"/>
      <c r="B810" s="27"/>
    </row>
    <row r="811" spans="1:2" x14ac:dyDescent="0.2">
      <c r="A811" s="25"/>
      <c r="B811" s="27"/>
    </row>
    <row r="812" spans="1:2" x14ac:dyDescent="0.2">
      <c r="A812" s="25"/>
      <c r="B812" s="27"/>
    </row>
    <row r="813" spans="1:2" x14ac:dyDescent="0.2">
      <c r="A813" s="25"/>
      <c r="B813" s="27"/>
    </row>
    <row r="814" spans="1:2" x14ac:dyDescent="0.2">
      <c r="A814" s="25"/>
      <c r="B814" s="27"/>
    </row>
    <row r="815" spans="1:2" x14ac:dyDescent="0.2">
      <c r="A815" s="25"/>
      <c r="B815" s="27"/>
    </row>
    <row r="816" spans="1:2" x14ac:dyDescent="0.2">
      <c r="A816" s="25"/>
      <c r="B816" s="27"/>
    </row>
    <row r="817" spans="1:2" x14ac:dyDescent="0.2">
      <c r="A817" s="25"/>
      <c r="B817" s="27"/>
    </row>
    <row r="818" spans="1:2" x14ac:dyDescent="0.2">
      <c r="A818" s="25"/>
      <c r="B818" s="27"/>
    </row>
    <row r="819" spans="1:2" x14ac:dyDescent="0.2">
      <c r="A819" s="25"/>
      <c r="B819" s="27"/>
    </row>
    <row r="820" spans="1:2" x14ac:dyDescent="0.2">
      <c r="A820" s="25"/>
      <c r="B820" s="27"/>
    </row>
    <row r="821" spans="1:2" x14ac:dyDescent="0.2">
      <c r="A821" s="25"/>
      <c r="B821" s="27"/>
    </row>
    <row r="822" spans="1:2" x14ac:dyDescent="0.2">
      <c r="A822" s="25"/>
      <c r="B822" s="27"/>
    </row>
    <row r="823" spans="1:2" x14ac:dyDescent="0.2">
      <c r="A823" s="25"/>
      <c r="B823" s="27"/>
    </row>
    <row r="824" spans="1:2" x14ac:dyDescent="0.2">
      <c r="A824" s="25"/>
      <c r="B824" s="27"/>
    </row>
    <row r="825" spans="1:2" x14ac:dyDescent="0.2">
      <c r="A825" s="25"/>
      <c r="B825" s="27"/>
    </row>
    <row r="826" spans="1:2" x14ac:dyDescent="0.2">
      <c r="A826" s="25"/>
      <c r="B826" s="27"/>
    </row>
    <row r="827" spans="1:2" x14ac:dyDescent="0.2">
      <c r="A827" s="25"/>
      <c r="B827" s="27"/>
    </row>
    <row r="828" spans="1:2" x14ac:dyDescent="0.2">
      <c r="A828" s="25"/>
      <c r="B828" s="27"/>
    </row>
    <row r="829" spans="1:2" x14ac:dyDescent="0.2">
      <c r="A829" s="25"/>
      <c r="B829" s="27"/>
    </row>
    <row r="830" spans="1:2" x14ac:dyDescent="0.2">
      <c r="A830" s="25"/>
      <c r="B830" s="27"/>
    </row>
    <row r="831" spans="1:2" x14ac:dyDescent="0.2">
      <c r="A831" s="25"/>
      <c r="B831" s="27"/>
    </row>
    <row r="832" spans="1:2" x14ac:dyDescent="0.2">
      <c r="A832" s="25"/>
      <c r="B832" s="27"/>
    </row>
    <row r="833" spans="1:2" x14ac:dyDescent="0.2">
      <c r="A833" s="25"/>
      <c r="B833" s="27"/>
    </row>
    <row r="834" spans="1:2" x14ac:dyDescent="0.2">
      <c r="A834" s="25"/>
      <c r="B834" s="27"/>
    </row>
    <row r="835" spans="1:2" x14ac:dyDescent="0.2">
      <c r="A835" s="25"/>
      <c r="B835" s="27"/>
    </row>
    <row r="836" spans="1:2" x14ac:dyDescent="0.2">
      <c r="A836" s="25"/>
      <c r="B836" s="27"/>
    </row>
    <row r="837" spans="1:2" x14ac:dyDescent="0.2">
      <c r="A837" s="25"/>
      <c r="B837" s="27"/>
    </row>
    <row r="838" spans="1:2" x14ac:dyDescent="0.2">
      <c r="A838" s="25"/>
      <c r="B838" s="27"/>
    </row>
    <row r="839" spans="1:2" x14ac:dyDescent="0.2">
      <c r="A839" s="25"/>
      <c r="B839" s="27"/>
    </row>
    <row r="840" spans="1:2" x14ac:dyDescent="0.2">
      <c r="A840" s="25"/>
      <c r="B840" s="27"/>
    </row>
    <row r="841" spans="1:2" x14ac:dyDescent="0.2">
      <c r="A841" s="25"/>
      <c r="B841" s="27"/>
    </row>
    <row r="842" spans="1:2" x14ac:dyDescent="0.2">
      <c r="A842" s="25"/>
      <c r="B842" s="27"/>
    </row>
    <row r="843" spans="1:2" ht="13.5" thickBot="1" x14ac:dyDescent="0.25">
      <c r="A843" s="16"/>
      <c r="B843" s="17"/>
    </row>
    <row r="844" spans="1:2" x14ac:dyDescent="0.2">
      <c r="A844" s="32" t="s">
        <v>2242</v>
      </c>
      <c r="B844" s="32"/>
    </row>
    <row r="845" spans="1:2" x14ac:dyDescent="0.2">
      <c r="A845" s="41"/>
      <c r="B845" s="41"/>
    </row>
    <row r="846" spans="1:2" x14ac:dyDescent="0.2">
      <c r="A846" s="41"/>
      <c r="B846" s="41"/>
    </row>
    <row r="847" spans="1:2" x14ac:dyDescent="0.2">
      <c r="A847" s="41"/>
      <c r="B847" s="41"/>
    </row>
    <row r="848" spans="1:2" x14ac:dyDescent="0.2">
      <c r="A848" s="41"/>
      <c r="B848" s="41"/>
    </row>
    <row r="849" spans="1:2" ht="13.5" thickBot="1" x14ac:dyDescent="0.25">
      <c r="A849" s="33"/>
      <c r="B849" s="33"/>
    </row>
    <row r="850" spans="1:2" ht="16.5" thickBot="1" x14ac:dyDescent="0.25">
      <c r="A850" s="21" t="s">
        <v>2243</v>
      </c>
      <c r="B850" s="22"/>
    </row>
    <row r="851" spans="1:2" ht="63.75" x14ac:dyDescent="0.2">
      <c r="A851" s="14" t="s">
        <v>2244</v>
      </c>
      <c r="B851" s="20" t="s">
        <v>2245</v>
      </c>
    </row>
    <row r="852" spans="1:2" x14ac:dyDescent="0.2">
      <c r="A852" s="25"/>
      <c r="B852" s="27"/>
    </row>
    <row r="853" spans="1:2" x14ac:dyDescent="0.2">
      <c r="A853" s="25"/>
      <c r="B853" s="27" t="s">
        <v>2246</v>
      </c>
    </row>
    <row r="854" spans="1:2" x14ac:dyDescent="0.2">
      <c r="A854" s="25"/>
      <c r="B854" s="27"/>
    </row>
    <row r="855" spans="1:2" x14ac:dyDescent="0.2">
      <c r="A855" s="25"/>
      <c r="B855" s="27"/>
    </row>
    <row r="856" spans="1:2" x14ac:dyDescent="0.2">
      <c r="A856" s="25"/>
      <c r="B856" s="27"/>
    </row>
    <row r="857" spans="1:2" x14ac:dyDescent="0.2">
      <c r="A857" s="25"/>
      <c r="B857" s="27"/>
    </row>
    <row r="858" spans="1:2" x14ac:dyDescent="0.2">
      <c r="A858" s="25"/>
      <c r="B858" s="27"/>
    </row>
    <row r="859" spans="1:2" x14ac:dyDescent="0.2">
      <c r="A859" s="25"/>
      <c r="B859" s="27"/>
    </row>
    <row r="860" spans="1:2" x14ac:dyDescent="0.2">
      <c r="A860" s="25"/>
      <c r="B860" s="27"/>
    </row>
    <row r="861" spans="1:2" x14ac:dyDescent="0.2">
      <c r="A861" s="25"/>
      <c r="B861" s="27"/>
    </row>
    <row r="862" spans="1:2" x14ac:dyDescent="0.2">
      <c r="A862" s="25"/>
      <c r="B862" s="27"/>
    </row>
    <row r="863" spans="1:2" x14ac:dyDescent="0.2">
      <c r="A863" s="25"/>
      <c r="B863" s="27"/>
    </row>
    <row r="864" spans="1:2" x14ac:dyDescent="0.2">
      <c r="A864" s="25"/>
      <c r="B864" s="27"/>
    </row>
    <row r="865" spans="1:2" x14ac:dyDescent="0.2">
      <c r="A865" s="25"/>
      <c r="B865" s="27"/>
    </row>
    <row r="866" spans="1:2" x14ac:dyDescent="0.2">
      <c r="A866" s="25"/>
      <c r="B866" s="27"/>
    </row>
    <row r="867" spans="1:2" x14ac:dyDescent="0.2">
      <c r="A867" s="25"/>
      <c r="B867" s="27"/>
    </row>
    <row r="868" spans="1:2" ht="13.5" thickBot="1" x14ac:dyDescent="0.25">
      <c r="A868" s="16"/>
      <c r="B868" s="17"/>
    </row>
    <row r="869" spans="1:2" x14ac:dyDescent="0.2">
      <c r="A869" s="14" t="s">
        <v>2247</v>
      </c>
      <c r="B869" s="15" t="s">
        <v>2248</v>
      </c>
    </row>
    <row r="870" spans="1:2" ht="13.5" thickBot="1" x14ac:dyDescent="0.25">
      <c r="A870" s="16"/>
      <c r="B870" s="17" t="s">
        <v>2246</v>
      </c>
    </row>
    <row r="871" spans="1:2" ht="63.75" x14ac:dyDescent="0.2">
      <c r="A871" s="14" t="s">
        <v>2249</v>
      </c>
      <c r="B871" s="20" t="s">
        <v>2250</v>
      </c>
    </row>
    <row r="872" spans="1:2" x14ac:dyDescent="0.2">
      <c r="A872" s="25"/>
      <c r="B872" s="27"/>
    </row>
    <row r="873" spans="1:2" x14ac:dyDescent="0.2">
      <c r="A873" s="25"/>
      <c r="B873" s="27" t="s">
        <v>2246</v>
      </c>
    </row>
    <row r="874" spans="1:2" x14ac:dyDescent="0.2">
      <c r="A874" s="25"/>
      <c r="B874" s="27"/>
    </row>
    <row r="875" spans="1:2" x14ac:dyDescent="0.2">
      <c r="A875" s="25"/>
      <c r="B875" s="27"/>
    </row>
    <row r="876" spans="1:2" x14ac:dyDescent="0.2">
      <c r="A876" s="25"/>
      <c r="B876" s="27"/>
    </row>
    <row r="877" spans="1:2" x14ac:dyDescent="0.2">
      <c r="A877" s="25"/>
      <c r="B877" s="27"/>
    </row>
    <row r="878" spans="1:2" x14ac:dyDescent="0.2">
      <c r="A878" s="25"/>
      <c r="B878" s="27"/>
    </row>
    <row r="879" spans="1:2" x14ac:dyDescent="0.2">
      <c r="A879" s="25"/>
      <c r="B879" s="27"/>
    </row>
    <row r="880" spans="1:2" x14ac:dyDescent="0.2">
      <c r="A880" s="25"/>
      <c r="B880" s="27"/>
    </row>
    <row r="881" spans="1:2" x14ac:dyDescent="0.2">
      <c r="A881" s="25"/>
      <c r="B881" s="27"/>
    </row>
    <row r="882" spans="1:2" x14ac:dyDescent="0.2">
      <c r="A882" s="25"/>
      <c r="B882" s="27"/>
    </row>
    <row r="883" spans="1:2" x14ac:dyDescent="0.2">
      <c r="A883" s="25"/>
      <c r="B883" s="27"/>
    </row>
    <row r="884" spans="1:2" x14ac:dyDescent="0.2">
      <c r="A884" s="25"/>
      <c r="B884" s="27"/>
    </row>
    <row r="885" spans="1:2" x14ac:dyDescent="0.2">
      <c r="A885" s="25"/>
      <c r="B885" s="27"/>
    </row>
    <row r="886" spans="1:2" x14ac:dyDescent="0.2">
      <c r="A886" s="25"/>
      <c r="B886" s="27"/>
    </row>
    <row r="887" spans="1:2" x14ac:dyDescent="0.2">
      <c r="A887" s="25"/>
      <c r="B887" s="27"/>
    </row>
    <row r="888" spans="1:2" x14ac:dyDescent="0.2">
      <c r="A888" s="25"/>
      <c r="B888" s="27"/>
    </row>
    <row r="889" spans="1:2" x14ac:dyDescent="0.2">
      <c r="A889" s="25"/>
      <c r="B889" s="27"/>
    </row>
    <row r="890" spans="1:2" ht="13.5" thickBot="1" x14ac:dyDescent="0.25">
      <c r="A890" s="16"/>
      <c r="B890" s="17"/>
    </row>
    <row r="891" spans="1:2" x14ac:dyDescent="0.2">
      <c r="A891" s="32" t="s">
        <v>2251</v>
      </c>
      <c r="B891" s="40" t="s">
        <v>2252</v>
      </c>
    </row>
    <row r="892" spans="1:2" ht="63.75" x14ac:dyDescent="0.2">
      <c r="A892" s="41"/>
      <c r="B892" s="45" t="s">
        <v>2245</v>
      </c>
    </row>
    <row r="893" spans="1:2" x14ac:dyDescent="0.2">
      <c r="A893" s="41"/>
      <c r="B893" s="45"/>
    </row>
    <row r="894" spans="1:2" x14ac:dyDescent="0.2">
      <c r="A894" s="41"/>
      <c r="B894" s="45" t="s">
        <v>2246</v>
      </c>
    </row>
    <row r="895" spans="1:2" x14ac:dyDescent="0.2">
      <c r="A895" s="41"/>
      <c r="B895" s="45"/>
    </row>
    <row r="896" spans="1:2" x14ac:dyDescent="0.2">
      <c r="A896" s="41"/>
      <c r="B896" s="45"/>
    </row>
    <row r="897" spans="1:2" x14ac:dyDescent="0.2">
      <c r="A897" s="41"/>
      <c r="B897" s="45"/>
    </row>
    <row r="898" spans="1:2" x14ac:dyDescent="0.2">
      <c r="A898" s="41"/>
      <c r="B898" s="45"/>
    </row>
    <row r="899" spans="1:2" x14ac:dyDescent="0.2">
      <c r="A899" s="41"/>
      <c r="B899" s="45"/>
    </row>
    <row r="900" spans="1:2" x14ac:dyDescent="0.2">
      <c r="A900" s="41"/>
      <c r="B900" s="45"/>
    </row>
    <row r="901" spans="1:2" x14ac:dyDescent="0.2">
      <c r="A901" s="41"/>
      <c r="B901" s="45"/>
    </row>
    <row r="902" spans="1:2" x14ac:dyDescent="0.2">
      <c r="A902" s="41"/>
      <c r="B902" s="45"/>
    </row>
    <row r="903" spans="1:2" x14ac:dyDescent="0.2">
      <c r="A903" s="41"/>
      <c r="B903" s="45"/>
    </row>
    <row r="904" spans="1:2" x14ac:dyDescent="0.2">
      <c r="A904" s="41"/>
      <c r="B904" s="45"/>
    </row>
    <row r="905" spans="1:2" x14ac:dyDescent="0.2">
      <c r="A905" s="41"/>
      <c r="B905" s="45"/>
    </row>
    <row r="906" spans="1:2" x14ac:dyDescent="0.2">
      <c r="A906" s="41"/>
      <c r="B906" s="45"/>
    </row>
    <row r="907" spans="1:2" x14ac:dyDescent="0.2">
      <c r="A907" s="41"/>
      <c r="B907" s="45"/>
    </row>
    <row r="908" spans="1:2" ht="13.5" thickBot="1" x14ac:dyDescent="0.25">
      <c r="A908" s="33"/>
      <c r="B908" s="35"/>
    </row>
    <row r="909" spans="1:2" ht="32.450000000000003" customHeight="1" thickBot="1" x14ac:dyDescent="0.25">
      <c r="A909" s="29" t="s">
        <v>2253</v>
      </c>
      <c r="B909" s="30"/>
    </row>
    <row r="910" spans="1:2" ht="409.6" customHeight="1" thickBot="1" x14ac:dyDescent="0.25">
      <c r="A910" s="23" t="s">
        <v>2254</v>
      </c>
      <c r="B910" s="24"/>
    </row>
    <row r="911" spans="1:2" ht="16.5" thickBot="1" x14ac:dyDescent="0.25">
      <c r="A911" s="21" t="s">
        <v>2255</v>
      </c>
      <c r="B911" s="22"/>
    </row>
    <row r="912" spans="1:2" x14ac:dyDescent="0.2">
      <c r="A912" s="14" t="s">
        <v>2256</v>
      </c>
      <c r="B912" s="20" t="s">
        <v>2257</v>
      </c>
    </row>
    <row r="913" spans="1:2" x14ac:dyDescent="0.2">
      <c r="A913" s="25"/>
      <c r="B913" s="27"/>
    </row>
    <row r="914" spans="1:2" x14ac:dyDescent="0.2">
      <c r="A914" s="25"/>
      <c r="B914" s="27"/>
    </row>
    <row r="915" spans="1:2" x14ac:dyDescent="0.2">
      <c r="A915" s="25"/>
      <c r="B915" s="27"/>
    </row>
    <row r="916" spans="1:2" x14ac:dyDescent="0.2">
      <c r="A916" s="25"/>
      <c r="B916" s="27"/>
    </row>
    <row r="917" spans="1:2" x14ac:dyDescent="0.2">
      <c r="A917" s="25"/>
      <c r="B917" s="27"/>
    </row>
    <row r="918" spans="1:2" x14ac:dyDescent="0.2">
      <c r="A918" s="25"/>
      <c r="B918" s="27"/>
    </row>
    <row r="919" spans="1:2" ht="13.5" thickBot="1" x14ac:dyDescent="0.25">
      <c r="A919" s="16"/>
      <c r="B919" s="17"/>
    </row>
    <row r="920" spans="1:2" x14ac:dyDescent="0.2">
      <c r="A920" s="14" t="s">
        <v>2258</v>
      </c>
      <c r="B920" s="15" t="s">
        <v>2259</v>
      </c>
    </row>
    <row r="921" spans="1:2" x14ac:dyDescent="0.2">
      <c r="A921" s="25"/>
      <c r="B921" s="27" t="s">
        <v>2260</v>
      </c>
    </row>
    <row r="922" spans="1:2" x14ac:dyDescent="0.2">
      <c r="A922" s="25"/>
      <c r="B922" s="27"/>
    </row>
    <row r="923" spans="1:2" x14ac:dyDescent="0.2">
      <c r="A923" s="25"/>
      <c r="B923" s="27"/>
    </row>
    <row r="924" spans="1:2" x14ac:dyDescent="0.2">
      <c r="A924" s="25"/>
      <c r="B924" s="27"/>
    </row>
    <row r="925" spans="1:2" ht="13.5" thickBot="1" x14ac:dyDescent="0.25">
      <c r="A925" s="16"/>
      <c r="B925" s="17"/>
    </row>
    <row r="926" spans="1:2" ht="31.15" customHeight="1" thickBot="1" x14ac:dyDescent="0.25">
      <c r="A926" s="21" t="s">
        <v>2261</v>
      </c>
      <c r="B926" s="22"/>
    </row>
    <row r="927" spans="1:2" ht="13.15" customHeight="1" x14ac:dyDescent="0.2">
      <c r="A927" s="14" t="s">
        <v>2262</v>
      </c>
      <c r="B927" s="15" t="s">
        <v>2263</v>
      </c>
    </row>
    <row r="928" spans="1:2" ht="26.25" thickBot="1" x14ac:dyDescent="0.25">
      <c r="A928" s="16"/>
      <c r="B928" s="17" t="s">
        <v>2264</v>
      </c>
    </row>
    <row r="929" spans="1:2" x14ac:dyDescent="0.2">
      <c r="A929" s="14" t="s">
        <v>2265</v>
      </c>
      <c r="B929" s="15" t="s">
        <v>2266</v>
      </c>
    </row>
    <row r="930" spans="1:2" ht="13.5" thickBot="1" x14ac:dyDescent="0.25">
      <c r="A930" s="16"/>
      <c r="B930" s="17" t="s">
        <v>2267</v>
      </c>
    </row>
    <row r="931" spans="1:2" x14ac:dyDescent="0.2">
      <c r="A931" s="14" t="s">
        <v>2268</v>
      </c>
      <c r="B931" s="15" t="s">
        <v>2269</v>
      </c>
    </row>
    <row r="932" spans="1:2" x14ac:dyDescent="0.2">
      <c r="A932" s="25"/>
      <c r="B932" s="27" t="s">
        <v>2270</v>
      </c>
    </row>
    <row r="933" spans="1:2" x14ac:dyDescent="0.2">
      <c r="A933" s="25"/>
      <c r="B933" s="27"/>
    </row>
    <row r="934" spans="1:2" ht="13.5" thickBot="1" x14ac:dyDescent="0.25">
      <c r="A934" s="16"/>
      <c r="B934" s="17"/>
    </row>
    <row r="935" spans="1:2" ht="13.15" customHeight="1" x14ac:dyDescent="0.2">
      <c r="A935" s="14" t="s">
        <v>2271</v>
      </c>
      <c r="B935" s="15" t="s">
        <v>2272</v>
      </c>
    </row>
    <row r="936" spans="1:2" ht="26.25" thickBot="1" x14ac:dyDescent="0.25">
      <c r="A936" s="16"/>
      <c r="B936" s="17" t="s">
        <v>2264</v>
      </c>
    </row>
    <row r="937" spans="1:2" x14ac:dyDescent="0.2">
      <c r="A937" s="14" t="s">
        <v>2273</v>
      </c>
      <c r="B937" s="15" t="s">
        <v>2274</v>
      </c>
    </row>
    <row r="938" spans="1:2" ht="13.5" thickBot="1" x14ac:dyDescent="0.25">
      <c r="A938" s="16"/>
      <c r="B938" s="17" t="s">
        <v>2275</v>
      </c>
    </row>
    <row r="939" spans="1:2" x14ac:dyDescent="0.2">
      <c r="A939" s="14" t="s">
        <v>2276</v>
      </c>
      <c r="B939" s="15" t="s">
        <v>2277</v>
      </c>
    </row>
    <row r="940" spans="1:2" ht="13.5" thickBot="1" x14ac:dyDescent="0.25">
      <c r="A940" s="16"/>
      <c r="B940" s="17" t="s">
        <v>2278</v>
      </c>
    </row>
    <row r="941" spans="1:2" x14ac:dyDescent="0.2">
      <c r="A941" s="32" t="s">
        <v>879</v>
      </c>
      <c r="B941" s="40" t="s">
        <v>2279</v>
      </c>
    </row>
    <row r="942" spans="1:2" ht="13.5" thickBot="1" x14ac:dyDescent="0.25">
      <c r="A942" s="33"/>
      <c r="B942" s="43"/>
    </row>
    <row r="943" spans="1:2" ht="16.5" thickBot="1" x14ac:dyDescent="0.25">
      <c r="A943" s="21" t="s">
        <v>2280</v>
      </c>
      <c r="B943" s="22"/>
    </row>
    <row r="944" spans="1:2" x14ac:dyDescent="0.2">
      <c r="A944" s="14" t="s">
        <v>2281</v>
      </c>
      <c r="B944" s="15" t="s">
        <v>2282</v>
      </c>
    </row>
    <row r="945" spans="1:2" ht="38.25" x14ac:dyDescent="0.2">
      <c r="A945" s="25"/>
      <c r="B945" s="27" t="s">
        <v>2283</v>
      </c>
    </row>
    <row r="946" spans="1:2" x14ac:dyDescent="0.2">
      <c r="A946" s="25"/>
      <c r="B946" s="27"/>
    </row>
    <row r="947" spans="1:2" ht="13.5" thickBot="1" x14ac:dyDescent="0.25">
      <c r="A947" s="16"/>
      <c r="B947" s="17"/>
    </row>
    <row r="948" spans="1:2" x14ac:dyDescent="0.2">
      <c r="A948" s="14" t="s">
        <v>2284</v>
      </c>
      <c r="B948" s="15" t="s">
        <v>2285</v>
      </c>
    </row>
    <row r="949" spans="1:2" ht="13.5" thickBot="1" x14ac:dyDescent="0.25">
      <c r="A949" s="16"/>
      <c r="B949" s="17" t="s">
        <v>2286</v>
      </c>
    </row>
    <row r="950" spans="1:2" x14ac:dyDescent="0.2">
      <c r="A950" s="14" t="s">
        <v>2287</v>
      </c>
      <c r="B950" s="15" t="s">
        <v>2288</v>
      </c>
    </row>
    <row r="951" spans="1:2" ht="39" thickBot="1" x14ac:dyDescent="0.25">
      <c r="A951" s="16"/>
      <c r="B951" s="17" t="s">
        <v>2289</v>
      </c>
    </row>
    <row r="952" spans="1:2" x14ac:dyDescent="0.2">
      <c r="A952" s="14" t="s">
        <v>2290</v>
      </c>
      <c r="B952" s="15" t="s">
        <v>2291</v>
      </c>
    </row>
    <row r="953" spans="1:2" ht="13.5" thickBot="1" x14ac:dyDescent="0.25">
      <c r="A953" s="16"/>
      <c r="B953" s="17" t="s">
        <v>2292</v>
      </c>
    </row>
    <row r="954" spans="1:2" x14ac:dyDescent="0.2">
      <c r="A954" s="14" t="s">
        <v>2293</v>
      </c>
      <c r="B954" s="15" t="s">
        <v>2294</v>
      </c>
    </row>
    <row r="955" spans="1:2" x14ac:dyDescent="0.2">
      <c r="A955" s="25"/>
      <c r="B955" s="38"/>
    </row>
    <row r="956" spans="1:2" x14ac:dyDescent="0.2">
      <c r="A956" s="25"/>
      <c r="B956" s="38"/>
    </row>
    <row r="957" spans="1:2" x14ac:dyDescent="0.2">
      <c r="A957" s="25"/>
      <c r="B957" s="38"/>
    </row>
    <row r="958" spans="1:2" x14ac:dyDescent="0.2">
      <c r="A958" s="25"/>
      <c r="B958" s="38"/>
    </row>
    <row r="959" spans="1:2" x14ac:dyDescent="0.2">
      <c r="A959" s="25"/>
      <c r="B959" s="38"/>
    </row>
    <row r="960" spans="1:2" x14ac:dyDescent="0.2">
      <c r="A960" s="25"/>
      <c r="B960" s="38"/>
    </row>
    <row r="961" spans="1:2" x14ac:dyDescent="0.2">
      <c r="A961" s="25"/>
      <c r="B961" s="38"/>
    </row>
    <row r="962" spans="1:2" x14ac:dyDescent="0.2">
      <c r="A962" s="25"/>
      <c r="B962" s="38"/>
    </row>
    <row r="963" spans="1:2" x14ac:dyDescent="0.2">
      <c r="A963" s="25"/>
      <c r="B963" s="38"/>
    </row>
    <row r="964" spans="1:2" x14ac:dyDescent="0.2">
      <c r="A964" s="25"/>
      <c r="B964" s="38"/>
    </row>
    <row r="965" spans="1:2" x14ac:dyDescent="0.2">
      <c r="A965" s="25"/>
      <c r="B965" s="38"/>
    </row>
    <row r="966" spans="1:2" x14ac:dyDescent="0.2">
      <c r="A966" s="25"/>
      <c r="B966" s="38"/>
    </row>
    <row r="967" spans="1:2" x14ac:dyDescent="0.2">
      <c r="A967" s="25"/>
      <c r="B967" s="38"/>
    </row>
    <row r="968" spans="1:2" x14ac:dyDescent="0.2">
      <c r="A968" s="25"/>
      <c r="B968" s="38"/>
    </row>
    <row r="969" spans="1:2" x14ac:dyDescent="0.2">
      <c r="A969" s="25"/>
      <c r="B969" s="38"/>
    </row>
    <row r="970" spans="1:2" x14ac:dyDescent="0.2">
      <c r="A970" s="25"/>
      <c r="B970" s="38"/>
    </row>
    <row r="971" spans="1:2" x14ac:dyDescent="0.2">
      <c r="A971" s="25"/>
      <c r="B971" s="38"/>
    </row>
    <row r="972" spans="1:2" x14ac:dyDescent="0.2">
      <c r="A972" s="25"/>
      <c r="B972" s="38"/>
    </row>
    <row r="973" spans="1:2" x14ac:dyDescent="0.2">
      <c r="A973" s="25"/>
      <c r="B973" s="38"/>
    </row>
    <row r="974" spans="1:2" x14ac:dyDescent="0.2">
      <c r="A974" s="25"/>
      <c r="B974" s="38"/>
    </row>
    <row r="975" spans="1:2" x14ac:dyDescent="0.2">
      <c r="A975" s="25"/>
      <c r="B975" s="38"/>
    </row>
    <row r="976" spans="1:2" x14ac:dyDescent="0.2">
      <c r="A976" s="25"/>
      <c r="B976" s="38"/>
    </row>
    <row r="977" spans="1:2" ht="13.5" thickBot="1" x14ac:dyDescent="0.25">
      <c r="A977" s="16"/>
      <c r="B977" s="39"/>
    </row>
    <row r="978" spans="1:2" x14ac:dyDescent="0.2">
      <c r="A978" s="14" t="s">
        <v>2295</v>
      </c>
      <c r="B978" s="15" t="s">
        <v>2296</v>
      </c>
    </row>
    <row r="979" spans="1:2" ht="25.5" x14ac:dyDescent="0.2">
      <c r="A979" s="25"/>
      <c r="B979" s="27" t="s">
        <v>2297</v>
      </c>
    </row>
    <row r="980" spans="1:2" x14ac:dyDescent="0.2">
      <c r="A980" s="25"/>
      <c r="B980" s="27"/>
    </row>
    <row r="981" spans="1:2" x14ac:dyDescent="0.2">
      <c r="A981" s="25"/>
      <c r="B981" s="27"/>
    </row>
    <row r="982" spans="1:2" x14ac:dyDescent="0.2">
      <c r="A982" s="25"/>
      <c r="B982" s="27"/>
    </row>
    <row r="983" spans="1:2" x14ac:dyDescent="0.2">
      <c r="A983" s="25"/>
      <c r="B983" s="27"/>
    </row>
    <row r="984" spans="1:2" x14ac:dyDescent="0.2">
      <c r="A984" s="25"/>
      <c r="B984" s="27"/>
    </row>
    <row r="985" spans="1:2" x14ac:dyDescent="0.2">
      <c r="A985" s="25"/>
      <c r="B985" s="27"/>
    </row>
    <row r="986" spans="1:2" x14ac:dyDescent="0.2">
      <c r="A986" s="25"/>
      <c r="B986" s="27"/>
    </row>
    <row r="987" spans="1:2" x14ac:dyDescent="0.2">
      <c r="A987" s="25"/>
      <c r="B987" s="27"/>
    </row>
    <row r="988" spans="1:2" x14ac:dyDescent="0.2">
      <c r="A988" s="25"/>
      <c r="B988" s="27"/>
    </row>
    <row r="989" spans="1:2" x14ac:dyDescent="0.2">
      <c r="A989" s="25"/>
      <c r="B989" s="27"/>
    </row>
    <row r="990" spans="1:2" x14ac:dyDescent="0.2">
      <c r="A990" s="25"/>
      <c r="B990" s="27"/>
    </row>
    <row r="991" spans="1:2" x14ac:dyDescent="0.2">
      <c r="A991" s="25"/>
      <c r="B991" s="27"/>
    </row>
    <row r="992" spans="1:2" x14ac:dyDescent="0.2">
      <c r="A992" s="25"/>
      <c r="B992" s="27"/>
    </row>
    <row r="993" spans="1:2" x14ac:dyDescent="0.2">
      <c r="A993" s="25"/>
      <c r="B993" s="27"/>
    </row>
    <row r="994" spans="1:2" x14ac:dyDescent="0.2">
      <c r="A994" s="25"/>
      <c r="B994" s="27"/>
    </row>
    <row r="995" spans="1:2" x14ac:dyDescent="0.2">
      <c r="A995" s="25"/>
      <c r="B995" s="27"/>
    </row>
    <row r="996" spans="1:2" x14ac:dyDescent="0.2">
      <c r="A996" s="25"/>
      <c r="B996" s="27"/>
    </row>
    <row r="997" spans="1:2" x14ac:dyDescent="0.2">
      <c r="A997" s="25"/>
      <c r="B997" s="27"/>
    </row>
    <row r="998" spans="1:2" x14ac:dyDescent="0.2">
      <c r="A998" s="25"/>
      <c r="B998" s="27"/>
    </row>
    <row r="999" spans="1:2" x14ac:dyDescent="0.2">
      <c r="A999" s="25"/>
      <c r="B999" s="27"/>
    </row>
    <row r="1000" spans="1:2" x14ac:dyDescent="0.2">
      <c r="A1000" s="25"/>
      <c r="B1000" s="27"/>
    </row>
    <row r="1001" spans="1:2" x14ac:dyDescent="0.2">
      <c r="A1001" s="25"/>
      <c r="B1001" s="27"/>
    </row>
    <row r="1002" spans="1:2" x14ac:dyDescent="0.2">
      <c r="A1002" s="25"/>
      <c r="B1002" s="27"/>
    </row>
    <row r="1003" spans="1:2" ht="13.5" thickBot="1" x14ac:dyDescent="0.25">
      <c r="A1003" s="16"/>
      <c r="B1003" s="17"/>
    </row>
    <row r="1004" spans="1:2" ht="13.15" customHeight="1" x14ac:dyDescent="0.2">
      <c r="A1004" s="14" t="s">
        <v>2298</v>
      </c>
      <c r="B1004" s="15" t="s">
        <v>2299</v>
      </c>
    </row>
    <row r="1005" spans="1:2" ht="26.25" thickBot="1" x14ac:dyDescent="0.25">
      <c r="A1005" s="16"/>
      <c r="B1005" s="17" t="s">
        <v>2300</v>
      </c>
    </row>
    <row r="1006" spans="1:2" ht="13.15" customHeight="1" x14ac:dyDescent="0.2">
      <c r="A1006" s="14" t="s">
        <v>2301</v>
      </c>
      <c r="B1006" s="15" t="s">
        <v>2302</v>
      </c>
    </row>
    <row r="1007" spans="1:2" ht="25.5" x14ac:dyDescent="0.2">
      <c r="A1007" s="25"/>
      <c r="B1007" s="27" t="s">
        <v>2303</v>
      </c>
    </row>
    <row r="1008" spans="1:2" x14ac:dyDescent="0.2">
      <c r="A1008" s="25"/>
      <c r="B1008" s="27"/>
    </row>
    <row r="1009" spans="1:2" ht="13.5" thickBot="1" x14ac:dyDescent="0.25">
      <c r="A1009" s="16"/>
      <c r="B1009" s="17"/>
    </row>
    <row r="1010" spans="1:2" ht="13.15" customHeight="1" x14ac:dyDescent="0.2">
      <c r="A1010" s="14" t="s">
        <v>2304</v>
      </c>
      <c r="B1010" s="15" t="s">
        <v>2305</v>
      </c>
    </row>
    <row r="1011" spans="1:2" ht="39" thickBot="1" x14ac:dyDescent="0.25">
      <c r="A1011" s="16"/>
      <c r="B1011" s="17" t="s">
        <v>2306</v>
      </c>
    </row>
    <row r="1012" spans="1:2" x14ac:dyDescent="0.2">
      <c r="A1012" s="14" t="s">
        <v>2307</v>
      </c>
      <c r="B1012" s="15" t="s">
        <v>2308</v>
      </c>
    </row>
    <row r="1013" spans="1:2" x14ac:dyDescent="0.2">
      <c r="A1013" s="25"/>
      <c r="B1013" s="38"/>
    </row>
    <row r="1014" spans="1:2" x14ac:dyDescent="0.2">
      <c r="A1014" s="25"/>
      <c r="B1014" s="38"/>
    </row>
    <row r="1015" spans="1:2" x14ac:dyDescent="0.2">
      <c r="A1015" s="25"/>
      <c r="B1015" s="38"/>
    </row>
    <row r="1016" spans="1:2" x14ac:dyDescent="0.2">
      <c r="A1016" s="25"/>
      <c r="B1016" s="38"/>
    </row>
    <row r="1017" spans="1:2" x14ac:dyDescent="0.2">
      <c r="A1017" s="25"/>
      <c r="B1017" s="38"/>
    </row>
    <row r="1018" spans="1:2" x14ac:dyDescent="0.2">
      <c r="A1018" s="25"/>
      <c r="B1018" s="38"/>
    </row>
    <row r="1019" spans="1:2" x14ac:dyDescent="0.2">
      <c r="A1019" s="25"/>
      <c r="B1019" s="38"/>
    </row>
    <row r="1020" spans="1:2" x14ac:dyDescent="0.2">
      <c r="A1020" s="25"/>
      <c r="B1020" s="38"/>
    </row>
    <row r="1021" spans="1:2" x14ac:dyDescent="0.2">
      <c r="A1021" s="25"/>
      <c r="B1021" s="38"/>
    </row>
    <row r="1022" spans="1:2" x14ac:dyDescent="0.2">
      <c r="A1022" s="25"/>
      <c r="B1022" s="38"/>
    </row>
    <row r="1023" spans="1:2" ht="13.5" thickBot="1" x14ac:dyDescent="0.25">
      <c r="A1023" s="16"/>
      <c r="B1023" s="39"/>
    </row>
    <row r="1024" spans="1:2" x14ac:dyDescent="0.2">
      <c r="A1024" s="14" t="s">
        <v>2309</v>
      </c>
      <c r="B1024" s="15" t="s">
        <v>2310</v>
      </c>
    </row>
    <row r="1025" spans="1:2" ht="25.5" x14ac:dyDescent="0.2">
      <c r="A1025" s="25"/>
      <c r="B1025" s="27" t="s">
        <v>2311</v>
      </c>
    </row>
    <row r="1026" spans="1:2" x14ac:dyDescent="0.2">
      <c r="A1026" s="25"/>
      <c r="B1026" s="27"/>
    </row>
    <row r="1027" spans="1:2" x14ac:dyDescent="0.2">
      <c r="A1027" s="25"/>
      <c r="B1027" s="27"/>
    </row>
    <row r="1028" spans="1:2" x14ac:dyDescent="0.2">
      <c r="A1028" s="25"/>
      <c r="B1028" s="27"/>
    </row>
    <row r="1029" spans="1:2" ht="13.5" thickBot="1" x14ac:dyDescent="0.25">
      <c r="A1029" s="16"/>
      <c r="B1029" s="17"/>
    </row>
    <row r="1030" spans="1:2" x14ac:dyDescent="0.2">
      <c r="A1030" s="14" t="s">
        <v>2312</v>
      </c>
      <c r="B1030" s="15" t="s">
        <v>2313</v>
      </c>
    </row>
    <row r="1031" spans="1:2" x14ac:dyDescent="0.2">
      <c r="A1031" s="25"/>
      <c r="B1031" s="38"/>
    </row>
    <row r="1032" spans="1:2" x14ac:dyDescent="0.2">
      <c r="A1032" s="25"/>
      <c r="B1032" s="38"/>
    </row>
    <row r="1033" spans="1:2" ht="13.5" thickBot="1" x14ac:dyDescent="0.25">
      <c r="A1033" s="16"/>
      <c r="B1033" s="39"/>
    </row>
    <row r="1034" spans="1:2" x14ac:dyDescent="0.2">
      <c r="A1034" s="14" t="s">
        <v>2314</v>
      </c>
      <c r="B1034" s="15" t="s">
        <v>2315</v>
      </c>
    </row>
    <row r="1035" spans="1:2" ht="13.5" thickBot="1" x14ac:dyDescent="0.25">
      <c r="A1035" s="16"/>
      <c r="B1035" s="17" t="s">
        <v>2316</v>
      </c>
    </row>
    <row r="1036" spans="1:2" x14ac:dyDescent="0.2">
      <c r="A1036" s="14" t="s">
        <v>2317</v>
      </c>
      <c r="B1036" s="15" t="s">
        <v>2318</v>
      </c>
    </row>
    <row r="1037" spans="1:2" x14ac:dyDescent="0.2">
      <c r="A1037" s="25"/>
      <c r="B1037" s="38"/>
    </row>
    <row r="1038" spans="1:2" x14ac:dyDescent="0.2">
      <c r="A1038" s="25"/>
      <c r="B1038" s="38"/>
    </row>
    <row r="1039" spans="1:2" ht="13.5" thickBot="1" x14ac:dyDescent="0.25">
      <c r="A1039" s="16"/>
      <c r="B1039" s="39"/>
    </row>
    <row r="1040" spans="1:2" x14ac:dyDescent="0.2">
      <c r="A1040" s="14" t="s">
        <v>2319</v>
      </c>
      <c r="B1040" s="15" t="s">
        <v>2320</v>
      </c>
    </row>
    <row r="1041" spans="1:2" ht="13.5" thickBot="1" x14ac:dyDescent="0.25">
      <c r="A1041" s="16"/>
      <c r="B1041" s="17" t="s">
        <v>2321</v>
      </c>
    </row>
    <row r="1042" spans="1:2" x14ac:dyDescent="0.2">
      <c r="A1042" s="32" t="s">
        <v>877</v>
      </c>
      <c r="B1042" s="40" t="s">
        <v>2322</v>
      </c>
    </row>
    <row r="1043" spans="1:2" ht="25.5" x14ac:dyDescent="0.2">
      <c r="A1043" s="41"/>
      <c r="B1043" s="45" t="s">
        <v>2323</v>
      </c>
    </row>
    <row r="1044" spans="1:2" x14ac:dyDescent="0.2">
      <c r="A1044" s="41"/>
      <c r="B1044" s="45"/>
    </row>
    <row r="1045" spans="1:2" x14ac:dyDescent="0.2">
      <c r="A1045" s="41"/>
      <c r="B1045" s="45"/>
    </row>
    <row r="1046" spans="1:2" x14ac:dyDescent="0.2">
      <c r="A1046" s="41"/>
      <c r="B1046" s="45"/>
    </row>
    <row r="1047" spans="1:2" x14ac:dyDescent="0.2">
      <c r="A1047" s="41"/>
      <c r="B1047" s="45"/>
    </row>
    <row r="1048" spans="1:2" x14ac:dyDescent="0.2">
      <c r="A1048" s="41"/>
      <c r="B1048" s="45"/>
    </row>
    <row r="1049" spans="1:2" ht="13.5" thickBot="1" x14ac:dyDescent="0.25">
      <c r="A1049" s="33"/>
      <c r="B1049" s="35"/>
    </row>
    <row r="1050" spans="1:2" x14ac:dyDescent="0.2">
      <c r="A1050" s="32" t="s">
        <v>878</v>
      </c>
      <c r="B1050" s="40" t="s">
        <v>2324</v>
      </c>
    </row>
    <row r="1051" spans="1:2" x14ac:dyDescent="0.2">
      <c r="A1051" s="41"/>
      <c r="B1051" s="42"/>
    </row>
    <row r="1052" spans="1:2" x14ac:dyDescent="0.2">
      <c r="A1052" s="41"/>
      <c r="B1052" s="42"/>
    </row>
    <row r="1053" spans="1:2" x14ac:dyDescent="0.2">
      <c r="A1053" s="41"/>
      <c r="B1053" s="42"/>
    </row>
    <row r="1054" spans="1:2" x14ac:dyDescent="0.2">
      <c r="A1054" s="41"/>
      <c r="B1054" s="42"/>
    </row>
    <row r="1055" spans="1:2" x14ac:dyDescent="0.2">
      <c r="A1055" s="41"/>
      <c r="B1055" s="42"/>
    </row>
    <row r="1056" spans="1:2" x14ac:dyDescent="0.2">
      <c r="A1056" s="41"/>
      <c r="B1056" s="42"/>
    </row>
    <row r="1057" spans="1:2" ht="13.5" thickBot="1" x14ac:dyDescent="0.25">
      <c r="A1057" s="33"/>
      <c r="B1057" s="43"/>
    </row>
    <row r="1058" spans="1:2" ht="31.15" customHeight="1" thickBot="1" x14ac:dyDescent="0.25">
      <c r="A1058" s="21" t="s">
        <v>2325</v>
      </c>
      <c r="B1058" s="22"/>
    </row>
    <row r="1059" spans="1:2" x14ac:dyDescent="0.2">
      <c r="A1059" s="14" t="s">
        <v>2326</v>
      </c>
      <c r="B1059" s="15" t="s">
        <v>2327</v>
      </c>
    </row>
    <row r="1060" spans="1:2" x14ac:dyDescent="0.2">
      <c r="A1060" s="25"/>
      <c r="B1060" s="27" t="s">
        <v>2328</v>
      </c>
    </row>
    <row r="1061" spans="1:2" x14ac:dyDescent="0.2">
      <c r="A1061" s="25"/>
      <c r="B1061" s="27"/>
    </row>
    <row r="1062" spans="1:2" x14ac:dyDescent="0.2">
      <c r="A1062" s="25"/>
      <c r="B1062" s="27"/>
    </row>
    <row r="1063" spans="1:2" x14ac:dyDescent="0.2">
      <c r="A1063" s="25"/>
      <c r="B1063" s="27"/>
    </row>
    <row r="1064" spans="1:2" x14ac:dyDescent="0.2">
      <c r="A1064" s="25"/>
      <c r="B1064" s="27"/>
    </row>
    <row r="1065" spans="1:2" x14ac:dyDescent="0.2">
      <c r="A1065" s="25"/>
      <c r="B1065" s="27"/>
    </row>
    <row r="1066" spans="1:2" x14ac:dyDescent="0.2">
      <c r="A1066" s="25"/>
      <c r="B1066" s="27"/>
    </row>
    <row r="1067" spans="1:2" x14ac:dyDescent="0.2">
      <c r="A1067" s="25"/>
      <c r="B1067" s="27"/>
    </row>
    <row r="1068" spans="1:2" x14ac:dyDescent="0.2">
      <c r="A1068" s="25"/>
      <c r="B1068" s="27"/>
    </row>
    <row r="1069" spans="1:2" x14ac:dyDescent="0.2">
      <c r="A1069" s="25"/>
      <c r="B1069" s="27"/>
    </row>
    <row r="1070" spans="1:2" x14ac:dyDescent="0.2">
      <c r="A1070" s="25"/>
      <c r="B1070" s="27"/>
    </row>
    <row r="1071" spans="1:2" x14ac:dyDescent="0.2">
      <c r="A1071" s="25"/>
      <c r="B1071" s="27"/>
    </row>
    <row r="1072" spans="1:2" x14ac:dyDescent="0.2">
      <c r="A1072" s="25"/>
      <c r="B1072" s="27"/>
    </row>
    <row r="1073" spans="1:2" x14ac:dyDescent="0.2">
      <c r="A1073" s="25"/>
      <c r="B1073" s="27"/>
    </row>
    <row r="1074" spans="1:2" ht="13.5" thickBot="1" x14ac:dyDescent="0.25">
      <c r="A1074" s="16"/>
      <c r="B1074" s="17"/>
    </row>
    <row r="1075" spans="1:2" x14ac:dyDescent="0.2">
      <c r="A1075" s="14" t="s">
        <v>2329</v>
      </c>
      <c r="B1075" s="15" t="s">
        <v>2330</v>
      </c>
    </row>
    <row r="1076" spans="1:2" x14ac:dyDescent="0.2">
      <c r="A1076" s="25"/>
      <c r="B1076" s="27" t="s">
        <v>2331</v>
      </c>
    </row>
    <row r="1077" spans="1:2" x14ac:dyDescent="0.2">
      <c r="A1077" s="25"/>
      <c r="B1077" s="27"/>
    </row>
    <row r="1078" spans="1:2" x14ac:dyDescent="0.2">
      <c r="A1078" s="25"/>
      <c r="B1078" s="27"/>
    </row>
    <row r="1079" spans="1:2" x14ac:dyDescent="0.2">
      <c r="A1079" s="25"/>
      <c r="B1079" s="27"/>
    </row>
    <row r="1080" spans="1:2" x14ac:dyDescent="0.2">
      <c r="A1080" s="25"/>
      <c r="B1080" s="27"/>
    </row>
    <row r="1081" spans="1:2" x14ac:dyDescent="0.2">
      <c r="A1081" s="25"/>
      <c r="B1081" s="27"/>
    </row>
    <row r="1082" spans="1:2" x14ac:dyDescent="0.2">
      <c r="A1082" s="25"/>
      <c r="B1082" s="27"/>
    </row>
    <row r="1083" spans="1:2" x14ac:dyDescent="0.2">
      <c r="A1083" s="25"/>
      <c r="B1083" s="27"/>
    </row>
    <row r="1084" spans="1:2" ht="13.5" thickBot="1" x14ac:dyDescent="0.25">
      <c r="A1084" s="16"/>
      <c r="B1084" s="17"/>
    </row>
    <row r="1085" spans="1:2" x14ac:dyDescent="0.2">
      <c r="A1085" s="14" t="s">
        <v>2332</v>
      </c>
      <c r="B1085" s="15" t="s">
        <v>2333</v>
      </c>
    </row>
    <row r="1086" spans="1:2" ht="51" x14ac:dyDescent="0.2">
      <c r="A1086" s="25"/>
      <c r="B1086" s="27" t="s">
        <v>2334</v>
      </c>
    </row>
    <row r="1087" spans="1:2" x14ac:dyDescent="0.2">
      <c r="A1087" s="25"/>
      <c r="B1087" s="27"/>
    </row>
    <row r="1088" spans="1:2" x14ac:dyDescent="0.2">
      <c r="A1088" s="25"/>
      <c r="B1088" s="27" t="s">
        <v>2335</v>
      </c>
    </row>
    <row r="1089" spans="1:2" x14ac:dyDescent="0.2">
      <c r="A1089" s="25"/>
      <c r="B1089" s="27"/>
    </row>
    <row r="1090" spans="1:2" x14ac:dyDescent="0.2">
      <c r="A1090" s="25"/>
      <c r="B1090" s="27"/>
    </row>
    <row r="1091" spans="1:2" x14ac:dyDescent="0.2">
      <c r="A1091" s="25"/>
      <c r="B1091" s="27"/>
    </row>
    <row r="1092" spans="1:2" x14ac:dyDescent="0.2">
      <c r="A1092" s="25"/>
      <c r="B1092" s="27"/>
    </row>
    <row r="1093" spans="1:2" x14ac:dyDescent="0.2">
      <c r="A1093" s="25"/>
      <c r="B1093" s="27"/>
    </row>
    <row r="1094" spans="1:2" x14ac:dyDescent="0.2">
      <c r="A1094" s="25"/>
      <c r="B1094" s="27"/>
    </row>
    <row r="1095" spans="1:2" x14ac:dyDescent="0.2">
      <c r="A1095" s="25"/>
      <c r="B1095" s="27"/>
    </row>
    <row r="1096" spans="1:2" x14ac:dyDescent="0.2">
      <c r="A1096" s="25"/>
      <c r="B1096" s="27"/>
    </row>
    <row r="1097" spans="1:2" x14ac:dyDescent="0.2">
      <c r="A1097" s="25"/>
      <c r="B1097" s="27"/>
    </row>
    <row r="1098" spans="1:2" x14ac:dyDescent="0.2">
      <c r="A1098" s="25"/>
      <c r="B1098" s="27"/>
    </row>
    <row r="1099" spans="1:2" x14ac:dyDescent="0.2">
      <c r="A1099" s="25"/>
      <c r="B1099" s="27"/>
    </row>
    <row r="1100" spans="1:2" x14ac:dyDescent="0.2">
      <c r="A1100" s="25"/>
      <c r="B1100" s="27"/>
    </row>
    <row r="1101" spans="1:2" x14ac:dyDescent="0.2">
      <c r="A1101" s="25"/>
      <c r="B1101" s="27"/>
    </row>
    <row r="1102" spans="1:2" x14ac:dyDescent="0.2">
      <c r="A1102" s="25"/>
      <c r="B1102" s="27"/>
    </row>
    <row r="1103" spans="1:2" x14ac:dyDescent="0.2">
      <c r="A1103" s="25"/>
      <c r="B1103" s="27"/>
    </row>
    <row r="1104" spans="1:2" ht="13.5" thickBot="1" x14ac:dyDescent="0.25">
      <c r="A1104" s="16"/>
      <c r="B1104" s="17"/>
    </row>
    <row r="1105" spans="1:2" x14ac:dyDescent="0.2">
      <c r="A1105" s="14" t="s">
        <v>2336</v>
      </c>
      <c r="B1105" s="15" t="s">
        <v>2337</v>
      </c>
    </row>
    <row r="1106" spans="1:2" ht="51" x14ac:dyDescent="0.2">
      <c r="A1106" s="25"/>
      <c r="B1106" s="27" t="s">
        <v>2338</v>
      </c>
    </row>
    <row r="1107" spans="1:2" x14ac:dyDescent="0.2">
      <c r="A1107" s="25"/>
      <c r="B1107" s="26"/>
    </row>
    <row r="1108" spans="1:2" x14ac:dyDescent="0.2">
      <c r="A1108" s="25"/>
      <c r="B1108" s="27" t="s">
        <v>2339</v>
      </c>
    </row>
    <row r="1109" spans="1:2" x14ac:dyDescent="0.2">
      <c r="A1109" s="25"/>
      <c r="B1109" s="26"/>
    </row>
    <row r="1110" spans="1:2" ht="25.5" x14ac:dyDescent="0.2">
      <c r="A1110" s="25"/>
      <c r="B1110" s="27" t="s">
        <v>2340</v>
      </c>
    </row>
    <row r="1111" spans="1:2" x14ac:dyDescent="0.2">
      <c r="A1111" s="25"/>
      <c r="B1111" s="27"/>
    </row>
    <row r="1112" spans="1:2" ht="13.5" thickBot="1" x14ac:dyDescent="0.25">
      <c r="A1112" s="16"/>
      <c r="B1112" s="17" t="s">
        <v>2341</v>
      </c>
    </row>
    <row r="1113" spans="1:2" x14ac:dyDescent="0.2">
      <c r="A1113" s="32" t="s">
        <v>2342</v>
      </c>
      <c r="B1113" s="40" t="s">
        <v>2343</v>
      </c>
    </row>
    <row r="1114" spans="1:2" ht="13.5" thickBot="1" x14ac:dyDescent="0.25">
      <c r="A1114" s="33"/>
      <c r="B1114" s="35" t="s">
        <v>2344</v>
      </c>
    </row>
    <row r="1115" spans="1:2" x14ac:dyDescent="0.2">
      <c r="A1115" s="32" t="s">
        <v>2345</v>
      </c>
      <c r="B1115" s="40" t="s">
        <v>2346</v>
      </c>
    </row>
    <row r="1116" spans="1:2" ht="13.5" thickBot="1" x14ac:dyDescent="0.25">
      <c r="A1116" s="33"/>
      <c r="B1116" s="35" t="s">
        <v>2347</v>
      </c>
    </row>
    <row r="1117" spans="1:2" x14ac:dyDescent="0.2">
      <c r="A1117" s="32" t="s">
        <v>2348</v>
      </c>
      <c r="B1117" s="40" t="s">
        <v>2349</v>
      </c>
    </row>
    <row r="1118" spans="1:2" ht="38.25" x14ac:dyDescent="0.2">
      <c r="A1118" s="41"/>
      <c r="B1118" s="45" t="s">
        <v>2350</v>
      </c>
    </row>
    <row r="1119" spans="1:2" x14ac:dyDescent="0.2">
      <c r="A1119" s="41"/>
      <c r="B1119" s="45"/>
    </row>
    <row r="1120" spans="1:2" ht="13.5" thickBot="1" x14ac:dyDescent="0.25">
      <c r="A1120" s="33"/>
      <c r="B1120" s="35" t="s">
        <v>2351</v>
      </c>
    </row>
    <row r="1121" spans="1:2" ht="31.15" customHeight="1" thickBot="1" x14ac:dyDescent="0.25">
      <c r="A1121" s="21" t="s">
        <v>2352</v>
      </c>
      <c r="B1121" s="22"/>
    </row>
    <row r="1122" spans="1:2" x14ac:dyDescent="0.2">
      <c r="A1122" s="14" t="s">
        <v>2353</v>
      </c>
      <c r="B1122" s="15" t="s">
        <v>2354</v>
      </c>
    </row>
    <row r="1123" spans="1:2" ht="25.5" x14ac:dyDescent="0.2">
      <c r="A1123" s="25"/>
      <c r="B1123" s="27" t="s">
        <v>2355</v>
      </c>
    </row>
    <row r="1124" spans="1:2" x14ac:dyDescent="0.2">
      <c r="A1124" s="25"/>
      <c r="B1124" s="26"/>
    </row>
    <row r="1125" spans="1:2" ht="25.5" x14ac:dyDescent="0.2">
      <c r="A1125" s="25"/>
      <c r="B1125" s="27" t="s">
        <v>2356</v>
      </c>
    </row>
    <row r="1126" spans="1:2" x14ac:dyDescent="0.2">
      <c r="A1126" s="25"/>
      <c r="B1126" s="26"/>
    </row>
    <row r="1127" spans="1:2" ht="25.5" x14ac:dyDescent="0.2">
      <c r="A1127" s="25"/>
      <c r="B1127" s="27" t="s">
        <v>2357</v>
      </c>
    </row>
    <row r="1128" spans="1:2" x14ac:dyDescent="0.2">
      <c r="A1128" s="25"/>
      <c r="B1128" s="26"/>
    </row>
    <row r="1129" spans="1:2" ht="25.5" x14ac:dyDescent="0.2">
      <c r="A1129" s="25"/>
      <c r="B1129" s="27" t="s">
        <v>2358</v>
      </c>
    </row>
    <row r="1130" spans="1:2" x14ac:dyDescent="0.2">
      <c r="A1130" s="25"/>
      <c r="B1130" s="26"/>
    </row>
    <row r="1131" spans="1:2" ht="25.5" x14ac:dyDescent="0.2">
      <c r="A1131" s="25"/>
      <c r="B1131" s="27" t="s">
        <v>2359</v>
      </c>
    </row>
    <row r="1132" spans="1:2" x14ac:dyDescent="0.2">
      <c r="A1132" s="25"/>
      <c r="B1132" s="26"/>
    </row>
    <row r="1133" spans="1:2" ht="38.25" x14ac:dyDescent="0.2">
      <c r="A1133" s="25"/>
      <c r="B1133" s="27" t="s">
        <v>2360</v>
      </c>
    </row>
    <row r="1134" spans="1:2" x14ac:dyDescent="0.2">
      <c r="A1134" s="25"/>
      <c r="B1134" s="27"/>
    </row>
    <row r="1135" spans="1:2" ht="51.75" thickBot="1" x14ac:dyDescent="0.25">
      <c r="A1135" s="16"/>
      <c r="B1135" s="17" t="s">
        <v>2361</v>
      </c>
    </row>
    <row r="1136" spans="1:2" ht="16.5" thickBot="1" x14ac:dyDescent="0.25">
      <c r="A1136" s="21" t="s">
        <v>2362</v>
      </c>
      <c r="B1136" s="22"/>
    </row>
    <row r="1137" spans="1:2" x14ac:dyDescent="0.2">
      <c r="A1137" s="14" t="s">
        <v>2363</v>
      </c>
      <c r="B1137" s="15" t="s">
        <v>2364</v>
      </c>
    </row>
    <row r="1138" spans="1:2" ht="25.5" x14ac:dyDescent="0.2">
      <c r="A1138" s="25"/>
      <c r="B1138" s="27" t="s">
        <v>2365</v>
      </c>
    </row>
    <row r="1139" spans="1:2" x14ac:dyDescent="0.2">
      <c r="A1139" s="25"/>
      <c r="B1139" s="27"/>
    </row>
    <row r="1140" spans="1:2" ht="13.5" thickBot="1" x14ac:dyDescent="0.25">
      <c r="A1140" s="16"/>
      <c r="B1140" s="17"/>
    </row>
    <row r="1141" spans="1:2" x14ac:dyDescent="0.2">
      <c r="A1141" s="14" t="s">
        <v>2366</v>
      </c>
      <c r="B1141" s="15" t="s">
        <v>2367</v>
      </c>
    </row>
    <row r="1142" spans="1:2" ht="25.5" x14ac:dyDescent="0.2">
      <c r="A1142" s="25"/>
      <c r="B1142" s="27" t="s">
        <v>2368</v>
      </c>
    </row>
    <row r="1143" spans="1:2" x14ac:dyDescent="0.2">
      <c r="A1143" s="25"/>
      <c r="B1143" s="27"/>
    </row>
    <row r="1144" spans="1:2" x14ac:dyDescent="0.2">
      <c r="A1144" s="25"/>
      <c r="B1144" s="27"/>
    </row>
    <row r="1145" spans="1:2" x14ac:dyDescent="0.2">
      <c r="A1145" s="25"/>
      <c r="B1145" s="27"/>
    </row>
    <row r="1146" spans="1:2" ht="13.5" thickBot="1" x14ac:dyDescent="0.25">
      <c r="A1146" s="16"/>
      <c r="B1146" s="17"/>
    </row>
    <row r="1147" spans="1:2" ht="46.9" customHeight="1" thickBot="1" x14ac:dyDescent="0.25">
      <c r="A1147" s="21" t="s">
        <v>2369</v>
      </c>
      <c r="B1147" s="22"/>
    </row>
    <row r="1148" spans="1:2" x14ac:dyDescent="0.2">
      <c r="A1148" s="14" t="s">
        <v>2370</v>
      </c>
      <c r="B1148" s="15" t="s">
        <v>2371</v>
      </c>
    </row>
    <row r="1149" spans="1:2" ht="76.5" x14ac:dyDescent="0.2">
      <c r="A1149" s="25"/>
      <c r="B1149" s="27" t="s">
        <v>2372</v>
      </c>
    </row>
    <row r="1150" spans="1:2" x14ac:dyDescent="0.2">
      <c r="A1150" s="25"/>
      <c r="B1150" s="27"/>
    </row>
    <row r="1151" spans="1:2" x14ac:dyDescent="0.2">
      <c r="A1151" s="25"/>
      <c r="B1151" s="27"/>
    </row>
    <row r="1152" spans="1:2" x14ac:dyDescent="0.2">
      <c r="A1152" s="25"/>
      <c r="B1152" s="27"/>
    </row>
    <row r="1153" spans="1:2" x14ac:dyDescent="0.2">
      <c r="A1153" s="25"/>
      <c r="B1153" s="27"/>
    </row>
    <row r="1154" spans="1:2" x14ac:dyDescent="0.2">
      <c r="A1154" s="25"/>
      <c r="B1154" s="27"/>
    </row>
    <row r="1155" spans="1:2" x14ac:dyDescent="0.2">
      <c r="A1155" s="25"/>
      <c r="B1155" s="27"/>
    </row>
    <row r="1156" spans="1:2" x14ac:dyDescent="0.2">
      <c r="A1156" s="25"/>
      <c r="B1156" s="27"/>
    </row>
    <row r="1157" spans="1:2" ht="13.5" thickBot="1" x14ac:dyDescent="0.25">
      <c r="A1157" s="16"/>
      <c r="B1157" s="17"/>
    </row>
    <row r="1158" spans="1:2" ht="31.15" customHeight="1" thickBot="1" x14ac:dyDescent="0.25">
      <c r="A1158" s="21" t="s">
        <v>2373</v>
      </c>
      <c r="B1158" s="22"/>
    </row>
    <row r="1159" spans="1:2" x14ac:dyDescent="0.2">
      <c r="A1159" s="14" t="s">
        <v>2374</v>
      </c>
      <c r="B1159" s="15" t="s">
        <v>2375</v>
      </c>
    </row>
    <row r="1160" spans="1:2" ht="25.5" x14ac:dyDescent="0.2">
      <c r="A1160" s="25"/>
      <c r="B1160" s="27" t="s">
        <v>2376</v>
      </c>
    </row>
    <row r="1161" spans="1:2" x14ac:dyDescent="0.2">
      <c r="A1161" s="25"/>
      <c r="B1161" s="27"/>
    </row>
    <row r="1162" spans="1:2" x14ac:dyDescent="0.2">
      <c r="A1162" s="25"/>
      <c r="B1162" s="27"/>
    </row>
    <row r="1163" spans="1:2" x14ac:dyDescent="0.2">
      <c r="A1163" s="25"/>
      <c r="B1163" s="27"/>
    </row>
    <row r="1164" spans="1:2" x14ac:dyDescent="0.2">
      <c r="A1164" s="25"/>
      <c r="B1164" s="27"/>
    </row>
    <row r="1165" spans="1:2" x14ac:dyDescent="0.2">
      <c r="A1165" s="25"/>
      <c r="B1165" s="27"/>
    </row>
    <row r="1166" spans="1:2" x14ac:dyDescent="0.2">
      <c r="A1166" s="25"/>
      <c r="B1166" s="27"/>
    </row>
    <row r="1167" spans="1:2" x14ac:dyDescent="0.2">
      <c r="A1167" s="25"/>
      <c r="B1167" s="27"/>
    </row>
    <row r="1168" spans="1:2" x14ac:dyDescent="0.2">
      <c r="A1168" s="25"/>
      <c r="B1168" s="27"/>
    </row>
    <row r="1169" spans="1:2" x14ac:dyDescent="0.2">
      <c r="A1169" s="25"/>
      <c r="B1169" s="27"/>
    </row>
    <row r="1170" spans="1:2" ht="13.5" thickBot="1" x14ac:dyDescent="0.25">
      <c r="A1170" s="16"/>
      <c r="B1170" s="17"/>
    </row>
    <row r="1171" spans="1:2" ht="31.15" customHeight="1" thickBot="1" x14ac:dyDescent="0.25">
      <c r="A1171" s="21" t="s">
        <v>2377</v>
      </c>
      <c r="B1171" s="22"/>
    </row>
    <row r="1172" spans="1:2" x14ac:dyDescent="0.2">
      <c r="A1172" s="14" t="s">
        <v>2378</v>
      </c>
      <c r="B1172" s="15" t="s">
        <v>2379</v>
      </c>
    </row>
    <row r="1173" spans="1:2" ht="25.5" x14ac:dyDescent="0.2">
      <c r="A1173" s="25"/>
      <c r="B1173" s="27" t="s">
        <v>2380</v>
      </c>
    </row>
    <row r="1174" spans="1:2" x14ac:dyDescent="0.2">
      <c r="A1174" s="25"/>
      <c r="B1174" s="27"/>
    </row>
    <row r="1175" spans="1:2" x14ac:dyDescent="0.2">
      <c r="A1175" s="25"/>
      <c r="B1175" s="27"/>
    </row>
    <row r="1176" spans="1:2" x14ac:dyDescent="0.2">
      <c r="A1176" s="25"/>
      <c r="B1176" s="27"/>
    </row>
    <row r="1177" spans="1:2" x14ac:dyDescent="0.2">
      <c r="A1177" s="25"/>
      <c r="B1177" s="27"/>
    </row>
    <row r="1178" spans="1:2" x14ac:dyDescent="0.2">
      <c r="A1178" s="25"/>
      <c r="B1178" s="27"/>
    </row>
    <row r="1179" spans="1:2" x14ac:dyDescent="0.2">
      <c r="A1179" s="25"/>
      <c r="B1179" s="27"/>
    </row>
    <row r="1180" spans="1:2" x14ac:dyDescent="0.2">
      <c r="A1180" s="25"/>
      <c r="B1180" s="27"/>
    </row>
    <row r="1181" spans="1:2" x14ac:dyDescent="0.2">
      <c r="A1181" s="25"/>
      <c r="B1181" s="27"/>
    </row>
    <row r="1182" spans="1:2" x14ac:dyDescent="0.2">
      <c r="A1182" s="25"/>
      <c r="B1182" s="27"/>
    </row>
    <row r="1183" spans="1:2" x14ac:dyDescent="0.2">
      <c r="A1183" s="25"/>
      <c r="B1183" s="27"/>
    </row>
    <row r="1184" spans="1:2" x14ac:dyDescent="0.2">
      <c r="A1184" s="25"/>
      <c r="B1184" s="27"/>
    </row>
    <row r="1185" spans="1:2" x14ac:dyDescent="0.2">
      <c r="A1185" s="25"/>
      <c r="B1185" s="27"/>
    </row>
    <row r="1186" spans="1:2" x14ac:dyDescent="0.2">
      <c r="A1186" s="25"/>
      <c r="B1186" s="27"/>
    </row>
    <row r="1187" spans="1:2" x14ac:dyDescent="0.2">
      <c r="A1187" s="25"/>
      <c r="B1187" s="27"/>
    </row>
    <row r="1188" spans="1:2" x14ac:dyDescent="0.2">
      <c r="A1188" s="25"/>
      <c r="B1188" s="27"/>
    </row>
    <row r="1189" spans="1:2" x14ac:dyDescent="0.2">
      <c r="A1189" s="25"/>
      <c r="B1189" s="27"/>
    </row>
    <row r="1190" spans="1:2" x14ac:dyDescent="0.2">
      <c r="A1190" s="25"/>
      <c r="B1190" s="27"/>
    </row>
    <row r="1191" spans="1:2" x14ac:dyDescent="0.2">
      <c r="A1191" s="25"/>
      <c r="B1191" s="27"/>
    </row>
    <row r="1192" spans="1:2" x14ac:dyDescent="0.2">
      <c r="A1192" s="25"/>
      <c r="B1192" s="27"/>
    </row>
    <row r="1193" spans="1:2" x14ac:dyDescent="0.2">
      <c r="A1193" s="25"/>
      <c r="B1193" s="27"/>
    </row>
    <row r="1194" spans="1:2" x14ac:dyDescent="0.2">
      <c r="A1194" s="25"/>
      <c r="B1194" s="27"/>
    </row>
    <row r="1195" spans="1:2" ht="13.5" thickBot="1" x14ac:dyDescent="0.25">
      <c r="A1195" s="16"/>
      <c r="B1195" s="17"/>
    </row>
    <row r="1196" spans="1:2" ht="16.5" thickBot="1" x14ac:dyDescent="0.25">
      <c r="A1196" s="21" t="s">
        <v>2381</v>
      </c>
      <c r="B1196" s="22"/>
    </row>
    <row r="1197" spans="1:2" ht="113.45" customHeight="1" thickBot="1" x14ac:dyDescent="0.25">
      <c r="A1197" s="23" t="s">
        <v>2382</v>
      </c>
      <c r="B1197" s="24"/>
    </row>
    <row r="1198" spans="1:2" ht="13.5" thickBot="1" x14ac:dyDescent="0.25">
      <c r="A1198" s="18" t="s">
        <v>2383</v>
      </c>
      <c r="B1198" s="18"/>
    </row>
    <row r="1199" spans="1:2" x14ac:dyDescent="0.2">
      <c r="A1199" s="14" t="s">
        <v>889</v>
      </c>
      <c r="B1199" s="14"/>
    </row>
    <row r="1200" spans="1:2" x14ac:dyDescent="0.2">
      <c r="A1200" s="25"/>
      <c r="B1200" s="25"/>
    </row>
    <row r="1201" spans="1:2" x14ac:dyDescent="0.2">
      <c r="A1201" s="25"/>
      <c r="B1201" s="25"/>
    </row>
    <row r="1202" spans="1:2" x14ac:dyDescent="0.2">
      <c r="A1202" s="25"/>
      <c r="B1202" s="25"/>
    </row>
    <row r="1203" spans="1:2" x14ac:dyDescent="0.2">
      <c r="A1203" s="25"/>
      <c r="B1203" s="25"/>
    </row>
    <row r="1204" spans="1:2" ht="13.5" thickBot="1" x14ac:dyDescent="0.25">
      <c r="A1204" s="16"/>
      <c r="B1204" s="16"/>
    </row>
    <row r="1205" spans="1:2" ht="13.5" thickBot="1" x14ac:dyDescent="0.25">
      <c r="A1205" s="18" t="s">
        <v>890</v>
      </c>
      <c r="B1205" s="18"/>
    </row>
    <row r="1206" spans="1:2" x14ac:dyDescent="0.2">
      <c r="A1206" s="14" t="s">
        <v>888</v>
      </c>
      <c r="B1206" s="14"/>
    </row>
    <row r="1207" spans="1:2" x14ac:dyDescent="0.2">
      <c r="A1207" s="25"/>
      <c r="B1207" s="25"/>
    </row>
    <row r="1208" spans="1:2" x14ac:dyDescent="0.2">
      <c r="A1208" s="25"/>
      <c r="B1208" s="25"/>
    </row>
    <row r="1209" spans="1:2" ht="13.5" thickBot="1" x14ac:dyDescent="0.25">
      <c r="A1209" s="16"/>
      <c r="B1209" s="16"/>
    </row>
    <row r="1210" spans="1:2" x14ac:dyDescent="0.2">
      <c r="A1210" s="14" t="s">
        <v>887</v>
      </c>
      <c r="B1210" s="14"/>
    </row>
    <row r="1211" spans="1:2" ht="13.5" thickBot="1" x14ac:dyDescent="0.25">
      <c r="A1211" s="16"/>
      <c r="B1211" s="16"/>
    </row>
    <row r="1212" spans="1:2" x14ac:dyDescent="0.2">
      <c r="A1212" s="14" t="s">
        <v>2384</v>
      </c>
      <c r="B1212" s="14"/>
    </row>
    <row r="1213" spans="1:2" x14ac:dyDescent="0.2">
      <c r="A1213" s="25"/>
      <c r="B1213" s="25"/>
    </row>
    <row r="1214" spans="1:2" x14ac:dyDescent="0.2">
      <c r="A1214" s="25"/>
      <c r="B1214" s="25"/>
    </row>
    <row r="1215" spans="1:2" ht="13.5" thickBot="1" x14ac:dyDescent="0.25">
      <c r="A1215" s="16"/>
      <c r="B1215" s="16"/>
    </row>
    <row r="1216" spans="1:2" ht="16.5" thickBot="1" x14ac:dyDescent="0.25">
      <c r="A1216" s="21" t="s">
        <v>2385</v>
      </c>
      <c r="B1216" s="22"/>
    </row>
    <row r="1217" spans="1:2" x14ac:dyDescent="0.2">
      <c r="A1217" s="14" t="s">
        <v>2386</v>
      </c>
      <c r="B1217" s="15" t="s">
        <v>2387</v>
      </c>
    </row>
    <row r="1218" spans="1:2" ht="13.5" thickBot="1" x14ac:dyDescent="0.25">
      <c r="A1218" s="16"/>
      <c r="B1218" s="17" t="s">
        <v>2388</v>
      </c>
    </row>
    <row r="1219" spans="1:2" x14ac:dyDescent="0.2">
      <c r="A1219" s="14" t="s">
        <v>2389</v>
      </c>
      <c r="B1219" s="15" t="s">
        <v>2390</v>
      </c>
    </row>
    <row r="1220" spans="1:2" ht="13.5" thickBot="1" x14ac:dyDescent="0.25">
      <c r="A1220" s="16"/>
      <c r="B1220" s="17" t="s">
        <v>2391</v>
      </c>
    </row>
    <row r="1221" spans="1:2" ht="64.900000000000006" customHeight="1" thickBot="1" x14ac:dyDescent="0.25">
      <c r="A1221" s="29" t="s">
        <v>2392</v>
      </c>
      <c r="B1221" s="30"/>
    </row>
    <row r="1222" spans="1:2" ht="409.6" customHeight="1" thickBot="1" x14ac:dyDescent="0.25">
      <c r="A1222" s="23" t="s">
        <v>2393</v>
      </c>
      <c r="B1222" s="24"/>
    </row>
    <row r="1223" spans="1:2" ht="31.15" customHeight="1" thickBot="1" x14ac:dyDescent="0.25">
      <c r="A1223" s="21" t="s">
        <v>2394</v>
      </c>
      <c r="B1223" s="22"/>
    </row>
    <row r="1224" spans="1:2" ht="48.6" customHeight="1" thickBot="1" x14ac:dyDescent="0.25">
      <c r="A1224" s="23" t="s">
        <v>2395</v>
      </c>
      <c r="B1224" s="24"/>
    </row>
    <row r="1225" spans="1:2" ht="13.5" thickBot="1" x14ac:dyDescent="0.25">
      <c r="A1225" s="18" t="s">
        <v>2396</v>
      </c>
      <c r="B1225" s="31" t="s">
        <v>2397</v>
      </c>
    </row>
    <row r="1226" spans="1:2" ht="13.5" thickBot="1" x14ac:dyDescent="0.25">
      <c r="A1226" s="18" t="s">
        <v>2398</v>
      </c>
      <c r="B1226" s="31" t="s">
        <v>2399</v>
      </c>
    </row>
    <row r="1227" spans="1:2" ht="13.5" thickBot="1" x14ac:dyDescent="0.25">
      <c r="A1227" s="18" t="s">
        <v>2400</v>
      </c>
      <c r="B1227" s="31" t="s">
        <v>2401</v>
      </c>
    </row>
    <row r="1228" spans="1:2" ht="13.5" thickBot="1" x14ac:dyDescent="0.25">
      <c r="A1228" s="18" t="s">
        <v>2402</v>
      </c>
      <c r="B1228" s="31" t="s">
        <v>2403</v>
      </c>
    </row>
    <row r="1229" spans="1:2" x14ac:dyDescent="0.2">
      <c r="A1229" s="14" t="s">
        <v>2404</v>
      </c>
      <c r="B1229" s="15" t="s">
        <v>2405</v>
      </c>
    </row>
    <row r="1230" spans="1:2" x14ac:dyDescent="0.2">
      <c r="A1230" s="25"/>
      <c r="B1230" s="27" t="s">
        <v>2406</v>
      </c>
    </row>
    <row r="1231" spans="1:2" x14ac:dyDescent="0.2">
      <c r="A1231" s="25"/>
      <c r="B1231" s="27" t="s">
        <v>2407</v>
      </c>
    </row>
    <row r="1232" spans="1:2" x14ac:dyDescent="0.2">
      <c r="A1232" s="25"/>
      <c r="B1232" s="27" t="s">
        <v>2408</v>
      </c>
    </row>
    <row r="1233" spans="1:2" x14ac:dyDescent="0.2">
      <c r="A1233" s="25"/>
      <c r="B1233" s="27" t="s">
        <v>2409</v>
      </c>
    </row>
    <row r="1234" spans="1:2" ht="13.5" thickBot="1" x14ac:dyDescent="0.25">
      <c r="A1234" s="16"/>
      <c r="B1234" s="17" t="s">
        <v>2410</v>
      </c>
    </row>
    <row r="1235" spans="1:2" x14ac:dyDescent="0.2">
      <c r="A1235" s="14" t="s">
        <v>2411</v>
      </c>
      <c r="B1235" s="15" t="s">
        <v>2412</v>
      </c>
    </row>
    <row r="1236" spans="1:2" x14ac:dyDescent="0.2">
      <c r="A1236" s="25"/>
      <c r="B1236" s="38"/>
    </row>
    <row r="1237" spans="1:2" x14ac:dyDescent="0.2">
      <c r="A1237" s="25"/>
      <c r="B1237" s="38"/>
    </row>
    <row r="1238" spans="1:2" x14ac:dyDescent="0.2">
      <c r="A1238" s="25"/>
      <c r="B1238" s="38"/>
    </row>
    <row r="1239" spans="1:2" x14ac:dyDescent="0.2">
      <c r="A1239" s="25"/>
      <c r="B1239" s="38"/>
    </row>
    <row r="1240" spans="1:2" ht="13.5" thickBot="1" x14ac:dyDescent="0.25">
      <c r="A1240" s="16"/>
      <c r="B1240" s="39"/>
    </row>
    <row r="1241" spans="1:2" x14ac:dyDescent="0.2">
      <c r="A1241" s="14" t="s">
        <v>2413</v>
      </c>
      <c r="B1241" s="15" t="s">
        <v>2414</v>
      </c>
    </row>
    <row r="1242" spans="1:2" ht="13.5" thickBot="1" x14ac:dyDescent="0.25">
      <c r="A1242" s="16"/>
      <c r="B1242" s="39"/>
    </row>
    <row r="1243" spans="1:2" ht="46.9" customHeight="1" thickBot="1" x14ac:dyDescent="0.25">
      <c r="A1243" s="21" t="s">
        <v>2415</v>
      </c>
      <c r="B1243" s="22"/>
    </row>
    <row r="1244" spans="1:2" ht="13.5" thickBot="1" x14ac:dyDescent="0.25">
      <c r="A1244" s="18" t="s">
        <v>1943</v>
      </c>
      <c r="B1244" s="18"/>
    </row>
    <row r="1245" spans="1:2" ht="13.5" thickBot="1" x14ac:dyDescent="0.25">
      <c r="A1245" s="18" t="s">
        <v>2416</v>
      </c>
      <c r="B1245" s="18"/>
    </row>
    <row r="1246" spans="1:2" ht="13.5" thickBot="1" x14ac:dyDescent="0.25">
      <c r="A1246" s="18" t="s">
        <v>2417</v>
      </c>
      <c r="B1246" s="31" t="s">
        <v>2418</v>
      </c>
    </row>
    <row r="1247" spans="1:2" ht="13.5" thickBot="1" x14ac:dyDescent="0.25">
      <c r="A1247" s="18" t="s">
        <v>2419</v>
      </c>
      <c r="B1247" s="18"/>
    </row>
    <row r="1248" spans="1:2" x14ac:dyDescent="0.2">
      <c r="A1248" s="14" t="s">
        <v>2420</v>
      </c>
      <c r="B1248" s="20" t="s">
        <v>2406</v>
      </c>
    </row>
    <row r="1249" spans="1:2" x14ac:dyDescent="0.2">
      <c r="A1249" s="25"/>
      <c r="B1249" s="27" t="s">
        <v>2407</v>
      </c>
    </row>
    <row r="1250" spans="1:2" x14ac:dyDescent="0.2">
      <c r="A1250" s="25"/>
      <c r="B1250" s="27" t="s">
        <v>2408</v>
      </c>
    </row>
    <row r="1251" spans="1:2" x14ac:dyDescent="0.2">
      <c r="A1251" s="25"/>
      <c r="B1251" s="27" t="s">
        <v>2409</v>
      </c>
    </row>
    <row r="1252" spans="1:2" ht="13.5" thickBot="1" x14ac:dyDescent="0.25">
      <c r="A1252" s="16"/>
      <c r="B1252" s="17" t="s">
        <v>2410</v>
      </c>
    </row>
    <row r="1253" spans="1:2" x14ac:dyDescent="0.2">
      <c r="A1253" s="14" t="s">
        <v>2421</v>
      </c>
      <c r="B1253" s="14"/>
    </row>
    <row r="1254" spans="1:2" ht="13.5" thickBot="1" x14ac:dyDescent="0.25">
      <c r="A1254" s="16"/>
      <c r="B1254" s="16"/>
    </row>
    <row r="1255" spans="1:2" ht="13.5" thickBot="1" x14ac:dyDescent="0.25">
      <c r="A1255" s="18" t="s">
        <v>2422</v>
      </c>
      <c r="B1255" s="18"/>
    </row>
    <row r="1256" spans="1:2" ht="13.5" thickBot="1" x14ac:dyDescent="0.25">
      <c r="A1256" s="18" t="s">
        <v>2423</v>
      </c>
      <c r="B1256" s="18"/>
    </row>
    <row r="1257" spans="1:2" x14ac:dyDescent="0.2">
      <c r="A1257" s="14" t="s">
        <v>2424</v>
      </c>
      <c r="B1257" s="14"/>
    </row>
    <row r="1258" spans="1:2" ht="13.5" thickBot="1" x14ac:dyDescent="0.25">
      <c r="A1258" s="16"/>
      <c r="B1258" s="16"/>
    </row>
    <row r="1259" spans="1:2" x14ac:dyDescent="0.2">
      <c r="A1259" s="14" t="s">
        <v>2425</v>
      </c>
      <c r="B1259" s="14"/>
    </row>
    <row r="1260" spans="1:2" ht="13.5" thickBot="1" x14ac:dyDescent="0.25">
      <c r="A1260" s="16"/>
      <c r="B1260" s="16"/>
    </row>
    <row r="1261" spans="1:2" ht="48.6" customHeight="1" thickBot="1" x14ac:dyDescent="0.25">
      <c r="A1261" s="29" t="s">
        <v>2426</v>
      </c>
      <c r="B1261" s="30"/>
    </row>
    <row r="1262" spans="1:2" x14ac:dyDescent="0.2">
      <c r="A1262" s="14" t="s">
        <v>2427</v>
      </c>
      <c r="B1262" s="15" t="s">
        <v>2428</v>
      </c>
    </row>
    <row r="1263" spans="1:2" ht="13.5" thickBot="1" x14ac:dyDescent="0.25">
      <c r="A1263" s="16"/>
      <c r="B1263" s="17" t="s">
        <v>2429</v>
      </c>
    </row>
    <row r="1264" spans="1:2" x14ac:dyDescent="0.2">
      <c r="A1264" s="14" t="s">
        <v>2430</v>
      </c>
      <c r="B1264" s="15" t="s">
        <v>2431</v>
      </c>
    </row>
    <row r="1265" spans="1:2" ht="13.5" thickBot="1" x14ac:dyDescent="0.25">
      <c r="A1265" s="16"/>
      <c r="B1265" s="17" t="s">
        <v>2432</v>
      </c>
    </row>
    <row r="1266" spans="1:2" ht="13.15" customHeight="1" x14ac:dyDescent="0.2">
      <c r="A1266" s="14" t="s">
        <v>2433</v>
      </c>
      <c r="B1266" s="20" t="s">
        <v>2434</v>
      </c>
    </row>
    <row r="1267" spans="1:2" ht="13.5" thickBot="1" x14ac:dyDescent="0.25">
      <c r="A1267" s="16"/>
      <c r="B1267" s="17"/>
    </row>
    <row r="1268" spans="1:2" x14ac:dyDescent="0.2">
      <c r="A1268" s="14" t="s">
        <v>2435</v>
      </c>
      <c r="B1268" s="15" t="s">
        <v>2436</v>
      </c>
    </row>
    <row r="1269" spans="1:2" ht="13.5" thickBot="1" x14ac:dyDescent="0.25">
      <c r="A1269" s="16"/>
      <c r="B1269" s="17" t="s">
        <v>2437</v>
      </c>
    </row>
    <row r="1270" spans="1:2" ht="32.450000000000003" customHeight="1" thickBot="1" x14ac:dyDescent="0.25">
      <c r="A1270" s="29" t="s">
        <v>2438</v>
      </c>
      <c r="B1270" s="30"/>
    </row>
    <row r="1271" spans="1:2" ht="13.15" customHeight="1" x14ac:dyDescent="0.2">
      <c r="A1271" s="14" t="s">
        <v>2439</v>
      </c>
      <c r="B1271" s="20" t="s">
        <v>2388</v>
      </c>
    </row>
    <row r="1272" spans="1:2" x14ac:dyDescent="0.2">
      <c r="A1272" s="25"/>
      <c r="B1272" s="27"/>
    </row>
    <row r="1273" spans="1:2" x14ac:dyDescent="0.2">
      <c r="A1273" s="25"/>
      <c r="B1273" s="27"/>
    </row>
    <row r="1274" spans="1:2" ht="13.5" thickBot="1" x14ac:dyDescent="0.25">
      <c r="A1274" s="16"/>
      <c r="B1274" s="17"/>
    </row>
    <row r="1275" spans="1:2" ht="13.15" customHeight="1" x14ac:dyDescent="0.2">
      <c r="A1275" s="14" t="s">
        <v>2440</v>
      </c>
      <c r="B1275" s="20" t="s">
        <v>2391</v>
      </c>
    </row>
    <row r="1276" spans="1:2" x14ac:dyDescent="0.2">
      <c r="A1276" s="25"/>
      <c r="B1276" s="27"/>
    </row>
    <row r="1277" spans="1:2" x14ac:dyDescent="0.2">
      <c r="A1277" s="25"/>
      <c r="B1277" s="27"/>
    </row>
    <row r="1278" spans="1:2" x14ac:dyDescent="0.2">
      <c r="A1278" s="25"/>
      <c r="B1278" s="27"/>
    </row>
    <row r="1279" spans="1:2" x14ac:dyDescent="0.2">
      <c r="A1279" s="25"/>
      <c r="B1279" s="27"/>
    </row>
    <row r="1280" spans="1:2" x14ac:dyDescent="0.2">
      <c r="A1280" s="25"/>
      <c r="B1280" s="27"/>
    </row>
    <row r="1281" spans="1:2" x14ac:dyDescent="0.2">
      <c r="A1281" s="25"/>
      <c r="B1281" s="27"/>
    </row>
    <row r="1282" spans="1:2" x14ac:dyDescent="0.2">
      <c r="A1282" s="25"/>
      <c r="B1282" s="27"/>
    </row>
    <row r="1283" spans="1:2" x14ac:dyDescent="0.2">
      <c r="A1283" s="25"/>
      <c r="B1283" s="27"/>
    </row>
    <row r="1284" spans="1:2" ht="13.5" thickBot="1" x14ac:dyDescent="0.25">
      <c r="A1284" s="16"/>
      <c r="B1284" s="17"/>
    </row>
    <row r="1285" spans="1:2" ht="13.5" thickBot="1" x14ac:dyDescent="0.25">
      <c r="A1285" s="18" t="s">
        <v>2441</v>
      </c>
      <c r="B1285" s="31" t="s">
        <v>2442</v>
      </c>
    </row>
    <row r="1286" spans="1:2" ht="13.15" customHeight="1" x14ac:dyDescent="0.2">
      <c r="A1286" s="14" t="s">
        <v>2443</v>
      </c>
      <c r="B1286" s="20" t="s">
        <v>2444</v>
      </c>
    </row>
    <row r="1287" spans="1:2" x14ac:dyDescent="0.2">
      <c r="A1287" s="25"/>
      <c r="B1287" s="27"/>
    </row>
    <row r="1288" spans="1:2" x14ac:dyDescent="0.2">
      <c r="A1288" s="25"/>
      <c r="B1288" s="27"/>
    </row>
    <row r="1289" spans="1:2" x14ac:dyDescent="0.2">
      <c r="A1289" s="25"/>
      <c r="B1289" s="27"/>
    </row>
    <row r="1290" spans="1:2" x14ac:dyDescent="0.2">
      <c r="A1290" s="25"/>
      <c r="B1290" s="27"/>
    </row>
    <row r="1291" spans="1:2" ht="13.5" thickBot="1" x14ac:dyDescent="0.25">
      <c r="A1291" s="16"/>
      <c r="B1291" s="17"/>
    </row>
    <row r="1292" spans="1:2" ht="13.5" thickBot="1" x14ac:dyDescent="0.25">
      <c r="A1292" s="18" t="s">
        <v>2445</v>
      </c>
      <c r="B1292" s="18"/>
    </row>
    <row r="1293" spans="1:2" ht="13.5" thickBot="1" x14ac:dyDescent="0.25">
      <c r="A1293" s="18" t="s">
        <v>2446</v>
      </c>
      <c r="B1293" s="31" t="s">
        <v>2447</v>
      </c>
    </row>
    <row r="1294" spans="1:2" ht="13.5" thickBot="1" x14ac:dyDescent="0.25">
      <c r="A1294" s="18" t="s">
        <v>2448</v>
      </c>
      <c r="B1294" s="18"/>
    </row>
    <row r="1295" spans="1:2" ht="13.5" thickBot="1" x14ac:dyDescent="0.25">
      <c r="A1295" s="18" t="s">
        <v>2449</v>
      </c>
      <c r="B1295" s="31" t="s">
        <v>2450</v>
      </c>
    </row>
    <row r="1296" spans="1:2" ht="13.5" thickBot="1" x14ac:dyDescent="0.25">
      <c r="A1296" s="18" t="s">
        <v>2451</v>
      </c>
      <c r="B1296" s="31" t="s">
        <v>2452</v>
      </c>
    </row>
    <row r="1297" spans="1:2" ht="13.5" thickBot="1" x14ac:dyDescent="0.25">
      <c r="A1297" s="18" t="s">
        <v>2453</v>
      </c>
      <c r="B1297" s="31" t="s">
        <v>2454</v>
      </c>
    </row>
    <row r="1298" spans="1:2" ht="13.5" thickBot="1" x14ac:dyDescent="0.25">
      <c r="A1298" s="18" t="s">
        <v>2455</v>
      </c>
      <c r="B1298" s="31" t="s">
        <v>2456</v>
      </c>
    </row>
    <row r="1299" spans="1:2" ht="13.5" thickBot="1" x14ac:dyDescent="0.25">
      <c r="A1299" s="18" t="s">
        <v>2457</v>
      </c>
      <c r="B1299" s="31" t="s">
        <v>2458</v>
      </c>
    </row>
    <row r="1300" spans="1:2" ht="48.6" customHeight="1" thickBot="1" x14ac:dyDescent="0.25">
      <c r="A1300" s="29" t="s">
        <v>2459</v>
      </c>
      <c r="B1300" s="30"/>
    </row>
    <row r="1301" spans="1:2" ht="307.89999999999998" customHeight="1" thickBot="1" x14ac:dyDescent="0.25">
      <c r="A1301" s="23" t="s">
        <v>2460</v>
      </c>
      <c r="B1301" s="24"/>
    </row>
    <row r="1302" spans="1:2" ht="13.5" thickBot="1" x14ac:dyDescent="0.25">
      <c r="A1302" s="18" t="s">
        <v>2461</v>
      </c>
      <c r="B1302" s="18"/>
    </row>
    <row r="1303" spans="1:2" x14ac:dyDescent="0.2">
      <c r="A1303" s="14" t="s">
        <v>2462</v>
      </c>
      <c r="B1303" s="14"/>
    </row>
    <row r="1304" spans="1:2" ht="13.5" thickBot="1" x14ac:dyDescent="0.25">
      <c r="A1304" s="16"/>
      <c r="B1304" s="16"/>
    </row>
    <row r="1305" spans="1:2" x14ac:dyDescent="0.2">
      <c r="A1305" s="14" t="s">
        <v>2463</v>
      </c>
      <c r="B1305" s="14"/>
    </row>
    <row r="1306" spans="1:2" ht="13.5" thickBot="1" x14ac:dyDescent="0.25">
      <c r="A1306" s="16"/>
      <c r="B1306" s="16"/>
    </row>
    <row r="1307" spans="1:2" ht="13.5" thickBot="1" x14ac:dyDescent="0.25">
      <c r="A1307" s="18" t="s">
        <v>2464</v>
      </c>
      <c r="B1307" s="18"/>
    </row>
    <row r="1308" spans="1:2" ht="13.5" thickBot="1" x14ac:dyDescent="0.25">
      <c r="A1308" s="18" t="s">
        <v>2465</v>
      </c>
      <c r="B1308" s="18"/>
    </row>
    <row r="1309" spans="1:2" ht="13.5" thickBot="1" x14ac:dyDescent="0.25">
      <c r="A1309" s="18" t="s">
        <v>2466</v>
      </c>
      <c r="B1309" s="18"/>
    </row>
    <row r="1310" spans="1:2" ht="13.5" thickBot="1" x14ac:dyDescent="0.25">
      <c r="A1310" s="18" t="s">
        <v>2467</v>
      </c>
      <c r="B1310" s="18"/>
    </row>
    <row r="1311" spans="1:2" ht="13.5" thickBot="1" x14ac:dyDescent="0.25">
      <c r="A1311" s="18" t="s">
        <v>2468</v>
      </c>
      <c r="B1311" s="18"/>
    </row>
    <row r="1312" spans="1:2" ht="13.5" thickBot="1" x14ac:dyDescent="0.25">
      <c r="A1312" s="18" t="s">
        <v>2469</v>
      </c>
      <c r="B1312" s="18"/>
    </row>
    <row r="1313" spans="1:2" ht="13.5" thickBot="1" x14ac:dyDescent="0.25">
      <c r="A1313" s="18" t="s">
        <v>2470</v>
      </c>
      <c r="B1313" s="18"/>
    </row>
    <row r="1314" spans="1:2" ht="13.5" thickBot="1" x14ac:dyDescent="0.25">
      <c r="A1314" s="18" t="s">
        <v>2471</v>
      </c>
      <c r="B1314" s="18"/>
    </row>
    <row r="1315" spans="1:2" ht="13.5" thickBot="1" x14ac:dyDescent="0.25">
      <c r="A1315" s="18" t="s">
        <v>2472</v>
      </c>
      <c r="B1315" s="18"/>
    </row>
    <row r="1316" spans="1:2" ht="13.5" thickBot="1" x14ac:dyDescent="0.25">
      <c r="A1316" s="18" t="s">
        <v>2473</v>
      </c>
      <c r="B1316" s="18"/>
    </row>
    <row r="1317" spans="1:2" ht="13.5" thickBot="1" x14ac:dyDescent="0.25">
      <c r="A1317" s="18" t="s">
        <v>2474</v>
      </c>
      <c r="B1317" s="18"/>
    </row>
    <row r="1318" spans="1:2" ht="13.5" thickBot="1" x14ac:dyDescent="0.25">
      <c r="A1318" s="18" t="s">
        <v>2475</v>
      </c>
      <c r="B1318" s="18"/>
    </row>
    <row r="1319" spans="1:2" ht="13.5" thickBot="1" x14ac:dyDescent="0.25">
      <c r="A1319" s="18" t="s">
        <v>2476</v>
      </c>
      <c r="B1319" s="18"/>
    </row>
    <row r="1320" spans="1:2" ht="13.5" thickBot="1" x14ac:dyDescent="0.25">
      <c r="A1320" s="18" t="s">
        <v>2477</v>
      </c>
      <c r="B1320" s="18"/>
    </row>
    <row r="1321" spans="1:2" ht="13.5" thickBot="1" x14ac:dyDescent="0.25">
      <c r="A1321" s="18" t="s">
        <v>2478</v>
      </c>
      <c r="B1321" s="18"/>
    </row>
    <row r="1322" spans="1:2" x14ac:dyDescent="0.2">
      <c r="A1322" s="14" t="s">
        <v>2479</v>
      </c>
      <c r="B1322" s="14"/>
    </row>
    <row r="1323" spans="1:2" x14ac:dyDescent="0.2">
      <c r="A1323" s="25"/>
      <c r="B1323" s="25"/>
    </row>
    <row r="1324" spans="1:2" x14ac:dyDescent="0.2">
      <c r="A1324" s="25"/>
      <c r="B1324" s="25"/>
    </row>
    <row r="1325" spans="1:2" ht="13.5" thickBot="1" x14ac:dyDescent="0.25">
      <c r="A1325" s="16"/>
      <c r="B1325" s="16"/>
    </row>
    <row r="1326" spans="1:2" x14ac:dyDescent="0.2">
      <c r="A1326" s="14" t="s">
        <v>2480</v>
      </c>
      <c r="B1326" s="14"/>
    </row>
    <row r="1327" spans="1:2" ht="13.5" thickBot="1" x14ac:dyDescent="0.25">
      <c r="A1327" s="16"/>
      <c r="B1327" s="16"/>
    </row>
    <row r="1328" spans="1:2" x14ac:dyDescent="0.2">
      <c r="A1328" s="14" t="s">
        <v>2481</v>
      </c>
      <c r="B1328" s="14"/>
    </row>
    <row r="1329" spans="1:2" ht="13.5" thickBot="1" x14ac:dyDescent="0.25">
      <c r="A1329" s="16"/>
      <c r="B1329" s="16"/>
    </row>
    <row r="1330" spans="1:2" ht="31.15" customHeight="1" thickBot="1" x14ac:dyDescent="0.25">
      <c r="A1330" s="21" t="s">
        <v>2482</v>
      </c>
      <c r="B1330" s="22"/>
    </row>
    <row r="1331" spans="1:2" ht="13.5" thickBot="1" x14ac:dyDescent="0.25">
      <c r="A1331" s="18" t="s">
        <v>2483</v>
      </c>
      <c r="B1331" s="31" t="s">
        <v>2484</v>
      </c>
    </row>
    <row r="1332" spans="1:2" ht="13.5" thickBot="1" x14ac:dyDescent="0.25">
      <c r="A1332" s="18" t="s">
        <v>2485</v>
      </c>
      <c r="B1332" s="31" t="s">
        <v>2486</v>
      </c>
    </row>
    <row r="1333" spans="1:2" ht="13.5" thickBot="1" x14ac:dyDescent="0.25">
      <c r="A1333" s="18" t="s">
        <v>2487</v>
      </c>
      <c r="B1333" s="31" t="s">
        <v>2488</v>
      </c>
    </row>
    <row r="1334" spans="1:2" ht="13.5" thickBot="1" x14ac:dyDescent="0.25">
      <c r="A1334" s="18" t="s">
        <v>2489</v>
      </c>
      <c r="B1334" s="31" t="s">
        <v>2490</v>
      </c>
    </row>
    <row r="1335" spans="1:2" ht="13.5" thickBot="1" x14ac:dyDescent="0.25">
      <c r="A1335" s="18" t="s">
        <v>2491</v>
      </c>
      <c r="B1335" s="31" t="s">
        <v>2492</v>
      </c>
    </row>
    <row r="1336" spans="1:2" ht="13.5" thickBot="1" x14ac:dyDescent="0.25">
      <c r="A1336" s="18" t="s">
        <v>2493</v>
      </c>
      <c r="B1336" s="31" t="s">
        <v>2494</v>
      </c>
    </row>
    <row r="1337" spans="1:2" ht="13.5" thickBot="1" x14ac:dyDescent="0.25">
      <c r="A1337" s="18" t="s">
        <v>2495</v>
      </c>
      <c r="B1337" s="31" t="s">
        <v>2496</v>
      </c>
    </row>
    <row r="1338" spans="1:2" ht="13.5" thickBot="1" x14ac:dyDescent="0.25">
      <c r="A1338" s="18" t="s">
        <v>2497</v>
      </c>
      <c r="B1338" s="31" t="s">
        <v>2498</v>
      </c>
    </row>
    <row r="1339" spans="1:2" ht="13.5" thickBot="1" x14ac:dyDescent="0.25">
      <c r="A1339" s="18" t="s">
        <v>2499</v>
      </c>
      <c r="B1339" s="31" t="s">
        <v>2500</v>
      </c>
    </row>
    <row r="1340" spans="1:2" ht="13.5" thickBot="1" x14ac:dyDescent="0.25">
      <c r="A1340" s="18" t="s">
        <v>2501</v>
      </c>
      <c r="B1340" s="31" t="s">
        <v>2502</v>
      </c>
    </row>
    <row r="1341" spans="1:2" ht="13.5" thickBot="1" x14ac:dyDescent="0.25">
      <c r="A1341" s="18" t="s">
        <v>2503</v>
      </c>
      <c r="B1341" s="31" t="s">
        <v>2504</v>
      </c>
    </row>
    <row r="1342" spans="1:2" x14ac:dyDescent="0.2">
      <c r="A1342" s="14" t="s">
        <v>2505</v>
      </c>
      <c r="B1342" s="15" t="s">
        <v>2506</v>
      </c>
    </row>
    <row r="1343" spans="1:2" ht="13.5" thickBot="1" x14ac:dyDescent="0.25">
      <c r="A1343" s="16"/>
      <c r="B1343" s="39"/>
    </row>
    <row r="1344" spans="1:2" ht="13.5" thickBot="1" x14ac:dyDescent="0.25">
      <c r="A1344" s="18" t="s">
        <v>2507</v>
      </c>
      <c r="B1344" s="18"/>
    </row>
    <row r="1345" spans="1:2" ht="48.6" customHeight="1" thickBot="1" x14ac:dyDescent="0.25">
      <c r="A1345" s="29" t="s">
        <v>2508</v>
      </c>
      <c r="B1345" s="30"/>
    </row>
    <row r="1346" spans="1:2" ht="144.6" customHeight="1" x14ac:dyDescent="0.2">
      <c r="A1346" s="14" t="s">
        <v>2509</v>
      </c>
      <c r="B1346" s="20" t="s">
        <v>2510</v>
      </c>
    </row>
    <row r="1347" spans="1:2" ht="13.5" thickBot="1" x14ac:dyDescent="0.25">
      <c r="A1347" s="16"/>
      <c r="B1347" s="17"/>
    </row>
    <row r="1348" spans="1:2" ht="13.5" thickBot="1" x14ac:dyDescent="0.25">
      <c r="A1348" s="18" t="s">
        <v>2511</v>
      </c>
      <c r="B1348" s="19" t="s">
        <v>2512</v>
      </c>
    </row>
    <row r="1349" spans="1:2" ht="13.5" thickBot="1" x14ac:dyDescent="0.25">
      <c r="A1349" s="18" t="s">
        <v>2513</v>
      </c>
      <c r="B1349" s="19" t="s">
        <v>2514</v>
      </c>
    </row>
    <row r="1350" spans="1:2" ht="26.25" thickBot="1" x14ac:dyDescent="0.25">
      <c r="A1350" s="18" t="s">
        <v>2515</v>
      </c>
      <c r="B1350" s="19" t="s">
        <v>2516</v>
      </c>
    </row>
    <row r="1351" spans="1:2" x14ac:dyDescent="0.2">
      <c r="A1351" s="14" t="s">
        <v>2517</v>
      </c>
      <c r="B1351" s="15" t="s">
        <v>2518</v>
      </c>
    </row>
    <row r="1352" spans="1:2" ht="13.5" thickBot="1" x14ac:dyDescent="0.25">
      <c r="A1352" s="16"/>
      <c r="B1352" s="17" t="s">
        <v>2519</v>
      </c>
    </row>
    <row r="1353" spans="1:2" ht="13.5" thickBot="1" x14ac:dyDescent="0.25">
      <c r="A1353" s="18" t="s">
        <v>2520</v>
      </c>
      <c r="B1353" s="19" t="s">
        <v>2521</v>
      </c>
    </row>
    <row r="1354" spans="1:2" x14ac:dyDescent="0.2">
      <c r="A1354" s="14" t="s">
        <v>2522</v>
      </c>
      <c r="B1354" s="20" t="s">
        <v>2510</v>
      </c>
    </row>
    <row r="1355" spans="1:2" x14ac:dyDescent="0.2">
      <c r="A1355" s="25"/>
      <c r="B1355" s="27"/>
    </row>
    <row r="1356" spans="1:2" x14ac:dyDescent="0.2">
      <c r="A1356" s="25"/>
      <c r="B1356" s="27"/>
    </row>
    <row r="1357" spans="1:2" ht="13.5" thickBot="1" x14ac:dyDescent="0.25">
      <c r="A1357" s="16"/>
      <c r="B1357" s="17"/>
    </row>
    <row r="1358" spans="1:2" ht="13.5" thickBot="1" x14ac:dyDescent="0.25">
      <c r="A1358" s="18" t="s">
        <v>2523</v>
      </c>
      <c r="B1358" s="19" t="s">
        <v>2510</v>
      </c>
    </row>
    <row r="1359" spans="1:2" ht="13.5" thickBot="1" x14ac:dyDescent="0.25">
      <c r="A1359" s="18" t="s">
        <v>2524</v>
      </c>
      <c r="B1359" s="19" t="s">
        <v>2514</v>
      </c>
    </row>
    <row r="1360" spans="1:2" ht="26.25" thickBot="1" x14ac:dyDescent="0.25">
      <c r="A1360" s="18" t="s">
        <v>2525</v>
      </c>
      <c r="B1360" s="19" t="s">
        <v>2526</v>
      </c>
    </row>
    <row r="1361" spans="1:2" x14ac:dyDescent="0.2">
      <c r="A1361" s="14" t="s">
        <v>2527</v>
      </c>
      <c r="B1361" s="15" t="s">
        <v>2528</v>
      </c>
    </row>
    <row r="1362" spans="1:2" ht="13.5" thickBot="1" x14ac:dyDescent="0.25">
      <c r="A1362" s="16"/>
      <c r="B1362" s="17" t="s">
        <v>2529</v>
      </c>
    </row>
    <row r="1363" spans="1:2" ht="13.5" thickBot="1" x14ac:dyDescent="0.25">
      <c r="A1363" s="18" t="s">
        <v>2530</v>
      </c>
      <c r="B1363" s="19" t="s">
        <v>2521</v>
      </c>
    </row>
    <row r="1364" spans="1:2" ht="13.5" thickBot="1" x14ac:dyDescent="0.25">
      <c r="A1364" s="18" t="s">
        <v>2531</v>
      </c>
      <c r="B1364" s="19" t="s">
        <v>2510</v>
      </c>
    </row>
    <row r="1365" spans="1:2" ht="13.5" thickBot="1" x14ac:dyDescent="0.25">
      <c r="A1365" s="18" t="s">
        <v>2532</v>
      </c>
      <c r="B1365" s="19" t="s">
        <v>2512</v>
      </c>
    </row>
    <row r="1366" spans="1:2" ht="13.5" thickBot="1" x14ac:dyDescent="0.25">
      <c r="A1366" s="18" t="s">
        <v>2533</v>
      </c>
      <c r="B1366" s="19" t="s">
        <v>2514</v>
      </c>
    </row>
    <row r="1367" spans="1:2" ht="26.25" thickBot="1" x14ac:dyDescent="0.25">
      <c r="A1367" s="18" t="s">
        <v>2534</v>
      </c>
      <c r="B1367" s="19" t="s">
        <v>2535</v>
      </c>
    </row>
    <row r="1368" spans="1:2" x14ac:dyDescent="0.2">
      <c r="A1368" s="14" t="s">
        <v>2536</v>
      </c>
      <c r="B1368" s="15" t="s">
        <v>2537</v>
      </c>
    </row>
    <row r="1369" spans="1:2" ht="13.5" thickBot="1" x14ac:dyDescent="0.25">
      <c r="A1369" s="16"/>
      <c r="B1369" s="17" t="s">
        <v>2538</v>
      </c>
    </row>
    <row r="1370" spans="1:2" ht="13.5" thickBot="1" x14ac:dyDescent="0.25">
      <c r="A1370" s="18" t="s">
        <v>2539</v>
      </c>
      <c r="B1370" s="19" t="s">
        <v>2521</v>
      </c>
    </row>
    <row r="1371" spans="1:2" ht="32.450000000000003" customHeight="1" thickBot="1" x14ac:dyDescent="0.25">
      <c r="A1371" s="29" t="s">
        <v>2540</v>
      </c>
      <c r="B1371" s="30"/>
    </row>
    <row r="1372" spans="1:2" ht="409.6" customHeight="1" thickBot="1" x14ac:dyDescent="0.25">
      <c r="A1372" s="23" t="s">
        <v>2541</v>
      </c>
      <c r="B1372" s="24"/>
    </row>
    <row r="1373" spans="1:2" ht="13.5" thickBot="1" x14ac:dyDescent="0.25">
      <c r="A1373" s="18" t="s">
        <v>2542</v>
      </c>
      <c r="B1373" s="19" t="s">
        <v>2543</v>
      </c>
    </row>
    <row r="1374" spans="1:2" ht="409.6" customHeight="1" x14ac:dyDescent="0.2">
      <c r="A1374" s="14" t="s">
        <v>2544</v>
      </c>
      <c r="B1374" s="20" t="s">
        <v>2545</v>
      </c>
    </row>
    <row r="1375" spans="1:2" ht="13.5" thickBot="1" x14ac:dyDescent="0.25">
      <c r="A1375" s="16"/>
      <c r="B1375" s="17"/>
    </row>
    <row r="1376" spans="1:2" ht="13.5" thickBot="1" x14ac:dyDescent="0.25">
      <c r="A1376" s="18" t="s">
        <v>2546</v>
      </c>
      <c r="B1376" s="18"/>
    </row>
    <row r="1377" spans="1:2" x14ac:dyDescent="0.2">
      <c r="A1377" s="14" t="s">
        <v>2547</v>
      </c>
      <c r="B1377" s="20" t="s">
        <v>2548</v>
      </c>
    </row>
    <row r="1378" spans="1:2" ht="13.5" thickBot="1" x14ac:dyDescent="0.25">
      <c r="A1378" s="16"/>
      <c r="B1378" s="17"/>
    </row>
    <row r="1379" spans="1:2" ht="13.5" thickBot="1" x14ac:dyDescent="0.25">
      <c r="A1379" s="18" t="s">
        <v>2549</v>
      </c>
      <c r="B1379" s="19" t="s">
        <v>2550</v>
      </c>
    </row>
    <row r="1380" spans="1:2" ht="13.5" thickBot="1" x14ac:dyDescent="0.25">
      <c r="A1380" s="18" t="s">
        <v>2551</v>
      </c>
      <c r="B1380" s="19" t="s">
        <v>2552</v>
      </c>
    </row>
    <row r="1381" spans="1:2" ht="13.5" thickBot="1" x14ac:dyDescent="0.25">
      <c r="A1381" s="18" t="s">
        <v>2553</v>
      </c>
      <c r="B1381" s="19" t="s">
        <v>2554</v>
      </c>
    </row>
    <row r="1382" spans="1:2" ht="13.5" thickBot="1" x14ac:dyDescent="0.25">
      <c r="A1382" s="18" t="s">
        <v>2555</v>
      </c>
      <c r="B1382" s="19" t="s">
        <v>2556</v>
      </c>
    </row>
    <row r="1383" spans="1:2" ht="13.5" thickBot="1" x14ac:dyDescent="0.25">
      <c r="A1383" s="18" t="s">
        <v>2557</v>
      </c>
      <c r="B1383" s="19" t="s">
        <v>2558</v>
      </c>
    </row>
    <row r="1384" spans="1:2" ht="13.5" thickBot="1" x14ac:dyDescent="0.25">
      <c r="A1384" s="18" t="s">
        <v>2559</v>
      </c>
      <c r="B1384" s="19" t="s">
        <v>2560</v>
      </c>
    </row>
    <row r="1385" spans="1:2" ht="13.15" customHeight="1" x14ac:dyDescent="0.2">
      <c r="A1385" s="14" t="s">
        <v>2561</v>
      </c>
      <c r="B1385" s="20" t="s">
        <v>2562</v>
      </c>
    </row>
    <row r="1386" spans="1:2" x14ac:dyDescent="0.2">
      <c r="A1386" s="25"/>
      <c r="B1386" s="27"/>
    </row>
    <row r="1387" spans="1:2" x14ac:dyDescent="0.2">
      <c r="A1387" s="25"/>
      <c r="B1387" s="27"/>
    </row>
    <row r="1388" spans="1:2" x14ac:dyDescent="0.2">
      <c r="A1388" s="25"/>
      <c r="B1388" s="27"/>
    </row>
    <row r="1389" spans="1:2" x14ac:dyDescent="0.2">
      <c r="A1389" s="25"/>
      <c r="B1389" s="27"/>
    </row>
    <row r="1390" spans="1:2" ht="13.5" thickBot="1" x14ac:dyDescent="0.25">
      <c r="A1390" s="16"/>
      <c r="B1390" s="17"/>
    </row>
    <row r="1391" spans="1:2" x14ac:dyDescent="0.2">
      <c r="A1391" s="14" t="s">
        <v>2563</v>
      </c>
      <c r="B1391" s="14"/>
    </row>
    <row r="1392" spans="1:2" ht="13.5" thickBot="1" x14ac:dyDescent="0.25">
      <c r="A1392" s="16"/>
      <c r="B1392" s="16"/>
    </row>
    <row r="1393" spans="1:2" ht="62.45" customHeight="1" thickBot="1" x14ac:dyDescent="0.25">
      <c r="A1393" s="21" t="s">
        <v>2564</v>
      </c>
      <c r="B1393" s="22"/>
    </row>
    <row r="1394" spans="1:2" x14ac:dyDescent="0.2">
      <c r="A1394" s="14" t="s">
        <v>2565</v>
      </c>
      <c r="B1394" s="15" t="s">
        <v>2566</v>
      </c>
    </row>
    <row r="1395" spans="1:2" ht="13.5" thickBot="1" x14ac:dyDescent="0.25">
      <c r="A1395" s="16"/>
      <c r="B1395" s="17" t="s">
        <v>2567</v>
      </c>
    </row>
    <row r="1396" spans="1:2" ht="48.6" customHeight="1" thickBot="1" x14ac:dyDescent="0.25">
      <c r="A1396" s="29" t="s">
        <v>2568</v>
      </c>
      <c r="B1396" s="30"/>
    </row>
    <row r="1397" spans="1:2" ht="32.450000000000003" customHeight="1" thickBot="1" x14ac:dyDescent="0.25">
      <c r="A1397" s="23" t="s">
        <v>2569</v>
      </c>
      <c r="B1397" s="24"/>
    </row>
    <row r="1398" spans="1:2" ht="13.5" thickBot="1" x14ac:dyDescent="0.25">
      <c r="A1398" s="18" t="s">
        <v>2570</v>
      </c>
      <c r="B1398" s="18"/>
    </row>
    <row r="1399" spans="1:2" ht="13.5" thickBot="1" x14ac:dyDescent="0.25">
      <c r="A1399" s="18" t="s">
        <v>2571</v>
      </c>
      <c r="B1399" s="18"/>
    </row>
    <row r="1400" spans="1:2" ht="13.5" thickBot="1" x14ac:dyDescent="0.25">
      <c r="A1400" s="18" t="s">
        <v>2572</v>
      </c>
      <c r="B1400" s="18"/>
    </row>
    <row r="1401" spans="1:2" ht="13.5" thickBot="1" x14ac:dyDescent="0.25">
      <c r="A1401" s="18" t="s">
        <v>2573</v>
      </c>
      <c r="B1401" s="18"/>
    </row>
    <row r="1402" spans="1:2" x14ac:dyDescent="0.2">
      <c r="A1402" s="14" t="s">
        <v>2574</v>
      </c>
      <c r="B1402" s="14"/>
    </row>
    <row r="1403" spans="1:2" ht="13.5" thickBot="1" x14ac:dyDescent="0.25">
      <c r="A1403" s="16"/>
      <c r="B1403" s="16"/>
    </row>
    <row r="1404" spans="1:2" ht="13.5" thickBot="1" x14ac:dyDescent="0.25">
      <c r="A1404" s="18" t="s">
        <v>2575</v>
      </c>
      <c r="B1404" s="18"/>
    </row>
    <row r="1405" spans="1:2" ht="13.5" thickBot="1" x14ac:dyDescent="0.25">
      <c r="A1405" s="18" t="s">
        <v>2576</v>
      </c>
      <c r="B1405" s="18"/>
    </row>
    <row r="1406" spans="1:2" ht="13.5" thickBot="1" x14ac:dyDescent="0.25">
      <c r="A1406" s="18" t="s">
        <v>2577</v>
      </c>
      <c r="B1406" s="18"/>
    </row>
    <row r="1407" spans="1:2" ht="13.5" thickBot="1" x14ac:dyDescent="0.25">
      <c r="A1407" s="18" t="s">
        <v>2578</v>
      </c>
      <c r="B1407" s="18"/>
    </row>
    <row r="1408" spans="1:2" ht="13.5" thickBot="1" x14ac:dyDescent="0.25">
      <c r="A1408" s="18" t="s">
        <v>2579</v>
      </c>
      <c r="B1408" s="18"/>
    </row>
    <row r="1409" spans="1:2" ht="13.5" thickBot="1" x14ac:dyDescent="0.25">
      <c r="A1409" s="18" t="s">
        <v>2580</v>
      </c>
      <c r="B1409" s="18"/>
    </row>
    <row r="1410" spans="1:2" ht="13.5" thickBot="1" x14ac:dyDescent="0.25">
      <c r="A1410" s="18" t="s">
        <v>2581</v>
      </c>
      <c r="B1410" s="18"/>
    </row>
    <row r="1411" spans="1:2" ht="13.5" thickBot="1" x14ac:dyDescent="0.25">
      <c r="A1411" s="18" t="s">
        <v>2582</v>
      </c>
      <c r="B1411" s="18"/>
    </row>
    <row r="1412" spans="1:2" x14ac:dyDescent="0.2">
      <c r="A1412" s="14" t="s">
        <v>2583</v>
      </c>
      <c r="B1412" s="14"/>
    </row>
    <row r="1413" spans="1:2" ht="13.5" thickBot="1" x14ac:dyDescent="0.25">
      <c r="A1413" s="16"/>
      <c r="B1413" s="16"/>
    </row>
    <row r="1414" spans="1:2" ht="13.15" customHeight="1" x14ac:dyDescent="0.2">
      <c r="A1414" s="14" t="s">
        <v>2584</v>
      </c>
      <c r="B1414" s="15" t="s">
        <v>2585</v>
      </c>
    </row>
    <row r="1415" spans="1:2" ht="13.5" thickBot="1" x14ac:dyDescent="0.25">
      <c r="A1415" s="16"/>
      <c r="B1415" s="17" t="s">
        <v>2586</v>
      </c>
    </row>
    <row r="1416" spans="1:2" ht="13.15" customHeight="1" x14ac:dyDescent="0.2">
      <c r="A1416" s="14" t="s">
        <v>2587</v>
      </c>
      <c r="B1416" s="15" t="s">
        <v>2588</v>
      </c>
    </row>
    <row r="1417" spans="1:2" x14ac:dyDescent="0.2">
      <c r="A1417" s="25"/>
      <c r="B1417" s="27" t="s">
        <v>2586</v>
      </c>
    </row>
    <row r="1418" spans="1:2" x14ac:dyDescent="0.2">
      <c r="A1418" s="25"/>
      <c r="B1418" s="26"/>
    </row>
    <row r="1419" spans="1:2" x14ac:dyDescent="0.2">
      <c r="A1419" s="25"/>
      <c r="B1419" s="27" t="s">
        <v>2589</v>
      </c>
    </row>
    <row r="1420" spans="1:2" x14ac:dyDescent="0.2">
      <c r="A1420" s="25"/>
      <c r="B1420" s="27" t="s">
        <v>2590</v>
      </c>
    </row>
    <row r="1421" spans="1:2" x14ac:dyDescent="0.2">
      <c r="A1421" s="25"/>
      <c r="B1421" s="26"/>
    </row>
    <row r="1422" spans="1:2" x14ac:dyDescent="0.2">
      <c r="A1422" s="25"/>
      <c r="B1422" s="27" t="s">
        <v>2591</v>
      </c>
    </row>
    <row r="1423" spans="1:2" x14ac:dyDescent="0.2">
      <c r="A1423" s="25"/>
      <c r="B1423" s="26"/>
    </row>
    <row r="1424" spans="1:2" x14ac:dyDescent="0.2">
      <c r="A1424" s="25"/>
      <c r="B1424" s="27" t="s">
        <v>2592</v>
      </c>
    </row>
    <row r="1425" spans="1:2" x14ac:dyDescent="0.2">
      <c r="A1425" s="25"/>
      <c r="B1425" s="26"/>
    </row>
    <row r="1426" spans="1:2" x14ac:dyDescent="0.2">
      <c r="A1426" s="25"/>
      <c r="B1426" s="27" t="s">
        <v>2593</v>
      </c>
    </row>
    <row r="1427" spans="1:2" x14ac:dyDescent="0.2">
      <c r="A1427" s="25"/>
      <c r="B1427" s="26"/>
    </row>
    <row r="1428" spans="1:2" ht="25.5" x14ac:dyDescent="0.2">
      <c r="A1428" s="25"/>
      <c r="B1428" s="27" t="s">
        <v>2594</v>
      </c>
    </row>
    <row r="1429" spans="1:2" x14ac:dyDescent="0.2">
      <c r="A1429" s="25"/>
      <c r="B1429" s="26"/>
    </row>
    <row r="1430" spans="1:2" x14ac:dyDescent="0.2">
      <c r="A1430" s="25"/>
      <c r="B1430" s="27" t="s">
        <v>2595</v>
      </c>
    </row>
    <row r="1431" spans="1:2" x14ac:dyDescent="0.2">
      <c r="A1431" s="25"/>
      <c r="B1431" s="26"/>
    </row>
    <row r="1432" spans="1:2" x14ac:dyDescent="0.2">
      <c r="A1432" s="25"/>
      <c r="B1432" s="27" t="s">
        <v>2596</v>
      </c>
    </row>
    <row r="1433" spans="1:2" x14ac:dyDescent="0.2">
      <c r="A1433" s="25"/>
      <c r="B1433" s="26"/>
    </row>
    <row r="1434" spans="1:2" ht="25.5" x14ac:dyDescent="0.2">
      <c r="A1434" s="25"/>
      <c r="B1434" s="27" t="s">
        <v>2597</v>
      </c>
    </row>
    <row r="1435" spans="1:2" x14ac:dyDescent="0.2">
      <c r="A1435" s="25"/>
      <c r="B1435" s="26"/>
    </row>
    <row r="1436" spans="1:2" x14ac:dyDescent="0.2">
      <c r="A1436" s="25"/>
      <c r="B1436" s="27" t="s">
        <v>2598</v>
      </c>
    </row>
    <row r="1437" spans="1:2" x14ac:dyDescent="0.2">
      <c r="A1437" s="25"/>
      <c r="B1437" s="26"/>
    </row>
    <row r="1438" spans="1:2" ht="25.5" x14ac:dyDescent="0.2">
      <c r="A1438" s="25"/>
      <c r="B1438" s="27" t="s">
        <v>2599</v>
      </c>
    </row>
    <row r="1439" spans="1:2" x14ac:dyDescent="0.2">
      <c r="A1439" s="25"/>
      <c r="B1439" s="26"/>
    </row>
    <row r="1440" spans="1:2" ht="25.5" x14ac:dyDescent="0.2">
      <c r="A1440" s="25"/>
      <c r="B1440" s="27" t="s">
        <v>2600</v>
      </c>
    </row>
    <row r="1441" spans="1:2" x14ac:dyDescent="0.2">
      <c r="A1441" s="25"/>
      <c r="B1441" s="26"/>
    </row>
    <row r="1442" spans="1:2" ht="25.5" x14ac:dyDescent="0.2">
      <c r="A1442" s="25"/>
      <c r="B1442" s="27" t="s">
        <v>2601</v>
      </c>
    </row>
    <row r="1443" spans="1:2" x14ac:dyDescent="0.2">
      <c r="A1443" s="25"/>
      <c r="B1443" s="26"/>
    </row>
    <row r="1444" spans="1:2" x14ac:dyDescent="0.2">
      <c r="A1444" s="25"/>
      <c r="B1444" s="27" t="s">
        <v>2602</v>
      </c>
    </row>
    <row r="1445" spans="1:2" x14ac:dyDescent="0.2">
      <c r="A1445" s="25"/>
      <c r="B1445" s="26"/>
    </row>
    <row r="1446" spans="1:2" ht="25.5" x14ac:dyDescent="0.2">
      <c r="A1446" s="25"/>
      <c r="B1446" s="27" t="s">
        <v>2603</v>
      </c>
    </row>
    <row r="1447" spans="1:2" x14ac:dyDescent="0.2">
      <c r="A1447" s="25"/>
      <c r="B1447" s="26"/>
    </row>
    <row r="1448" spans="1:2" ht="25.5" x14ac:dyDescent="0.2">
      <c r="A1448" s="25"/>
      <c r="B1448" s="27" t="s">
        <v>2604</v>
      </c>
    </row>
    <row r="1449" spans="1:2" x14ac:dyDescent="0.2">
      <c r="A1449" s="25"/>
      <c r="B1449" s="26"/>
    </row>
    <row r="1450" spans="1:2" ht="25.5" x14ac:dyDescent="0.2">
      <c r="A1450" s="25"/>
      <c r="B1450" s="27" t="s">
        <v>2605</v>
      </c>
    </row>
    <row r="1451" spans="1:2" x14ac:dyDescent="0.2">
      <c r="A1451" s="25"/>
      <c r="B1451" s="27"/>
    </row>
    <row r="1452" spans="1:2" ht="13.5" thickBot="1" x14ac:dyDescent="0.25">
      <c r="A1452" s="16"/>
      <c r="B1452" s="17" t="s">
        <v>2606</v>
      </c>
    </row>
  </sheetData>
  <hyperlinks>
    <hyperlink ref="B1" location="'Table of Contents'!A1" display="Return to Table of Contents" xr:uid="{00000000-0004-0000-01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568D2"/>
  </sheetPr>
  <dimension ref="A1:M398"/>
  <sheetViews>
    <sheetView zoomScaleNormal="100" workbookViewId="0">
      <pane ySplit="3" topLeftCell="A4" activePane="bottomLeft" state="frozen"/>
      <selection activeCell="N42" sqref="N42"/>
      <selection pane="bottomLeft"/>
    </sheetView>
  </sheetViews>
  <sheetFormatPr defaultColWidth="8.85546875" defaultRowHeight="12.75" x14ac:dyDescent="0.2"/>
  <cols>
    <col min="1" max="1" width="14.7109375" style="55" customWidth="1"/>
    <col min="2" max="2" width="49.42578125" style="55" bestFit="1" customWidth="1"/>
    <col min="3" max="3" width="25.5703125" style="55" bestFit="1" customWidth="1"/>
    <col min="4" max="4" width="21" style="55" customWidth="1"/>
    <col min="5" max="5" width="20.140625" style="55" customWidth="1"/>
    <col min="6" max="6" width="15.5703125" style="55" customWidth="1"/>
    <col min="7" max="7" width="16" style="55" customWidth="1"/>
    <col min="8" max="8" width="14.85546875" style="55" customWidth="1"/>
    <col min="9" max="9" width="17.28515625" style="55" customWidth="1"/>
    <col min="10" max="10" width="21" style="55" customWidth="1"/>
    <col min="11" max="12" width="12.7109375" style="55" customWidth="1"/>
    <col min="13" max="13" width="20.85546875" style="55" customWidth="1"/>
    <col min="14" max="16384" width="8.85546875" style="55"/>
  </cols>
  <sheetData>
    <row r="1" spans="1:13" ht="18.75" x14ac:dyDescent="0.3">
      <c r="A1"/>
      <c r="B1" s="312" t="s">
        <v>3576</v>
      </c>
      <c r="C1"/>
      <c r="D1" s="310" t="s">
        <v>3575</v>
      </c>
      <c r="E1"/>
      <c r="F1"/>
      <c r="G1" s="8" t="s">
        <v>1844</v>
      </c>
      <c r="H1"/>
      <c r="I1"/>
      <c r="J1" s="311"/>
      <c r="K1" s="109"/>
      <c r="L1"/>
      <c r="M1"/>
    </row>
    <row r="2" spans="1:13" ht="13.5" thickBot="1" x14ac:dyDescent="0.25"/>
    <row r="3" spans="1:13" s="51" customFormat="1" ht="52.9" customHeight="1" thickBot="1" x14ac:dyDescent="0.3">
      <c r="A3" s="64" t="s">
        <v>1</v>
      </c>
      <c r="B3" s="66" t="s">
        <v>0</v>
      </c>
      <c r="C3" s="65" t="s">
        <v>4</v>
      </c>
      <c r="D3" s="57" t="s">
        <v>2</v>
      </c>
      <c r="E3" s="57" t="s">
        <v>3</v>
      </c>
      <c r="F3" s="57" t="s">
        <v>5</v>
      </c>
      <c r="G3" s="57" t="s">
        <v>6</v>
      </c>
      <c r="H3" s="57" t="s">
        <v>7</v>
      </c>
      <c r="I3" s="57" t="s">
        <v>8</v>
      </c>
      <c r="J3" s="57" t="s">
        <v>9</v>
      </c>
      <c r="K3" s="57" t="s">
        <v>10</v>
      </c>
      <c r="L3" s="57" t="s">
        <v>11</v>
      </c>
      <c r="M3" s="57" t="s">
        <v>12</v>
      </c>
    </row>
    <row r="4" spans="1:13" ht="13.5" thickBot="1" x14ac:dyDescent="0.25">
      <c r="A4" s="52" t="s">
        <v>40</v>
      </c>
      <c r="B4" s="69" t="s">
        <v>39</v>
      </c>
      <c r="C4" s="52" t="s">
        <v>19</v>
      </c>
      <c r="D4" s="53" t="s">
        <v>27</v>
      </c>
      <c r="E4" s="53" t="s">
        <v>28</v>
      </c>
      <c r="F4" s="54">
        <v>1</v>
      </c>
      <c r="G4" s="54">
        <v>0</v>
      </c>
      <c r="H4" s="54">
        <v>0</v>
      </c>
      <c r="I4" s="54">
        <v>1</v>
      </c>
      <c r="J4" s="54">
        <v>2520</v>
      </c>
      <c r="K4" s="54">
        <v>0</v>
      </c>
      <c r="L4" s="54">
        <v>2520</v>
      </c>
      <c r="M4" s="54">
        <v>2344</v>
      </c>
    </row>
    <row r="5" spans="1:13" x14ac:dyDescent="0.2">
      <c r="A5" s="52" t="s">
        <v>64</v>
      </c>
      <c r="B5" s="67" t="s">
        <v>63</v>
      </c>
      <c r="C5" s="52" t="s">
        <v>19</v>
      </c>
      <c r="D5" s="53" t="s">
        <v>27</v>
      </c>
      <c r="E5" s="53" t="s">
        <v>28</v>
      </c>
      <c r="F5" s="54">
        <v>1</v>
      </c>
      <c r="G5" s="54">
        <v>0</v>
      </c>
      <c r="H5" s="54">
        <v>0</v>
      </c>
      <c r="I5" s="54">
        <v>1</v>
      </c>
      <c r="J5" s="54">
        <v>2723</v>
      </c>
      <c r="K5" s="54">
        <v>0</v>
      </c>
      <c r="L5" s="54">
        <v>2723</v>
      </c>
      <c r="M5" s="54">
        <v>1308</v>
      </c>
    </row>
    <row r="6" spans="1:13" x14ac:dyDescent="0.2">
      <c r="A6" s="52" t="s">
        <v>88</v>
      </c>
      <c r="B6" s="67" t="s">
        <v>87</v>
      </c>
      <c r="C6" s="52" t="s">
        <v>19</v>
      </c>
      <c r="D6" s="53" t="s">
        <v>67</v>
      </c>
      <c r="E6" s="53" t="s">
        <v>68</v>
      </c>
      <c r="F6" s="54">
        <v>1</v>
      </c>
      <c r="G6" s="54">
        <v>0</v>
      </c>
      <c r="H6" s="54">
        <v>0</v>
      </c>
      <c r="I6" s="54">
        <v>1</v>
      </c>
      <c r="J6" s="54">
        <v>2995</v>
      </c>
      <c r="K6" s="54">
        <v>0</v>
      </c>
      <c r="L6" s="54">
        <v>2995</v>
      </c>
      <c r="M6" s="54">
        <v>2400</v>
      </c>
    </row>
    <row r="7" spans="1:13" x14ac:dyDescent="0.2">
      <c r="A7" s="52" t="s">
        <v>90</v>
      </c>
      <c r="B7" s="67" t="s">
        <v>89</v>
      </c>
      <c r="C7" s="52" t="s">
        <v>19</v>
      </c>
      <c r="D7" s="53" t="s">
        <v>22</v>
      </c>
      <c r="E7" s="53" t="s">
        <v>23</v>
      </c>
      <c r="F7" s="54">
        <v>1</v>
      </c>
      <c r="G7" s="54">
        <v>0</v>
      </c>
      <c r="H7" s="54">
        <v>0</v>
      </c>
      <c r="I7" s="54">
        <v>1</v>
      </c>
      <c r="J7" s="54">
        <v>4000</v>
      </c>
      <c r="K7" s="54">
        <v>0</v>
      </c>
      <c r="L7" s="54">
        <v>4000</v>
      </c>
      <c r="M7" s="54">
        <v>1892</v>
      </c>
    </row>
    <row r="8" spans="1:13" x14ac:dyDescent="0.2">
      <c r="A8" s="52" t="s">
        <v>94</v>
      </c>
      <c r="B8" s="67" t="s">
        <v>93</v>
      </c>
      <c r="C8" s="52" t="s">
        <v>19</v>
      </c>
      <c r="D8" s="53" t="s">
        <v>67</v>
      </c>
      <c r="E8" s="53" t="s">
        <v>68</v>
      </c>
      <c r="F8" s="54">
        <v>1</v>
      </c>
      <c r="G8" s="54">
        <v>0</v>
      </c>
      <c r="H8" s="54">
        <v>0</v>
      </c>
      <c r="I8" s="54">
        <v>1</v>
      </c>
      <c r="J8" s="54">
        <v>880</v>
      </c>
      <c r="K8" s="54">
        <v>0</v>
      </c>
      <c r="L8" s="54">
        <v>880</v>
      </c>
      <c r="M8" s="54">
        <v>1212</v>
      </c>
    </row>
    <row r="9" spans="1:13" x14ac:dyDescent="0.2">
      <c r="A9" s="52" t="s">
        <v>98</v>
      </c>
      <c r="B9" s="67" t="s">
        <v>97</v>
      </c>
      <c r="C9" s="52" t="s">
        <v>19</v>
      </c>
      <c r="D9" s="53" t="s">
        <v>27</v>
      </c>
      <c r="E9" s="53" t="s">
        <v>28</v>
      </c>
      <c r="F9" s="54">
        <v>1</v>
      </c>
      <c r="G9" s="54">
        <v>0</v>
      </c>
      <c r="H9" s="54">
        <v>0</v>
      </c>
      <c r="I9" s="54">
        <v>1</v>
      </c>
      <c r="J9" s="54">
        <v>4500</v>
      </c>
      <c r="K9" s="54">
        <v>0</v>
      </c>
      <c r="L9" s="54">
        <v>4500</v>
      </c>
      <c r="M9" s="54">
        <v>2334</v>
      </c>
    </row>
    <row r="10" spans="1:13" x14ac:dyDescent="0.2">
      <c r="A10" s="52" t="s">
        <v>100</v>
      </c>
      <c r="B10" s="67" t="s">
        <v>99</v>
      </c>
      <c r="C10" s="52" t="s">
        <v>19</v>
      </c>
      <c r="D10" s="53" t="s">
        <v>27</v>
      </c>
      <c r="E10" s="53" t="s">
        <v>28</v>
      </c>
      <c r="F10" s="54">
        <v>1</v>
      </c>
      <c r="G10" s="54">
        <v>0</v>
      </c>
      <c r="H10" s="54">
        <v>0</v>
      </c>
      <c r="I10" s="54">
        <v>1</v>
      </c>
      <c r="J10" s="54">
        <v>3150</v>
      </c>
      <c r="K10" s="54">
        <v>0</v>
      </c>
      <c r="L10" s="54">
        <v>3150</v>
      </c>
      <c r="M10" s="54">
        <v>2288</v>
      </c>
    </row>
    <row r="11" spans="1:13" x14ac:dyDescent="0.2">
      <c r="A11" s="52" t="s">
        <v>108</v>
      </c>
      <c r="B11" s="67" t="s">
        <v>107</v>
      </c>
      <c r="C11" s="52" t="s">
        <v>19</v>
      </c>
      <c r="D11" s="53" t="s">
        <v>17</v>
      </c>
      <c r="E11" s="53" t="s">
        <v>18</v>
      </c>
      <c r="F11" s="54">
        <v>1</v>
      </c>
      <c r="G11" s="54">
        <v>0</v>
      </c>
      <c r="H11" s="54">
        <v>0</v>
      </c>
      <c r="I11" s="54">
        <v>1</v>
      </c>
      <c r="J11" s="54">
        <v>1513</v>
      </c>
      <c r="K11" s="54">
        <v>0</v>
      </c>
      <c r="L11" s="54">
        <v>1513</v>
      </c>
      <c r="M11" s="54">
        <v>1820</v>
      </c>
    </row>
    <row r="12" spans="1:13" x14ac:dyDescent="0.2">
      <c r="A12" s="52" t="s">
        <v>138</v>
      </c>
      <c r="B12" s="67" t="s">
        <v>137</v>
      </c>
      <c r="C12" s="52" t="s">
        <v>19</v>
      </c>
      <c r="D12" s="53" t="s">
        <v>139</v>
      </c>
      <c r="E12" s="53" t="s">
        <v>140</v>
      </c>
      <c r="F12" s="54">
        <v>1</v>
      </c>
      <c r="G12" s="54">
        <v>0</v>
      </c>
      <c r="H12" s="54">
        <v>0</v>
      </c>
      <c r="I12" s="54">
        <v>1</v>
      </c>
      <c r="J12" s="54">
        <v>3240</v>
      </c>
      <c r="K12" s="54">
        <v>0</v>
      </c>
      <c r="L12" s="54">
        <v>3240</v>
      </c>
      <c r="M12" s="54">
        <v>1400</v>
      </c>
    </row>
    <row r="13" spans="1:13" x14ac:dyDescent="0.2">
      <c r="A13" s="52" t="s">
        <v>154</v>
      </c>
      <c r="B13" s="67" t="s">
        <v>153</v>
      </c>
      <c r="C13" s="52" t="s">
        <v>19</v>
      </c>
      <c r="D13" s="53" t="s">
        <v>67</v>
      </c>
      <c r="E13" s="53" t="s">
        <v>68</v>
      </c>
      <c r="F13" s="54">
        <v>1</v>
      </c>
      <c r="G13" s="54">
        <v>0</v>
      </c>
      <c r="H13" s="54">
        <v>0</v>
      </c>
      <c r="I13" s="54">
        <v>1</v>
      </c>
      <c r="J13" s="54">
        <v>2331</v>
      </c>
      <c r="K13" s="54">
        <v>0</v>
      </c>
      <c r="L13" s="54">
        <v>2331</v>
      </c>
      <c r="M13" s="54">
        <v>806</v>
      </c>
    </row>
    <row r="14" spans="1:13" x14ac:dyDescent="0.2">
      <c r="A14" s="52" t="s">
        <v>164</v>
      </c>
      <c r="B14" s="67" t="s">
        <v>163</v>
      </c>
      <c r="C14" s="52" t="s">
        <v>19</v>
      </c>
      <c r="D14" s="53" t="s">
        <v>22</v>
      </c>
      <c r="E14" s="53" t="s">
        <v>23</v>
      </c>
      <c r="F14" s="54">
        <v>1</v>
      </c>
      <c r="G14" s="54">
        <v>0</v>
      </c>
      <c r="H14" s="54">
        <v>0</v>
      </c>
      <c r="I14" s="54">
        <v>1</v>
      </c>
      <c r="J14" s="54">
        <v>5300</v>
      </c>
      <c r="K14" s="54">
        <v>0</v>
      </c>
      <c r="L14" s="54">
        <v>5300</v>
      </c>
      <c r="M14" s="54">
        <v>2316</v>
      </c>
    </row>
    <row r="15" spans="1:13" x14ac:dyDescent="0.2">
      <c r="A15" s="52" t="s">
        <v>172</v>
      </c>
      <c r="B15" s="67" t="s">
        <v>171</v>
      </c>
      <c r="C15" s="52" t="s">
        <v>19</v>
      </c>
      <c r="D15" s="53" t="s">
        <v>67</v>
      </c>
      <c r="E15" s="53" t="s">
        <v>68</v>
      </c>
      <c r="F15" s="54">
        <v>1</v>
      </c>
      <c r="G15" s="54">
        <v>0</v>
      </c>
      <c r="H15" s="54">
        <v>0</v>
      </c>
      <c r="I15" s="54">
        <v>1</v>
      </c>
      <c r="J15" s="54">
        <v>3248</v>
      </c>
      <c r="K15" s="56">
        <v>0</v>
      </c>
      <c r="L15" s="54">
        <v>3248</v>
      </c>
      <c r="M15" s="54">
        <v>1820</v>
      </c>
    </row>
    <row r="16" spans="1:13" x14ac:dyDescent="0.2">
      <c r="A16" s="52" t="s">
        <v>184</v>
      </c>
      <c r="B16" s="67" t="s">
        <v>183</v>
      </c>
      <c r="C16" s="52" t="s">
        <v>19</v>
      </c>
      <c r="D16" s="53" t="s">
        <v>67</v>
      </c>
      <c r="E16" s="53" t="s">
        <v>68</v>
      </c>
      <c r="F16" s="54">
        <v>1</v>
      </c>
      <c r="G16" s="54">
        <v>0</v>
      </c>
      <c r="H16" s="54">
        <v>0</v>
      </c>
      <c r="I16" s="54">
        <v>1</v>
      </c>
      <c r="J16" s="54">
        <v>6900</v>
      </c>
      <c r="K16" s="54">
        <v>0</v>
      </c>
      <c r="L16" s="54">
        <v>6900</v>
      </c>
      <c r="M16" s="54">
        <v>2329</v>
      </c>
    </row>
    <row r="17" spans="1:13" x14ac:dyDescent="0.2">
      <c r="A17" s="52" t="s">
        <v>192</v>
      </c>
      <c r="B17" s="67" t="s">
        <v>191</v>
      </c>
      <c r="C17" s="52" t="s">
        <v>19</v>
      </c>
      <c r="D17" s="53" t="s">
        <v>67</v>
      </c>
      <c r="E17" s="53" t="s">
        <v>68</v>
      </c>
      <c r="F17" s="54">
        <v>1</v>
      </c>
      <c r="G17" s="54">
        <v>0</v>
      </c>
      <c r="H17" s="54">
        <v>0</v>
      </c>
      <c r="I17" s="54">
        <v>1</v>
      </c>
      <c r="J17" s="54">
        <v>8312</v>
      </c>
      <c r="K17" s="54">
        <v>0</v>
      </c>
      <c r="L17" s="54">
        <v>8312</v>
      </c>
      <c r="M17" s="54">
        <v>1872</v>
      </c>
    </row>
    <row r="18" spans="1:13" x14ac:dyDescent="0.2">
      <c r="A18" s="52" t="s">
        <v>194</v>
      </c>
      <c r="B18" s="67" t="s">
        <v>193</v>
      </c>
      <c r="C18" s="52" t="s">
        <v>19</v>
      </c>
      <c r="D18" s="53" t="s">
        <v>67</v>
      </c>
      <c r="E18" s="53" t="s">
        <v>68</v>
      </c>
      <c r="F18" s="54">
        <v>1</v>
      </c>
      <c r="G18" s="54">
        <v>0</v>
      </c>
      <c r="H18" s="54">
        <v>0</v>
      </c>
      <c r="I18" s="54">
        <v>1</v>
      </c>
      <c r="J18" s="54">
        <v>3440</v>
      </c>
      <c r="K18" s="54">
        <v>0</v>
      </c>
      <c r="L18" s="54">
        <v>3440</v>
      </c>
      <c r="M18" s="54">
        <v>2018</v>
      </c>
    </row>
    <row r="19" spans="1:13" x14ac:dyDescent="0.2">
      <c r="A19" s="52" t="s">
        <v>210</v>
      </c>
      <c r="B19" s="67" t="s">
        <v>209</v>
      </c>
      <c r="C19" s="52" t="s">
        <v>19</v>
      </c>
      <c r="D19" s="53" t="s">
        <v>27</v>
      </c>
      <c r="E19" s="53" t="s">
        <v>28</v>
      </c>
      <c r="F19" s="54">
        <v>1</v>
      </c>
      <c r="G19" s="54">
        <v>1</v>
      </c>
      <c r="H19" s="54">
        <v>0</v>
      </c>
      <c r="I19" s="54">
        <v>2</v>
      </c>
      <c r="J19" s="54">
        <v>3000</v>
      </c>
      <c r="K19" s="54">
        <v>2060</v>
      </c>
      <c r="L19" s="54">
        <v>5060</v>
      </c>
      <c r="M19" s="54">
        <v>2658</v>
      </c>
    </row>
    <row r="20" spans="1:13" x14ac:dyDescent="0.2">
      <c r="A20" s="52" t="s">
        <v>212</v>
      </c>
      <c r="B20" s="67" t="s">
        <v>211</v>
      </c>
      <c r="C20" s="52" t="s">
        <v>19</v>
      </c>
      <c r="D20" s="53" t="s">
        <v>67</v>
      </c>
      <c r="E20" s="53" t="s">
        <v>68</v>
      </c>
      <c r="F20" s="54">
        <v>1</v>
      </c>
      <c r="G20" s="54">
        <v>0</v>
      </c>
      <c r="H20" s="54">
        <v>0</v>
      </c>
      <c r="I20" s="54">
        <v>1</v>
      </c>
      <c r="J20" s="54">
        <v>4144</v>
      </c>
      <c r="K20" s="54">
        <v>0</v>
      </c>
      <c r="L20" s="54">
        <v>4144</v>
      </c>
      <c r="M20" s="54">
        <v>1222</v>
      </c>
    </row>
    <row r="21" spans="1:13" x14ac:dyDescent="0.2">
      <c r="A21" s="52" t="s">
        <v>214</v>
      </c>
      <c r="B21" s="67" t="s">
        <v>213</v>
      </c>
      <c r="C21" s="52" t="s">
        <v>19</v>
      </c>
      <c r="D21" s="53" t="s">
        <v>22</v>
      </c>
      <c r="E21" s="53" t="s">
        <v>23</v>
      </c>
      <c r="F21" s="54">
        <v>1</v>
      </c>
      <c r="G21" s="54">
        <v>0</v>
      </c>
      <c r="H21" s="54">
        <v>0</v>
      </c>
      <c r="I21" s="54">
        <v>1</v>
      </c>
      <c r="J21" s="54">
        <v>4580</v>
      </c>
      <c r="K21" s="54">
        <v>0</v>
      </c>
      <c r="L21" s="54">
        <v>4580</v>
      </c>
      <c r="M21" s="54">
        <v>2563</v>
      </c>
    </row>
    <row r="22" spans="1:13" x14ac:dyDescent="0.2">
      <c r="A22" s="52" t="s">
        <v>216</v>
      </c>
      <c r="B22" s="67" t="s">
        <v>215</v>
      </c>
      <c r="C22" s="52" t="s">
        <v>19</v>
      </c>
      <c r="D22" s="53" t="s">
        <v>22</v>
      </c>
      <c r="E22" s="58">
        <v>43100</v>
      </c>
      <c r="F22" s="54">
        <v>1</v>
      </c>
      <c r="G22" s="54">
        <v>0</v>
      </c>
      <c r="H22" s="54">
        <v>0</v>
      </c>
      <c r="I22" s="54">
        <v>1</v>
      </c>
      <c r="J22" s="54">
        <v>3796</v>
      </c>
      <c r="K22" s="54">
        <v>0</v>
      </c>
      <c r="L22" s="54">
        <v>3796</v>
      </c>
      <c r="M22" s="54">
        <v>1150</v>
      </c>
    </row>
    <row r="23" spans="1:13" x14ac:dyDescent="0.2">
      <c r="A23" s="52" t="s">
        <v>219</v>
      </c>
      <c r="B23" s="67" t="s">
        <v>218</v>
      </c>
      <c r="C23" s="52" t="s">
        <v>19</v>
      </c>
      <c r="D23" s="53" t="s">
        <v>27</v>
      </c>
      <c r="E23" s="53" t="s">
        <v>28</v>
      </c>
      <c r="F23" s="54">
        <v>1</v>
      </c>
      <c r="G23" s="54">
        <v>0</v>
      </c>
      <c r="H23" s="54">
        <v>0</v>
      </c>
      <c r="I23" s="54">
        <v>1</v>
      </c>
      <c r="J23" s="54">
        <v>3000</v>
      </c>
      <c r="K23" s="54">
        <v>0</v>
      </c>
      <c r="L23" s="54">
        <v>3000</v>
      </c>
      <c r="M23" s="54">
        <v>1716</v>
      </c>
    </row>
    <row r="24" spans="1:13" x14ac:dyDescent="0.2">
      <c r="A24" s="52" t="s">
        <v>231</v>
      </c>
      <c r="B24" s="67" t="s">
        <v>230</v>
      </c>
      <c r="C24" s="52" t="s">
        <v>19</v>
      </c>
      <c r="D24" s="53" t="s">
        <v>27</v>
      </c>
      <c r="E24" s="53" t="s">
        <v>28</v>
      </c>
      <c r="F24" s="54">
        <v>1</v>
      </c>
      <c r="G24" s="54">
        <v>0</v>
      </c>
      <c r="H24" s="54">
        <v>0</v>
      </c>
      <c r="I24" s="54">
        <v>1</v>
      </c>
      <c r="J24" s="54">
        <v>3792</v>
      </c>
      <c r="K24" s="54">
        <v>0</v>
      </c>
      <c r="L24" s="54">
        <v>3792</v>
      </c>
      <c r="M24" s="54">
        <v>1715</v>
      </c>
    </row>
    <row r="25" spans="1:13" x14ac:dyDescent="0.2">
      <c r="A25" s="52" t="s">
        <v>267</v>
      </c>
      <c r="B25" s="67" t="s">
        <v>266</v>
      </c>
      <c r="C25" s="52" t="s">
        <v>19</v>
      </c>
      <c r="D25" s="53" t="s">
        <v>67</v>
      </c>
      <c r="E25" s="53" t="s">
        <v>68</v>
      </c>
      <c r="F25" s="54">
        <v>1</v>
      </c>
      <c r="G25" s="54">
        <v>0</v>
      </c>
      <c r="H25" s="54">
        <v>0</v>
      </c>
      <c r="I25" s="54">
        <v>1</v>
      </c>
      <c r="J25" s="54">
        <v>912</v>
      </c>
      <c r="K25" s="54">
        <v>0</v>
      </c>
      <c r="L25" s="54">
        <v>912</v>
      </c>
      <c r="M25" s="54">
        <v>1820</v>
      </c>
    </row>
    <row r="26" spans="1:13" x14ac:dyDescent="0.2">
      <c r="A26" s="52" t="s">
        <v>269</v>
      </c>
      <c r="B26" s="67" t="s">
        <v>268</v>
      </c>
      <c r="C26" s="52" t="s">
        <v>19</v>
      </c>
      <c r="D26" s="53" t="s">
        <v>67</v>
      </c>
      <c r="E26" s="53" t="s">
        <v>68</v>
      </c>
      <c r="F26">
        <v>1</v>
      </c>
      <c r="G26" s="54">
        <v>0</v>
      </c>
      <c r="H26" s="54">
        <v>0</v>
      </c>
      <c r="I26" s="54">
        <v>1</v>
      </c>
      <c r="J26" s="54">
        <v>3420</v>
      </c>
      <c r="K26" s="54">
        <v>0</v>
      </c>
      <c r="L26" s="54">
        <v>3420</v>
      </c>
      <c r="M26" s="54">
        <v>1061</v>
      </c>
    </row>
    <row r="27" spans="1:13" x14ac:dyDescent="0.2">
      <c r="A27" s="52" t="s">
        <v>275</v>
      </c>
      <c r="B27" s="67" t="s">
        <v>274</v>
      </c>
      <c r="C27" s="52" t="s">
        <v>19</v>
      </c>
      <c r="D27" s="53" t="s">
        <v>67</v>
      </c>
      <c r="E27" s="53" t="s">
        <v>68</v>
      </c>
      <c r="F27" s="54">
        <v>1</v>
      </c>
      <c r="G27" s="54">
        <v>0</v>
      </c>
      <c r="H27" s="54">
        <v>0</v>
      </c>
      <c r="I27" s="54">
        <v>1</v>
      </c>
      <c r="J27" s="54">
        <v>4288</v>
      </c>
      <c r="K27" s="54">
        <v>0</v>
      </c>
      <c r="L27" s="54">
        <v>4288</v>
      </c>
      <c r="M27" s="54">
        <v>2392</v>
      </c>
    </row>
    <row r="28" spans="1:13" x14ac:dyDescent="0.2">
      <c r="A28" s="52" t="s">
        <v>283</v>
      </c>
      <c r="B28" s="67" t="s">
        <v>282</v>
      </c>
      <c r="C28" s="52" t="s">
        <v>19</v>
      </c>
      <c r="D28" s="53" t="s">
        <v>22</v>
      </c>
      <c r="E28" s="53" t="s">
        <v>23</v>
      </c>
      <c r="F28" s="54">
        <v>1</v>
      </c>
      <c r="G28" s="54">
        <v>0</v>
      </c>
      <c r="H28" s="54">
        <v>0</v>
      </c>
      <c r="I28" s="54">
        <v>1</v>
      </c>
      <c r="J28" s="54">
        <v>4800</v>
      </c>
      <c r="K28" s="54">
        <v>0</v>
      </c>
      <c r="L28" s="54">
        <v>4800</v>
      </c>
      <c r="M28" s="54">
        <v>2080</v>
      </c>
    </row>
    <row r="29" spans="1:13" x14ac:dyDescent="0.2">
      <c r="A29" s="52" t="s">
        <v>299</v>
      </c>
      <c r="B29" s="67" t="s">
        <v>298</v>
      </c>
      <c r="C29" s="52" t="s">
        <v>19</v>
      </c>
      <c r="D29" s="53" t="s">
        <v>27</v>
      </c>
      <c r="E29" s="53" t="s">
        <v>28</v>
      </c>
      <c r="F29" s="54">
        <v>1</v>
      </c>
      <c r="G29" s="54">
        <v>0</v>
      </c>
      <c r="H29" s="54">
        <v>0</v>
      </c>
      <c r="I29" s="54">
        <v>1</v>
      </c>
      <c r="J29" s="54">
        <v>1870</v>
      </c>
      <c r="K29" s="54">
        <v>0</v>
      </c>
      <c r="L29" s="54">
        <v>1870</v>
      </c>
      <c r="M29" s="54">
        <v>2200</v>
      </c>
    </row>
    <row r="30" spans="1:13" x14ac:dyDescent="0.2">
      <c r="A30" s="52" t="s">
        <v>311</v>
      </c>
      <c r="B30" s="67" t="s">
        <v>310</v>
      </c>
      <c r="C30" s="52" t="s">
        <v>19</v>
      </c>
      <c r="D30" s="53" t="s">
        <v>67</v>
      </c>
      <c r="E30" s="53" t="s">
        <v>68</v>
      </c>
      <c r="F30" s="54">
        <v>1</v>
      </c>
      <c r="G30" s="54">
        <v>0</v>
      </c>
      <c r="H30" s="54">
        <v>0</v>
      </c>
      <c r="I30" s="54">
        <v>1</v>
      </c>
      <c r="J30" s="54">
        <v>4290</v>
      </c>
      <c r="K30" s="54">
        <v>0</v>
      </c>
      <c r="L30" s="54">
        <v>4290</v>
      </c>
      <c r="M30" s="54">
        <v>2080</v>
      </c>
    </row>
    <row r="31" spans="1:13" x14ac:dyDescent="0.2">
      <c r="A31" s="52" t="s">
        <v>319</v>
      </c>
      <c r="B31" s="67" t="s">
        <v>318</v>
      </c>
      <c r="C31" s="52" t="s">
        <v>19</v>
      </c>
      <c r="D31" s="53" t="s">
        <v>67</v>
      </c>
      <c r="E31" s="53" t="s">
        <v>68</v>
      </c>
      <c r="F31" s="54">
        <v>1</v>
      </c>
      <c r="G31" s="54">
        <v>0</v>
      </c>
      <c r="H31" s="54">
        <v>0</v>
      </c>
      <c r="I31" s="54">
        <v>1</v>
      </c>
      <c r="J31" s="54">
        <v>1738</v>
      </c>
      <c r="K31" s="54">
        <v>0</v>
      </c>
      <c r="L31" s="54">
        <v>1738</v>
      </c>
      <c r="M31" s="54">
        <v>1040</v>
      </c>
    </row>
    <row r="32" spans="1:13" x14ac:dyDescent="0.2">
      <c r="A32" s="52" t="s">
        <v>327</v>
      </c>
      <c r="B32" s="67" t="s">
        <v>326</v>
      </c>
      <c r="C32" s="52" t="s">
        <v>19</v>
      </c>
      <c r="D32" s="53" t="s">
        <v>22</v>
      </c>
      <c r="E32" s="53" t="s">
        <v>23</v>
      </c>
      <c r="F32" s="54">
        <v>1</v>
      </c>
      <c r="G32" s="54">
        <v>0</v>
      </c>
      <c r="H32" s="54">
        <v>0</v>
      </c>
      <c r="I32" s="54">
        <v>1</v>
      </c>
      <c r="J32" s="54">
        <v>3400</v>
      </c>
      <c r="K32" s="54">
        <v>0</v>
      </c>
      <c r="L32" s="54">
        <v>3400</v>
      </c>
      <c r="M32" s="54">
        <v>2392</v>
      </c>
    </row>
    <row r="33" spans="1:13" x14ac:dyDescent="0.2">
      <c r="A33" s="52" t="s">
        <v>329</v>
      </c>
      <c r="B33" s="67" t="s">
        <v>328</v>
      </c>
      <c r="C33" s="52" t="s">
        <v>19</v>
      </c>
      <c r="D33" s="53" t="s">
        <v>14</v>
      </c>
      <c r="E33" s="53" t="s">
        <v>15</v>
      </c>
      <c r="F33" s="54">
        <v>1</v>
      </c>
      <c r="G33" s="54">
        <v>0</v>
      </c>
      <c r="H33" s="54">
        <v>0</v>
      </c>
      <c r="I33" s="54">
        <v>1</v>
      </c>
      <c r="J33" s="54">
        <v>2500</v>
      </c>
      <c r="K33" s="54">
        <v>0</v>
      </c>
      <c r="L33" s="54">
        <v>2500</v>
      </c>
      <c r="M33" s="54">
        <v>1040</v>
      </c>
    </row>
    <row r="34" spans="1:13" x14ac:dyDescent="0.2">
      <c r="A34" s="52" t="s">
        <v>379</v>
      </c>
      <c r="B34" s="67" t="s">
        <v>378</v>
      </c>
      <c r="C34" s="52" t="s">
        <v>19</v>
      </c>
      <c r="D34" s="53" t="s">
        <v>22</v>
      </c>
      <c r="E34" s="53" t="s">
        <v>23</v>
      </c>
      <c r="F34" s="54">
        <v>1</v>
      </c>
      <c r="G34" s="54">
        <v>0</v>
      </c>
      <c r="H34" s="54">
        <v>0</v>
      </c>
      <c r="I34" s="54">
        <v>1</v>
      </c>
      <c r="J34" s="54">
        <v>6400</v>
      </c>
      <c r="K34" s="54">
        <v>0</v>
      </c>
      <c r="L34" s="54">
        <v>6400</v>
      </c>
      <c r="M34" s="54">
        <v>2169</v>
      </c>
    </row>
    <row r="35" spans="1:13" x14ac:dyDescent="0.2">
      <c r="A35" s="52" t="s">
        <v>395</v>
      </c>
      <c r="B35" s="67" t="s">
        <v>394</v>
      </c>
      <c r="C35" s="52" t="s">
        <v>19</v>
      </c>
      <c r="D35" s="53" t="s">
        <v>27</v>
      </c>
      <c r="E35" s="53" t="s">
        <v>28</v>
      </c>
      <c r="F35" s="54">
        <v>1</v>
      </c>
      <c r="G35" s="54">
        <v>0</v>
      </c>
      <c r="H35" s="54">
        <v>0</v>
      </c>
      <c r="I35" s="54">
        <v>1</v>
      </c>
      <c r="J35" s="54">
        <v>5000</v>
      </c>
      <c r="K35" s="54">
        <v>0</v>
      </c>
      <c r="L35" s="54">
        <v>5000</v>
      </c>
      <c r="M35" s="54">
        <v>1820</v>
      </c>
    </row>
    <row r="36" spans="1:13" x14ac:dyDescent="0.2">
      <c r="A36" s="52" t="s">
        <v>427</v>
      </c>
      <c r="B36" s="67" t="s">
        <v>426</v>
      </c>
      <c r="C36" s="52" t="s">
        <v>19</v>
      </c>
      <c r="D36" s="53" t="s">
        <v>27</v>
      </c>
      <c r="E36" s="53" t="s">
        <v>28</v>
      </c>
      <c r="F36" s="54">
        <v>1</v>
      </c>
      <c r="G36" s="54">
        <v>0</v>
      </c>
      <c r="H36" s="54">
        <v>0</v>
      </c>
      <c r="I36" s="54">
        <v>1</v>
      </c>
      <c r="J36" s="54">
        <v>3100</v>
      </c>
      <c r="K36" s="54">
        <v>0</v>
      </c>
      <c r="L36" s="54">
        <v>3100</v>
      </c>
      <c r="M36" s="54">
        <v>2019</v>
      </c>
    </row>
    <row r="37" spans="1:13" x14ac:dyDescent="0.2">
      <c r="A37" s="52" t="s">
        <v>433</v>
      </c>
      <c r="B37" s="67" t="s">
        <v>432</v>
      </c>
      <c r="C37" s="52" t="s">
        <v>19</v>
      </c>
      <c r="D37" s="53" t="s">
        <v>17</v>
      </c>
      <c r="E37" s="53" t="s">
        <v>18</v>
      </c>
      <c r="F37" s="54">
        <v>1</v>
      </c>
      <c r="G37" s="54">
        <v>0</v>
      </c>
      <c r="H37" s="54">
        <v>0</v>
      </c>
      <c r="I37" s="54">
        <v>1</v>
      </c>
      <c r="J37" s="54">
        <v>1715</v>
      </c>
      <c r="K37" s="54">
        <v>0</v>
      </c>
      <c r="L37" s="54">
        <v>1715</v>
      </c>
      <c r="M37" s="54">
        <v>1111</v>
      </c>
    </row>
    <row r="38" spans="1:13" x14ac:dyDescent="0.2">
      <c r="A38" s="52" t="s">
        <v>435</v>
      </c>
      <c r="B38" s="67" t="s">
        <v>434</v>
      </c>
      <c r="C38" s="52" t="s">
        <v>19</v>
      </c>
      <c r="D38" s="53" t="s">
        <v>264</v>
      </c>
      <c r="E38" s="53" t="s">
        <v>265</v>
      </c>
      <c r="F38" s="54">
        <v>1</v>
      </c>
      <c r="G38" s="54">
        <v>0</v>
      </c>
      <c r="H38" s="54">
        <v>0</v>
      </c>
      <c r="I38" s="54">
        <v>1</v>
      </c>
      <c r="J38" s="54">
        <v>4932</v>
      </c>
      <c r="K38" s="54">
        <v>0</v>
      </c>
      <c r="L38" s="54">
        <v>4932</v>
      </c>
      <c r="M38" s="54">
        <v>1976</v>
      </c>
    </row>
    <row r="39" spans="1:13" x14ac:dyDescent="0.2">
      <c r="A39" s="52" t="s">
        <v>439</v>
      </c>
      <c r="B39" s="67" t="s">
        <v>438</v>
      </c>
      <c r="C39" s="52" t="s">
        <v>19</v>
      </c>
      <c r="D39" s="53" t="s">
        <v>67</v>
      </c>
      <c r="E39" s="53" t="s">
        <v>68</v>
      </c>
      <c r="F39" s="54">
        <v>1</v>
      </c>
      <c r="G39" s="54">
        <v>0</v>
      </c>
      <c r="H39" s="54">
        <v>0</v>
      </c>
      <c r="I39" s="54">
        <v>1</v>
      </c>
      <c r="J39" s="54">
        <v>2800</v>
      </c>
      <c r="K39" s="54">
        <v>0</v>
      </c>
      <c r="L39" s="54">
        <v>2800</v>
      </c>
      <c r="M39" s="54">
        <v>1820</v>
      </c>
    </row>
    <row r="40" spans="1:13" x14ac:dyDescent="0.2">
      <c r="A40" s="52" t="s">
        <v>449</v>
      </c>
      <c r="B40" s="67" t="s">
        <v>448</v>
      </c>
      <c r="C40" s="52" t="s">
        <v>19</v>
      </c>
      <c r="D40" s="53" t="s">
        <v>27</v>
      </c>
      <c r="E40" s="53" t="s">
        <v>28</v>
      </c>
      <c r="F40" s="54">
        <v>1</v>
      </c>
      <c r="G40" s="54">
        <v>0</v>
      </c>
      <c r="H40" s="54">
        <v>0</v>
      </c>
      <c r="I40" s="54">
        <v>1</v>
      </c>
      <c r="J40" s="54">
        <v>1980</v>
      </c>
      <c r="K40" s="54">
        <v>0</v>
      </c>
      <c r="L40" s="54">
        <v>1980</v>
      </c>
      <c r="M40" s="54">
        <v>1352</v>
      </c>
    </row>
    <row r="41" spans="1:13" x14ac:dyDescent="0.2">
      <c r="A41" s="52" t="s">
        <v>455</v>
      </c>
      <c r="B41" s="67" t="s">
        <v>454</v>
      </c>
      <c r="C41" s="52" t="s">
        <v>19</v>
      </c>
      <c r="D41" s="53" t="s">
        <v>456</v>
      </c>
      <c r="E41" s="53" t="s">
        <v>457</v>
      </c>
      <c r="F41" s="54">
        <v>1</v>
      </c>
      <c r="G41" s="54">
        <v>0</v>
      </c>
      <c r="H41" s="54">
        <v>0</v>
      </c>
      <c r="I41" s="54">
        <v>1</v>
      </c>
      <c r="J41" s="54">
        <v>1000</v>
      </c>
      <c r="K41" s="54">
        <v>0</v>
      </c>
      <c r="L41" s="54">
        <v>1000</v>
      </c>
      <c r="M41" s="54">
        <v>1584</v>
      </c>
    </row>
    <row r="42" spans="1:13" x14ac:dyDescent="0.2">
      <c r="A42" s="52" t="s">
        <v>469</v>
      </c>
      <c r="B42" s="67" t="s">
        <v>468</v>
      </c>
      <c r="C42" s="52" t="s">
        <v>19</v>
      </c>
      <c r="D42" s="53" t="s">
        <v>264</v>
      </c>
      <c r="E42" s="53" t="s">
        <v>470</v>
      </c>
      <c r="F42" s="54">
        <v>1</v>
      </c>
      <c r="G42" s="54">
        <v>0</v>
      </c>
      <c r="H42" s="54">
        <v>0</v>
      </c>
      <c r="I42" s="54">
        <v>1</v>
      </c>
      <c r="J42" s="54">
        <v>2200</v>
      </c>
      <c r="K42" s="54">
        <v>0</v>
      </c>
      <c r="L42" s="54">
        <v>2200</v>
      </c>
      <c r="M42" s="54">
        <v>1768</v>
      </c>
    </row>
    <row r="43" spans="1:13" x14ac:dyDescent="0.2">
      <c r="A43" s="52" t="s">
        <v>476</v>
      </c>
      <c r="B43" s="67" t="s">
        <v>475</v>
      </c>
      <c r="C43" s="52" t="s">
        <v>19</v>
      </c>
      <c r="D43" s="53" t="s">
        <v>67</v>
      </c>
      <c r="E43" s="53" t="s">
        <v>68</v>
      </c>
      <c r="F43" s="54">
        <v>1</v>
      </c>
      <c r="G43" s="54">
        <v>0</v>
      </c>
      <c r="H43" s="54">
        <v>0</v>
      </c>
      <c r="I43" s="54">
        <v>1</v>
      </c>
      <c r="J43" s="54">
        <v>3360</v>
      </c>
      <c r="K43" s="54">
        <v>0</v>
      </c>
      <c r="L43" s="54">
        <v>3360</v>
      </c>
      <c r="M43" s="54">
        <v>1870</v>
      </c>
    </row>
    <row r="44" spans="1:13" x14ac:dyDescent="0.2">
      <c r="A44" s="52" t="s">
        <v>492</v>
      </c>
      <c r="B44" s="67" t="s">
        <v>491</v>
      </c>
      <c r="C44" s="52" t="s">
        <v>19</v>
      </c>
      <c r="D44" s="53" t="s">
        <v>22</v>
      </c>
      <c r="E44" s="53" t="s">
        <v>23</v>
      </c>
      <c r="F44" s="54">
        <v>1</v>
      </c>
      <c r="G44" s="54">
        <v>0</v>
      </c>
      <c r="H44" s="54">
        <v>0</v>
      </c>
      <c r="I44" s="54">
        <v>1</v>
      </c>
      <c r="J44" s="54">
        <v>1800</v>
      </c>
      <c r="K44" s="54">
        <v>0</v>
      </c>
      <c r="L44" s="54">
        <v>1800</v>
      </c>
      <c r="M44" s="54">
        <v>1230</v>
      </c>
    </row>
    <row r="45" spans="1:13" x14ac:dyDescent="0.2">
      <c r="A45" s="52" t="s">
        <v>508</v>
      </c>
      <c r="B45" s="67" t="s">
        <v>507</v>
      </c>
      <c r="C45" s="52" t="s">
        <v>19</v>
      </c>
      <c r="D45" s="53" t="s">
        <v>67</v>
      </c>
      <c r="E45" s="53" t="s">
        <v>68</v>
      </c>
      <c r="F45" s="54">
        <v>1</v>
      </c>
      <c r="G45" s="54">
        <v>0</v>
      </c>
      <c r="H45" s="54">
        <v>0</v>
      </c>
      <c r="I45" s="54">
        <v>1</v>
      </c>
      <c r="J45" s="54">
        <v>1500</v>
      </c>
      <c r="K45" s="54">
        <v>0</v>
      </c>
      <c r="L45" s="54">
        <v>1500</v>
      </c>
      <c r="M45" s="54">
        <v>1196</v>
      </c>
    </row>
    <row r="46" spans="1:13" x14ac:dyDescent="0.2">
      <c r="A46" s="52" t="s">
        <v>516</v>
      </c>
      <c r="B46" s="67" t="s">
        <v>515</v>
      </c>
      <c r="C46" s="52" t="s">
        <v>19</v>
      </c>
      <c r="D46" s="53" t="s">
        <v>71</v>
      </c>
      <c r="E46" s="53" t="s">
        <v>72</v>
      </c>
      <c r="F46" s="54">
        <v>1</v>
      </c>
      <c r="G46" s="54">
        <v>0</v>
      </c>
      <c r="H46" s="54">
        <v>0</v>
      </c>
      <c r="I46" s="54">
        <v>1</v>
      </c>
      <c r="J46" s="54">
        <v>3125</v>
      </c>
      <c r="K46" s="54">
        <v>0</v>
      </c>
      <c r="L46" s="54">
        <v>3125</v>
      </c>
      <c r="M46" s="54">
        <v>1504</v>
      </c>
    </row>
    <row r="47" spans="1:13" x14ac:dyDescent="0.2">
      <c r="A47" s="52" t="s">
        <v>536</v>
      </c>
      <c r="B47" s="67" t="s">
        <v>535</v>
      </c>
      <c r="C47" s="52" t="s">
        <v>19</v>
      </c>
      <c r="D47" s="53" t="s">
        <v>67</v>
      </c>
      <c r="E47" s="53" t="s">
        <v>68</v>
      </c>
      <c r="F47" s="54">
        <v>1</v>
      </c>
      <c r="G47" s="54">
        <v>0</v>
      </c>
      <c r="H47" s="54">
        <v>0</v>
      </c>
      <c r="I47" s="54">
        <v>1</v>
      </c>
      <c r="J47" s="54">
        <v>3444</v>
      </c>
      <c r="K47" s="54">
        <v>0</v>
      </c>
      <c r="L47" s="54">
        <v>3444</v>
      </c>
      <c r="M47" s="54">
        <v>970</v>
      </c>
    </row>
    <row r="48" spans="1:13" x14ac:dyDescent="0.2">
      <c r="A48" s="52" t="s">
        <v>552</v>
      </c>
      <c r="B48" s="67" t="s">
        <v>551</v>
      </c>
      <c r="C48" s="52" t="s">
        <v>19</v>
      </c>
      <c r="D48" s="53" t="s">
        <v>27</v>
      </c>
      <c r="E48" s="53" t="s">
        <v>28</v>
      </c>
      <c r="F48" s="54">
        <v>1</v>
      </c>
      <c r="G48" s="54">
        <v>0</v>
      </c>
      <c r="H48" s="54">
        <v>0</v>
      </c>
      <c r="I48" s="54">
        <v>1</v>
      </c>
      <c r="J48" s="54">
        <v>6300</v>
      </c>
      <c r="K48" s="54">
        <v>0</v>
      </c>
      <c r="L48" s="54">
        <v>6300</v>
      </c>
      <c r="M48" s="54">
        <v>2340</v>
      </c>
    </row>
    <row r="49" spans="1:13" x14ac:dyDescent="0.2">
      <c r="A49" s="52" t="s">
        <v>566</v>
      </c>
      <c r="B49" s="67" t="s">
        <v>565</v>
      </c>
      <c r="C49" s="52" t="s">
        <v>19</v>
      </c>
      <c r="D49" s="53" t="s">
        <v>117</v>
      </c>
      <c r="E49" s="53" t="s">
        <v>118</v>
      </c>
      <c r="F49" s="54">
        <v>1</v>
      </c>
      <c r="G49" s="54">
        <v>1</v>
      </c>
      <c r="H49" s="54">
        <v>0</v>
      </c>
      <c r="I49" s="54">
        <v>2</v>
      </c>
      <c r="J49" s="54">
        <v>3285</v>
      </c>
      <c r="K49" s="54">
        <v>980</v>
      </c>
      <c r="L49" s="54">
        <v>4265</v>
      </c>
      <c r="M49" s="54">
        <v>2548</v>
      </c>
    </row>
    <row r="50" spans="1:13" x14ac:dyDescent="0.2">
      <c r="A50" s="52" t="s">
        <v>570</v>
      </c>
      <c r="B50" s="67" t="s">
        <v>569</v>
      </c>
      <c r="C50" s="52" t="s">
        <v>19</v>
      </c>
      <c r="D50" s="53" t="s">
        <v>27</v>
      </c>
      <c r="E50" s="53" t="s">
        <v>28</v>
      </c>
      <c r="F50" s="54">
        <v>1</v>
      </c>
      <c r="G50" s="54">
        <v>0</v>
      </c>
      <c r="H50" s="54">
        <v>0</v>
      </c>
      <c r="I50" s="54">
        <v>1</v>
      </c>
      <c r="J50" s="54">
        <v>1800</v>
      </c>
      <c r="K50" s="54">
        <v>0</v>
      </c>
      <c r="L50" s="54">
        <v>1800</v>
      </c>
      <c r="M50" s="54">
        <v>1631</v>
      </c>
    </row>
    <row r="51" spans="1:13" x14ac:dyDescent="0.2">
      <c r="A51" s="52" t="s">
        <v>592</v>
      </c>
      <c r="B51" s="67" t="s">
        <v>591</v>
      </c>
      <c r="C51" s="52" t="s">
        <v>19</v>
      </c>
      <c r="D51" s="53" t="s">
        <v>593</v>
      </c>
      <c r="E51" s="53" t="s">
        <v>594</v>
      </c>
      <c r="F51" s="54">
        <v>1</v>
      </c>
      <c r="G51" s="54">
        <v>0</v>
      </c>
      <c r="H51" s="54">
        <v>0</v>
      </c>
      <c r="I51" s="54">
        <v>1</v>
      </c>
      <c r="J51" s="54">
        <v>3175</v>
      </c>
      <c r="K51" s="54">
        <v>0</v>
      </c>
      <c r="L51" s="54">
        <v>3175</v>
      </c>
      <c r="M51" s="54">
        <v>2055</v>
      </c>
    </row>
    <row r="52" spans="1:13" x14ac:dyDescent="0.2">
      <c r="A52" s="52" t="s">
        <v>612</v>
      </c>
      <c r="B52" s="67" t="s">
        <v>611</v>
      </c>
      <c r="C52" s="52" t="s">
        <v>19</v>
      </c>
      <c r="D52" s="53" t="s">
        <v>456</v>
      </c>
      <c r="E52" s="53" t="s">
        <v>457</v>
      </c>
      <c r="F52" s="54">
        <v>1</v>
      </c>
      <c r="G52" s="54">
        <v>0</v>
      </c>
      <c r="H52" s="54">
        <v>0</v>
      </c>
      <c r="I52" s="54">
        <v>1</v>
      </c>
      <c r="J52" s="54">
        <v>2200</v>
      </c>
      <c r="K52" s="54">
        <v>0</v>
      </c>
      <c r="L52" s="54">
        <v>2200</v>
      </c>
      <c r="M52" s="54">
        <v>1876</v>
      </c>
    </row>
    <row r="53" spans="1:13" x14ac:dyDescent="0.2">
      <c r="A53" s="52" t="s">
        <v>632</v>
      </c>
      <c r="B53" s="67" t="s">
        <v>631</v>
      </c>
      <c r="C53" s="52" t="s">
        <v>19</v>
      </c>
      <c r="D53" s="53" t="s">
        <v>67</v>
      </c>
      <c r="E53" s="53" t="s">
        <v>68</v>
      </c>
      <c r="F53" s="54">
        <v>1</v>
      </c>
      <c r="G53" s="54">
        <v>0</v>
      </c>
      <c r="H53" s="54">
        <v>0</v>
      </c>
      <c r="I53" s="54">
        <v>1</v>
      </c>
      <c r="J53" s="54">
        <v>1496</v>
      </c>
      <c r="K53" s="54">
        <v>0</v>
      </c>
      <c r="L53" s="54">
        <v>1496</v>
      </c>
      <c r="M53" s="54">
        <v>1558</v>
      </c>
    </row>
    <row r="54" spans="1:13" x14ac:dyDescent="0.2">
      <c r="A54" s="52" t="s">
        <v>642</v>
      </c>
      <c r="B54" s="67" t="s">
        <v>641</v>
      </c>
      <c r="C54" s="52" t="s">
        <v>19</v>
      </c>
      <c r="D54" s="53" t="s">
        <v>27</v>
      </c>
      <c r="E54" s="53" t="s">
        <v>28</v>
      </c>
      <c r="F54" s="54">
        <v>1</v>
      </c>
      <c r="G54" s="54">
        <v>0</v>
      </c>
      <c r="H54" s="54">
        <v>0</v>
      </c>
      <c r="I54" s="54">
        <v>1</v>
      </c>
      <c r="J54" s="54">
        <v>2538</v>
      </c>
      <c r="K54" s="54">
        <v>0</v>
      </c>
      <c r="L54" s="54">
        <v>2538</v>
      </c>
      <c r="M54" s="54">
        <v>520</v>
      </c>
    </row>
    <row r="55" spans="1:13" x14ac:dyDescent="0.2">
      <c r="A55" s="52" t="s">
        <v>644</v>
      </c>
      <c r="B55" s="67" t="s">
        <v>643</v>
      </c>
      <c r="C55" s="52" t="s">
        <v>19</v>
      </c>
      <c r="D55" s="53" t="s">
        <v>67</v>
      </c>
      <c r="E55" s="53" t="s">
        <v>68</v>
      </c>
      <c r="F55" s="54">
        <v>1</v>
      </c>
      <c r="G55" s="54">
        <v>0</v>
      </c>
      <c r="H55" s="54">
        <v>0</v>
      </c>
      <c r="I55" s="54">
        <v>1</v>
      </c>
      <c r="J55" s="54">
        <v>1800</v>
      </c>
      <c r="K55" s="54">
        <v>0</v>
      </c>
      <c r="L55" s="54">
        <v>1800</v>
      </c>
      <c r="M55" s="54">
        <v>2132</v>
      </c>
    </row>
    <row r="56" spans="1:13" x14ac:dyDescent="0.2">
      <c r="A56" s="52" t="s">
        <v>650</v>
      </c>
      <c r="B56" s="67" t="s">
        <v>649</v>
      </c>
      <c r="C56" s="52" t="s">
        <v>19</v>
      </c>
      <c r="D56" s="53" t="s">
        <v>456</v>
      </c>
      <c r="E56" s="53" t="s">
        <v>457</v>
      </c>
      <c r="F56" s="54">
        <v>1</v>
      </c>
      <c r="G56" s="54">
        <v>0</v>
      </c>
      <c r="H56" s="54">
        <v>0</v>
      </c>
      <c r="I56" s="54">
        <v>1</v>
      </c>
      <c r="J56" s="54">
        <v>3000</v>
      </c>
      <c r="K56" s="54">
        <v>0</v>
      </c>
      <c r="L56" s="54">
        <v>3000</v>
      </c>
      <c r="M56" s="54">
        <v>1426</v>
      </c>
    </row>
    <row r="57" spans="1:13" x14ac:dyDescent="0.2">
      <c r="A57" s="52" t="s">
        <v>652</v>
      </c>
      <c r="B57" s="67" t="s">
        <v>651</v>
      </c>
      <c r="C57" s="52" t="s">
        <v>19</v>
      </c>
      <c r="D57" s="53" t="s">
        <v>67</v>
      </c>
      <c r="E57" s="53" t="s">
        <v>68</v>
      </c>
      <c r="F57" s="54">
        <v>1</v>
      </c>
      <c r="G57" s="54">
        <v>0</v>
      </c>
      <c r="H57" s="54">
        <v>0</v>
      </c>
      <c r="I57" s="54">
        <v>1</v>
      </c>
      <c r="J57" s="54">
        <v>2106</v>
      </c>
      <c r="K57" s="54">
        <v>0</v>
      </c>
      <c r="L57" s="54">
        <v>2106</v>
      </c>
      <c r="M57" s="54">
        <v>1270</v>
      </c>
    </row>
    <row r="58" spans="1:13" x14ac:dyDescent="0.2">
      <c r="A58" s="52" t="s">
        <v>672</v>
      </c>
      <c r="B58" s="67" t="s">
        <v>671</v>
      </c>
      <c r="C58" s="52" t="s">
        <v>19</v>
      </c>
      <c r="D58" s="53" t="s">
        <v>71</v>
      </c>
      <c r="E58" s="53" t="s">
        <v>72</v>
      </c>
      <c r="F58" s="54">
        <v>1</v>
      </c>
      <c r="G58" s="54">
        <v>0</v>
      </c>
      <c r="H58" s="54">
        <v>0</v>
      </c>
      <c r="I58" s="54">
        <v>1</v>
      </c>
      <c r="J58" s="54">
        <v>1500</v>
      </c>
      <c r="K58" s="54">
        <v>0</v>
      </c>
      <c r="L58" s="54">
        <v>1500</v>
      </c>
      <c r="M58" s="54">
        <v>1008</v>
      </c>
    </row>
    <row r="59" spans="1:13" x14ac:dyDescent="0.2">
      <c r="A59" s="52" t="s">
        <v>698</v>
      </c>
      <c r="B59" s="67" t="s">
        <v>697</v>
      </c>
      <c r="C59" s="52" t="s">
        <v>19</v>
      </c>
      <c r="D59" s="53" t="s">
        <v>264</v>
      </c>
      <c r="E59" s="53" t="s">
        <v>265</v>
      </c>
      <c r="F59" s="54">
        <v>1</v>
      </c>
      <c r="G59" s="54">
        <v>0</v>
      </c>
      <c r="H59" s="54">
        <v>0</v>
      </c>
      <c r="I59" s="54">
        <v>1</v>
      </c>
      <c r="J59" s="54">
        <v>7800</v>
      </c>
      <c r="K59" s="54">
        <v>0</v>
      </c>
      <c r="L59" s="54">
        <v>7800</v>
      </c>
      <c r="M59" s="54">
        <v>1821</v>
      </c>
    </row>
    <row r="60" spans="1:13" x14ac:dyDescent="0.2">
      <c r="A60" s="52" t="s">
        <v>704</v>
      </c>
      <c r="B60" s="67" t="s">
        <v>703</v>
      </c>
      <c r="C60" s="52" t="s">
        <v>19</v>
      </c>
      <c r="D60" s="53" t="s">
        <v>67</v>
      </c>
      <c r="E60" s="53" t="s">
        <v>68</v>
      </c>
      <c r="F60" s="54">
        <v>1</v>
      </c>
      <c r="G60" s="54">
        <v>0</v>
      </c>
      <c r="H60" s="54">
        <v>0</v>
      </c>
      <c r="I60" s="54">
        <v>1</v>
      </c>
      <c r="J60" s="54">
        <v>1556</v>
      </c>
      <c r="K60" s="54">
        <v>0</v>
      </c>
      <c r="L60" s="54">
        <v>1556</v>
      </c>
      <c r="M60" s="54">
        <v>1716</v>
      </c>
    </row>
    <row r="61" spans="1:13" x14ac:dyDescent="0.2">
      <c r="A61" s="52" t="s">
        <v>714</v>
      </c>
      <c r="B61" s="67" t="s">
        <v>713</v>
      </c>
      <c r="C61" s="52" t="s">
        <v>19</v>
      </c>
      <c r="D61" s="53" t="s">
        <v>264</v>
      </c>
      <c r="E61" s="53" t="s">
        <v>265</v>
      </c>
      <c r="F61" s="54">
        <v>1</v>
      </c>
      <c r="G61" s="54">
        <v>0</v>
      </c>
      <c r="H61" s="54">
        <v>0</v>
      </c>
      <c r="I61" s="54">
        <v>1</v>
      </c>
      <c r="J61" s="54">
        <v>3600</v>
      </c>
      <c r="K61" s="54">
        <v>0</v>
      </c>
      <c r="L61" s="54">
        <v>3600</v>
      </c>
      <c r="M61" s="54">
        <v>1986</v>
      </c>
    </row>
    <row r="62" spans="1:13" x14ac:dyDescent="0.2">
      <c r="A62" s="52" t="s">
        <v>716</v>
      </c>
      <c r="B62" s="67" t="s">
        <v>715</v>
      </c>
      <c r="C62" s="52" t="s">
        <v>19</v>
      </c>
      <c r="D62" s="53" t="s">
        <v>67</v>
      </c>
      <c r="E62" s="53" t="s">
        <v>68</v>
      </c>
      <c r="F62" s="54">
        <v>1</v>
      </c>
      <c r="G62" s="54">
        <v>0</v>
      </c>
      <c r="H62" s="54">
        <v>0</v>
      </c>
      <c r="I62" s="54">
        <v>1</v>
      </c>
      <c r="J62" s="54">
        <v>4200</v>
      </c>
      <c r="K62" s="54">
        <v>0</v>
      </c>
      <c r="L62" s="54">
        <v>4200</v>
      </c>
      <c r="M62" s="54">
        <v>1400</v>
      </c>
    </row>
    <row r="63" spans="1:13" x14ac:dyDescent="0.2">
      <c r="A63" s="52" t="s">
        <v>738</v>
      </c>
      <c r="B63" s="67" t="s">
        <v>737</v>
      </c>
      <c r="C63" s="52" t="s">
        <v>19</v>
      </c>
      <c r="D63" s="53" t="s">
        <v>22</v>
      </c>
      <c r="E63" s="53" t="s">
        <v>23</v>
      </c>
      <c r="F63" s="54">
        <v>1</v>
      </c>
      <c r="G63" s="54">
        <v>0</v>
      </c>
      <c r="H63" s="54">
        <v>0</v>
      </c>
      <c r="I63" s="54">
        <v>1</v>
      </c>
      <c r="J63" s="54">
        <v>3500</v>
      </c>
      <c r="K63" s="54">
        <v>0</v>
      </c>
      <c r="L63" s="54">
        <v>3500</v>
      </c>
      <c r="M63" s="54">
        <v>1408</v>
      </c>
    </row>
    <row r="64" spans="1:13" x14ac:dyDescent="0.2">
      <c r="A64" s="52" t="s">
        <v>757</v>
      </c>
      <c r="B64" s="67" t="s">
        <v>756</v>
      </c>
      <c r="C64" s="52" t="s">
        <v>19</v>
      </c>
      <c r="D64" s="53" t="s">
        <v>67</v>
      </c>
      <c r="E64" s="53" t="s">
        <v>68</v>
      </c>
      <c r="F64" s="54">
        <v>1</v>
      </c>
      <c r="G64" s="54">
        <v>0</v>
      </c>
      <c r="H64" s="54">
        <v>0</v>
      </c>
      <c r="I64" s="54">
        <v>1</v>
      </c>
      <c r="J64" s="54">
        <v>3500</v>
      </c>
      <c r="K64" s="54">
        <v>0</v>
      </c>
      <c r="L64" s="54">
        <v>3500</v>
      </c>
      <c r="M64" s="54">
        <v>1277</v>
      </c>
    </row>
    <row r="65" spans="1:13" x14ac:dyDescent="0.2">
      <c r="A65" s="52" t="s">
        <v>775</v>
      </c>
      <c r="B65" s="67" t="s">
        <v>774</v>
      </c>
      <c r="C65" s="52" t="s">
        <v>19</v>
      </c>
      <c r="D65" s="53" t="s">
        <v>67</v>
      </c>
      <c r="E65" s="53" t="s">
        <v>68</v>
      </c>
      <c r="F65" s="54">
        <v>1</v>
      </c>
      <c r="G65" s="54">
        <v>0</v>
      </c>
      <c r="H65" s="54">
        <v>0</v>
      </c>
      <c r="I65" s="54">
        <v>1</v>
      </c>
      <c r="J65" s="54">
        <v>1700</v>
      </c>
      <c r="K65" s="54">
        <v>0</v>
      </c>
      <c r="L65" s="54">
        <v>1700</v>
      </c>
      <c r="M65" s="54">
        <v>1664</v>
      </c>
    </row>
    <row r="66" spans="1:13" x14ac:dyDescent="0.2">
      <c r="A66" s="52" t="s">
        <v>787</v>
      </c>
      <c r="B66" s="67" t="s">
        <v>786</v>
      </c>
      <c r="C66" s="52" t="s">
        <v>19</v>
      </c>
      <c r="D66" s="53" t="s">
        <v>67</v>
      </c>
      <c r="E66" s="53" t="s">
        <v>68</v>
      </c>
      <c r="F66" s="54">
        <v>1</v>
      </c>
      <c r="G66" s="54">
        <v>0</v>
      </c>
      <c r="H66" s="54">
        <v>0</v>
      </c>
      <c r="I66" s="54">
        <v>1</v>
      </c>
      <c r="J66" s="54">
        <v>1938</v>
      </c>
      <c r="K66" s="54">
        <v>0</v>
      </c>
      <c r="L66" s="54">
        <v>1938</v>
      </c>
      <c r="M66" s="54">
        <v>1664</v>
      </c>
    </row>
    <row r="67" spans="1:13" x14ac:dyDescent="0.2">
      <c r="A67" s="52" t="s">
        <v>793</v>
      </c>
      <c r="B67" s="67" t="s">
        <v>792</v>
      </c>
      <c r="C67" s="52" t="s">
        <v>19</v>
      </c>
      <c r="D67" s="53" t="s">
        <v>27</v>
      </c>
      <c r="E67" s="53" t="s">
        <v>28</v>
      </c>
      <c r="F67" s="54">
        <v>1</v>
      </c>
      <c r="G67" s="54">
        <v>0</v>
      </c>
      <c r="H67" s="54">
        <v>0</v>
      </c>
      <c r="I67" s="54">
        <v>1</v>
      </c>
      <c r="J67" s="54">
        <v>1800</v>
      </c>
      <c r="K67" s="54">
        <v>0</v>
      </c>
      <c r="L67" s="54">
        <v>1800</v>
      </c>
      <c r="M67" s="54">
        <v>1494</v>
      </c>
    </row>
    <row r="68" spans="1:13" x14ac:dyDescent="0.2">
      <c r="A68" s="52" t="s">
        <v>795</v>
      </c>
      <c r="B68" s="67" t="s">
        <v>794</v>
      </c>
      <c r="C68" s="52" t="s">
        <v>19</v>
      </c>
      <c r="D68" s="53" t="s">
        <v>796</v>
      </c>
      <c r="E68" s="53" t="s">
        <v>797</v>
      </c>
      <c r="F68" s="54">
        <v>1</v>
      </c>
      <c r="G68" s="54">
        <v>0</v>
      </c>
      <c r="H68" s="54">
        <v>0</v>
      </c>
      <c r="I68" s="54">
        <v>1</v>
      </c>
      <c r="J68" s="54">
        <v>2400</v>
      </c>
      <c r="K68" s="54">
        <v>0</v>
      </c>
      <c r="L68" s="54">
        <v>2400</v>
      </c>
      <c r="M68" s="54">
        <v>1631</v>
      </c>
    </row>
    <row r="69" spans="1:13" x14ac:dyDescent="0.2">
      <c r="A69" s="52" t="s">
        <v>799</v>
      </c>
      <c r="B69" s="67" t="s">
        <v>798</v>
      </c>
      <c r="C69" s="52" t="s">
        <v>19</v>
      </c>
      <c r="D69" s="53" t="s">
        <v>27</v>
      </c>
      <c r="E69" s="53" t="s">
        <v>28</v>
      </c>
      <c r="F69" s="54">
        <v>1</v>
      </c>
      <c r="G69" s="54">
        <v>0</v>
      </c>
      <c r="H69" s="54">
        <v>0</v>
      </c>
      <c r="I69" s="54">
        <v>1</v>
      </c>
      <c r="J69" s="54">
        <v>2109</v>
      </c>
      <c r="K69" s="54">
        <v>0</v>
      </c>
      <c r="L69" s="54">
        <v>2109</v>
      </c>
      <c r="M69" s="54">
        <v>832</v>
      </c>
    </row>
    <row r="70" spans="1:13" x14ac:dyDescent="0.2">
      <c r="A70" s="52" t="s">
        <v>809</v>
      </c>
      <c r="B70" s="67" t="s">
        <v>808</v>
      </c>
      <c r="C70" s="52" t="s">
        <v>19</v>
      </c>
      <c r="D70" s="53" t="s">
        <v>67</v>
      </c>
      <c r="E70" s="53" t="s">
        <v>68</v>
      </c>
      <c r="F70" s="54">
        <v>1</v>
      </c>
      <c r="G70" s="54">
        <v>0</v>
      </c>
      <c r="H70" s="54">
        <v>0</v>
      </c>
      <c r="I70" s="54">
        <v>1</v>
      </c>
      <c r="J70" s="54">
        <v>1069</v>
      </c>
      <c r="K70" s="54">
        <v>0</v>
      </c>
      <c r="L70" s="54">
        <v>1069</v>
      </c>
      <c r="M70" s="54">
        <v>1456</v>
      </c>
    </row>
    <row r="71" spans="1:13" x14ac:dyDescent="0.2">
      <c r="A71" s="52" t="s">
        <v>821</v>
      </c>
      <c r="B71" s="67" t="s">
        <v>820</v>
      </c>
      <c r="C71" s="52" t="s">
        <v>19</v>
      </c>
      <c r="D71" s="53" t="s">
        <v>27</v>
      </c>
      <c r="E71" s="53" t="s">
        <v>28</v>
      </c>
      <c r="F71" s="54">
        <v>1</v>
      </c>
      <c r="G71" s="54">
        <v>0</v>
      </c>
      <c r="H71" s="54">
        <v>0</v>
      </c>
      <c r="I71" s="54">
        <v>1</v>
      </c>
      <c r="J71" s="54">
        <v>3200</v>
      </c>
      <c r="K71" s="54">
        <v>0</v>
      </c>
      <c r="L71" s="54">
        <v>3200</v>
      </c>
      <c r="M71" s="54">
        <v>1588</v>
      </c>
    </row>
    <row r="72" spans="1:13" x14ac:dyDescent="0.2">
      <c r="A72" s="52" t="s">
        <v>833</v>
      </c>
      <c r="B72" s="67" t="s">
        <v>832</v>
      </c>
      <c r="C72" s="52" t="s">
        <v>19</v>
      </c>
      <c r="D72" s="53" t="s">
        <v>27</v>
      </c>
      <c r="E72" s="53" t="s">
        <v>28</v>
      </c>
      <c r="F72" s="54">
        <v>1</v>
      </c>
      <c r="G72" s="54">
        <v>0</v>
      </c>
      <c r="H72" s="54">
        <v>0</v>
      </c>
      <c r="I72" s="54">
        <v>1</v>
      </c>
      <c r="J72" s="54">
        <v>2960</v>
      </c>
      <c r="K72" s="54">
        <v>0</v>
      </c>
      <c r="L72" s="54">
        <v>2960</v>
      </c>
      <c r="M72" s="54">
        <v>1560</v>
      </c>
    </row>
    <row r="73" spans="1:13" x14ac:dyDescent="0.2">
      <c r="A73" s="52" t="s">
        <v>841</v>
      </c>
      <c r="B73" s="67" t="s">
        <v>840</v>
      </c>
      <c r="C73" s="52" t="s">
        <v>19</v>
      </c>
      <c r="D73" s="53" t="s">
        <v>27</v>
      </c>
      <c r="E73" s="53" t="s">
        <v>28</v>
      </c>
      <c r="F73" s="54">
        <v>1</v>
      </c>
      <c r="G73" s="54">
        <v>0</v>
      </c>
      <c r="H73" s="54">
        <v>0</v>
      </c>
      <c r="I73" s="54">
        <v>1</v>
      </c>
      <c r="J73" s="54">
        <v>1400</v>
      </c>
      <c r="K73" s="56">
        <v>0</v>
      </c>
      <c r="L73" s="54">
        <v>1400</v>
      </c>
      <c r="M73" s="54">
        <v>1820</v>
      </c>
    </row>
    <row r="74" spans="1:13" x14ac:dyDescent="0.2">
      <c r="A74" s="52" t="s">
        <v>21</v>
      </c>
      <c r="B74" s="67" t="s">
        <v>20</v>
      </c>
      <c r="C74" s="52" t="s">
        <v>24</v>
      </c>
      <c r="D74" s="53" t="s">
        <v>22</v>
      </c>
      <c r="E74" s="53" t="s">
        <v>23</v>
      </c>
      <c r="F74" s="54">
        <v>1</v>
      </c>
      <c r="G74" s="54">
        <v>0</v>
      </c>
      <c r="H74" s="54">
        <v>0</v>
      </c>
      <c r="I74" s="54">
        <v>1</v>
      </c>
      <c r="J74" s="54">
        <v>3000</v>
      </c>
      <c r="K74" s="54">
        <v>0</v>
      </c>
      <c r="L74" s="54">
        <v>3000</v>
      </c>
      <c r="M74" s="54">
        <v>2704</v>
      </c>
    </row>
    <row r="75" spans="1:13" x14ac:dyDescent="0.2">
      <c r="A75" s="52" t="s">
        <v>51</v>
      </c>
      <c r="B75" s="67" t="s">
        <v>50</v>
      </c>
      <c r="C75" s="52" t="s">
        <v>24</v>
      </c>
      <c r="D75" s="53" t="s">
        <v>52</v>
      </c>
      <c r="E75" s="53" t="s">
        <v>53</v>
      </c>
      <c r="F75" s="54">
        <v>1</v>
      </c>
      <c r="G75" s="54">
        <v>0</v>
      </c>
      <c r="H75" s="54">
        <v>0</v>
      </c>
      <c r="I75" s="54">
        <v>1</v>
      </c>
      <c r="J75" s="54">
        <v>3658</v>
      </c>
      <c r="K75" s="54">
        <v>0</v>
      </c>
      <c r="L75" s="54">
        <v>3658</v>
      </c>
      <c r="M75" s="54">
        <v>2652</v>
      </c>
    </row>
    <row r="76" spans="1:13" x14ac:dyDescent="0.2">
      <c r="A76" s="52" t="s">
        <v>62</v>
      </c>
      <c r="B76" s="67" t="s">
        <v>61</v>
      </c>
      <c r="C76" s="52" t="s">
        <v>24</v>
      </c>
      <c r="D76" s="53" t="s">
        <v>22</v>
      </c>
      <c r="E76" s="53" t="s">
        <v>23</v>
      </c>
      <c r="F76" s="54">
        <v>1</v>
      </c>
      <c r="G76" s="54">
        <v>0</v>
      </c>
      <c r="H76" s="54">
        <v>0</v>
      </c>
      <c r="I76" s="54">
        <v>1</v>
      </c>
      <c r="J76" s="54">
        <v>8000</v>
      </c>
      <c r="K76" s="54">
        <v>0</v>
      </c>
      <c r="L76" s="54">
        <v>8000</v>
      </c>
      <c r="M76" s="54">
        <v>2600</v>
      </c>
    </row>
    <row r="77" spans="1:13" x14ac:dyDescent="0.2">
      <c r="A77" s="52" t="s">
        <v>66</v>
      </c>
      <c r="B77" s="67" t="s">
        <v>65</v>
      </c>
      <c r="C77" s="52" t="s">
        <v>24</v>
      </c>
      <c r="D77" s="53" t="s">
        <v>67</v>
      </c>
      <c r="E77" s="53" t="s">
        <v>68</v>
      </c>
      <c r="F77" s="54">
        <v>1</v>
      </c>
      <c r="G77" s="54">
        <v>0</v>
      </c>
      <c r="H77" s="54">
        <v>0</v>
      </c>
      <c r="I77" s="54">
        <v>1</v>
      </c>
      <c r="J77" s="54">
        <v>1600</v>
      </c>
      <c r="K77" s="54">
        <v>0</v>
      </c>
      <c r="L77" s="54">
        <v>1600</v>
      </c>
      <c r="M77" s="54">
        <v>2132</v>
      </c>
    </row>
    <row r="78" spans="1:13" x14ac:dyDescent="0.2">
      <c r="A78" s="52" t="s">
        <v>78</v>
      </c>
      <c r="B78" s="67" t="s">
        <v>77</v>
      </c>
      <c r="C78" s="52" t="s">
        <v>24</v>
      </c>
      <c r="D78" s="53" t="s">
        <v>27</v>
      </c>
      <c r="E78" s="53" t="s">
        <v>28</v>
      </c>
      <c r="F78" s="54">
        <v>1</v>
      </c>
      <c r="G78" s="54">
        <v>0</v>
      </c>
      <c r="H78" s="54">
        <v>0</v>
      </c>
      <c r="I78" s="54">
        <v>1</v>
      </c>
      <c r="J78" s="54">
        <v>7500</v>
      </c>
      <c r="K78" s="54">
        <v>0</v>
      </c>
      <c r="L78" s="54">
        <v>7500</v>
      </c>
      <c r="M78" s="54">
        <v>2830</v>
      </c>
    </row>
    <row r="79" spans="1:13" x14ac:dyDescent="0.2">
      <c r="A79" s="52" t="s">
        <v>82</v>
      </c>
      <c r="B79" s="67" t="s">
        <v>81</v>
      </c>
      <c r="C79" s="52" t="s">
        <v>24</v>
      </c>
      <c r="D79" s="53" t="s">
        <v>27</v>
      </c>
      <c r="E79" s="53" t="s">
        <v>28</v>
      </c>
      <c r="F79" s="54">
        <v>1</v>
      </c>
      <c r="G79" s="54">
        <v>1</v>
      </c>
      <c r="H79" s="54">
        <v>0</v>
      </c>
      <c r="I79" s="54">
        <v>2</v>
      </c>
      <c r="J79" s="54">
        <v>3600</v>
      </c>
      <c r="K79" s="54">
        <v>900</v>
      </c>
      <c r="L79" s="54">
        <v>4500</v>
      </c>
      <c r="M79" s="54">
        <v>3236</v>
      </c>
    </row>
    <row r="80" spans="1:13" x14ac:dyDescent="0.2">
      <c r="A80" s="52" t="s">
        <v>106</v>
      </c>
      <c r="B80" s="67" t="s">
        <v>105</v>
      </c>
      <c r="C80" s="52" t="s">
        <v>24</v>
      </c>
      <c r="D80" s="53" t="s">
        <v>27</v>
      </c>
      <c r="E80" s="53" t="s">
        <v>28</v>
      </c>
      <c r="F80" s="54">
        <v>1</v>
      </c>
      <c r="G80" s="54">
        <v>0</v>
      </c>
      <c r="H80" s="54">
        <v>0</v>
      </c>
      <c r="I80" s="54">
        <v>1</v>
      </c>
      <c r="J80" s="54">
        <v>2406</v>
      </c>
      <c r="K80" s="54">
        <v>0</v>
      </c>
      <c r="L80" s="54">
        <v>2406</v>
      </c>
      <c r="M80" s="54">
        <v>1825</v>
      </c>
    </row>
    <row r="81" spans="1:13" x14ac:dyDescent="0.2">
      <c r="A81" s="52" t="s">
        <v>126</v>
      </c>
      <c r="B81" s="67" t="s">
        <v>125</v>
      </c>
      <c r="C81" s="52" t="s">
        <v>24</v>
      </c>
      <c r="D81" s="53" t="s">
        <v>27</v>
      </c>
      <c r="E81" s="53" t="s">
        <v>28</v>
      </c>
      <c r="F81" s="54">
        <v>1</v>
      </c>
      <c r="G81" s="54">
        <v>0</v>
      </c>
      <c r="H81" s="54">
        <v>0</v>
      </c>
      <c r="I81" s="54">
        <v>1</v>
      </c>
      <c r="J81" s="54">
        <v>10000</v>
      </c>
      <c r="K81" s="54">
        <v>0</v>
      </c>
      <c r="L81" s="54">
        <v>10000</v>
      </c>
      <c r="M81" s="54">
        <v>2708</v>
      </c>
    </row>
    <row r="82" spans="1:13" x14ac:dyDescent="0.2">
      <c r="A82" s="52" t="s">
        <v>132</v>
      </c>
      <c r="B82" s="67" t="s">
        <v>131</v>
      </c>
      <c r="C82" s="52" t="s">
        <v>24</v>
      </c>
      <c r="D82" s="53" t="s">
        <v>117</v>
      </c>
      <c r="E82" s="53" t="s">
        <v>118</v>
      </c>
      <c r="F82" s="54">
        <v>1</v>
      </c>
      <c r="G82" s="54">
        <v>0</v>
      </c>
      <c r="H82" s="54">
        <v>0</v>
      </c>
      <c r="I82" s="54">
        <v>1</v>
      </c>
      <c r="J82" s="54">
        <v>1300</v>
      </c>
      <c r="K82" s="54">
        <v>0</v>
      </c>
      <c r="L82" s="54">
        <v>1300</v>
      </c>
      <c r="M82" s="54">
        <v>1648</v>
      </c>
    </row>
    <row r="83" spans="1:13" x14ac:dyDescent="0.2">
      <c r="A83" s="52" t="s">
        <v>146</v>
      </c>
      <c r="B83" s="67" t="s">
        <v>145</v>
      </c>
      <c r="C83" s="52" t="s">
        <v>24</v>
      </c>
      <c r="D83" s="53" t="s">
        <v>67</v>
      </c>
      <c r="E83" s="53" t="s">
        <v>68</v>
      </c>
      <c r="F83" s="54">
        <v>1</v>
      </c>
      <c r="G83" s="54">
        <v>0</v>
      </c>
      <c r="H83" s="54">
        <v>0</v>
      </c>
      <c r="I83" s="54">
        <v>1</v>
      </c>
      <c r="J83" s="54">
        <v>1728</v>
      </c>
      <c r="K83" s="54">
        <v>0</v>
      </c>
      <c r="L83" s="54">
        <v>1728</v>
      </c>
      <c r="M83" s="54">
        <v>1518</v>
      </c>
    </row>
    <row r="84" spans="1:13" x14ac:dyDescent="0.2">
      <c r="A84" s="52" t="s">
        <v>188</v>
      </c>
      <c r="B84" s="67" t="s">
        <v>187</v>
      </c>
      <c r="C84" s="52" t="s">
        <v>24</v>
      </c>
      <c r="D84" s="53" t="s">
        <v>22</v>
      </c>
      <c r="E84" s="53" t="s">
        <v>23</v>
      </c>
      <c r="F84" s="54">
        <v>1</v>
      </c>
      <c r="G84" s="54">
        <v>0</v>
      </c>
      <c r="H84" s="54">
        <v>0</v>
      </c>
      <c r="I84" s="54">
        <v>1</v>
      </c>
      <c r="J84" s="54">
        <v>8000</v>
      </c>
      <c r="K84" s="54">
        <v>0</v>
      </c>
      <c r="L84" s="54">
        <v>8000</v>
      </c>
      <c r="M84" s="54">
        <v>1851</v>
      </c>
    </row>
    <row r="85" spans="1:13" x14ac:dyDescent="0.2">
      <c r="A85" s="52" t="s">
        <v>202</v>
      </c>
      <c r="B85" s="67" t="s">
        <v>201</v>
      </c>
      <c r="C85" s="52" t="s">
        <v>24</v>
      </c>
      <c r="D85" s="53" t="s">
        <v>22</v>
      </c>
      <c r="E85" s="53" t="s">
        <v>23</v>
      </c>
      <c r="F85" s="54">
        <v>1</v>
      </c>
      <c r="G85" s="54">
        <v>0</v>
      </c>
      <c r="H85" s="54">
        <v>0</v>
      </c>
      <c r="I85" s="54">
        <v>1</v>
      </c>
      <c r="J85" s="54">
        <v>3672</v>
      </c>
      <c r="K85" s="54">
        <v>0</v>
      </c>
      <c r="L85" s="54">
        <v>3672</v>
      </c>
      <c r="M85" s="54">
        <v>2352</v>
      </c>
    </row>
    <row r="86" spans="1:13" x14ac:dyDescent="0.2">
      <c r="A86" s="52" t="s">
        <v>225</v>
      </c>
      <c r="B86" s="67" t="s">
        <v>224</v>
      </c>
      <c r="C86" s="52" t="s">
        <v>24</v>
      </c>
      <c r="D86" s="53" t="s">
        <v>67</v>
      </c>
      <c r="E86" s="53" t="s">
        <v>68</v>
      </c>
      <c r="F86" s="54">
        <v>1</v>
      </c>
      <c r="G86" s="54">
        <v>0</v>
      </c>
      <c r="H86" s="54">
        <v>0</v>
      </c>
      <c r="I86" s="54">
        <v>1</v>
      </c>
      <c r="J86" s="54">
        <v>1913</v>
      </c>
      <c r="K86" s="54">
        <v>0</v>
      </c>
      <c r="L86" s="54">
        <v>1913</v>
      </c>
      <c r="M86" s="54">
        <v>1507</v>
      </c>
    </row>
    <row r="87" spans="1:13" x14ac:dyDescent="0.2">
      <c r="A87" s="52" t="s">
        <v>241</v>
      </c>
      <c r="B87" s="67" t="s">
        <v>240</v>
      </c>
      <c r="C87" s="52" t="s">
        <v>24</v>
      </c>
      <c r="D87" s="53" t="s">
        <v>22</v>
      </c>
      <c r="E87" s="53" t="s">
        <v>23</v>
      </c>
      <c r="F87" s="54">
        <v>1</v>
      </c>
      <c r="G87" s="54">
        <v>0</v>
      </c>
      <c r="H87" s="54">
        <v>0</v>
      </c>
      <c r="I87" s="54">
        <v>1</v>
      </c>
      <c r="J87" s="54">
        <v>2400</v>
      </c>
      <c r="K87" s="54">
        <v>0</v>
      </c>
      <c r="L87" s="54">
        <v>2400</v>
      </c>
      <c r="M87" s="54">
        <v>1846</v>
      </c>
    </row>
    <row r="88" spans="1:13" x14ac:dyDescent="0.2">
      <c r="A88" s="52" t="s">
        <v>247</v>
      </c>
      <c r="B88" s="67" t="s">
        <v>246</v>
      </c>
      <c r="C88" s="52" t="s">
        <v>24</v>
      </c>
      <c r="D88" s="53" t="s">
        <v>67</v>
      </c>
      <c r="E88" s="53" t="s">
        <v>68</v>
      </c>
      <c r="F88" s="54">
        <v>1</v>
      </c>
      <c r="G88" s="54">
        <v>0</v>
      </c>
      <c r="H88" s="54">
        <v>0</v>
      </c>
      <c r="I88" s="54">
        <v>1</v>
      </c>
      <c r="J88" s="54">
        <v>1650</v>
      </c>
      <c r="K88" s="54">
        <v>0</v>
      </c>
      <c r="L88" s="54">
        <v>1650</v>
      </c>
      <c r="M88" s="54">
        <v>1800</v>
      </c>
    </row>
    <row r="89" spans="1:13" x14ac:dyDescent="0.2">
      <c r="A89" s="52" t="s">
        <v>249</v>
      </c>
      <c r="B89" s="67" t="s">
        <v>248</v>
      </c>
      <c r="C89" s="52" t="s">
        <v>24</v>
      </c>
      <c r="D89" s="53" t="s">
        <v>27</v>
      </c>
      <c r="E89" s="53" t="s">
        <v>28</v>
      </c>
      <c r="F89" s="54">
        <v>1</v>
      </c>
      <c r="G89" s="54">
        <v>0</v>
      </c>
      <c r="H89" s="54">
        <v>0</v>
      </c>
      <c r="I89" s="54">
        <v>1</v>
      </c>
      <c r="J89" s="54">
        <v>5700</v>
      </c>
      <c r="K89" s="54">
        <v>0</v>
      </c>
      <c r="L89" s="54">
        <v>5700</v>
      </c>
      <c r="M89" s="54">
        <v>1755</v>
      </c>
    </row>
    <row r="90" spans="1:13" x14ac:dyDescent="0.2">
      <c r="A90" s="52" t="s">
        <v>263</v>
      </c>
      <c r="B90" s="67" t="s">
        <v>262</v>
      </c>
      <c r="C90" s="52" t="s">
        <v>24</v>
      </c>
      <c r="D90" s="53" t="s">
        <v>264</v>
      </c>
      <c r="E90" s="53" t="s">
        <v>265</v>
      </c>
      <c r="F90" s="54">
        <v>1</v>
      </c>
      <c r="G90" s="54">
        <v>0</v>
      </c>
      <c r="H90" s="54">
        <v>0</v>
      </c>
      <c r="I90" s="54">
        <v>1</v>
      </c>
      <c r="J90" s="54">
        <v>6500</v>
      </c>
      <c r="K90" s="54">
        <v>0</v>
      </c>
      <c r="L90" s="54">
        <v>6500</v>
      </c>
      <c r="M90" s="54">
        <v>3016</v>
      </c>
    </row>
    <row r="91" spans="1:13" x14ac:dyDescent="0.2">
      <c r="A91" s="52" t="s">
        <v>293</v>
      </c>
      <c r="B91" s="67" t="s">
        <v>292</v>
      </c>
      <c r="C91" s="52" t="s">
        <v>24</v>
      </c>
      <c r="D91" s="53" t="s">
        <v>67</v>
      </c>
      <c r="E91" s="53" t="s">
        <v>68</v>
      </c>
      <c r="F91" s="54">
        <v>1</v>
      </c>
      <c r="G91" s="54">
        <v>0</v>
      </c>
      <c r="H91" s="54">
        <v>0</v>
      </c>
      <c r="I91" s="54">
        <v>1</v>
      </c>
      <c r="J91" s="54">
        <v>4112</v>
      </c>
      <c r="K91" s="54">
        <v>0</v>
      </c>
      <c r="L91" s="54">
        <v>4112</v>
      </c>
      <c r="M91" s="54">
        <v>2054</v>
      </c>
    </row>
    <row r="92" spans="1:13" x14ac:dyDescent="0.2">
      <c r="A92" s="52" t="s">
        <v>303</v>
      </c>
      <c r="B92" s="67" t="s">
        <v>302</v>
      </c>
      <c r="C92" s="52" t="s">
        <v>24</v>
      </c>
      <c r="D92" s="53" t="s">
        <v>27</v>
      </c>
      <c r="E92" s="53" t="s">
        <v>28</v>
      </c>
      <c r="F92" s="54">
        <v>1</v>
      </c>
      <c r="G92" s="54">
        <v>0</v>
      </c>
      <c r="H92" s="54">
        <v>0</v>
      </c>
      <c r="I92" s="54">
        <v>1</v>
      </c>
      <c r="J92" s="54">
        <v>2160</v>
      </c>
      <c r="K92" s="54">
        <v>0</v>
      </c>
      <c r="L92" s="54">
        <v>2160</v>
      </c>
      <c r="M92" s="54">
        <v>1576</v>
      </c>
    </row>
    <row r="93" spans="1:13" x14ac:dyDescent="0.2">
      <c r="A93" s="52" t="s">
        <v>347</v>
      </c>
      <c r="B93" s="67" t="s">
        <v>346</v>
      </c>
      <c r="C93" s="52" t="s">
        <v>24</v>
      </c>
      <c r="D93" s="53" t="s">
        <v>27</v>
      </c>
      <c r="E93" s="53" t="s">
        <v>28</v>
      </c>
      <c r="F93" s="54">
        <v>1</v>
      </c>
      <c r="G93" s="54">
        <v>0</v>
      </c>
      <c r="H93" s="54">
        <v>0</v>
      </c>
      <c r="I93" s="54">
        <v>1</v>
      </c>
      <c r="J93" s="54">
        <v>3733</v>
      </c>
      <c r="K93" s="54">
        <v>0</v>
      </c>
      <c r="L93" s="54">
        <v>3733</v>
      </c>
      <c r="M93" s="54">
        <v>1413</v>
      </c>
    </row>
    <row r="94" spans="1:13" x14ac:dyDescent="0.2">
      <c r="A94" s="52" t="s">
        <v>349</v>
      </c>
      <c r="B94" s="67" t="s">
        <v>348</v>
      </c>
      <c r="C94" s="52" t="s">
        <v>24</v>
      </c>
      <c r="D94" s="53" t="s">
        <v>27</v>
      </c>
      <c r="E94" s="53" t="s">
        <v>28</v>
      </c>
      <c r="F94" s="54">
        <v>1</v>
      </c>
      <c r="G94" s="54">
        <v>0</v>
      </c>
      <c r="H94" s="54">
        <v>0</v>
      </c>
      <c r="I94" s="54">
        <v>1</v>
      </c>
      <c r="J94" s="54">
        <v>4330</v>
      </c>
      <c r="K94" s="54">
        <v>0</v>
      </c>
      <c r="L94" s="54">
        <v>4330</v>
      </c>
      <c r="M94" s="54">
        <v>2440</v>
      </c>
    </row>
    <row r="95" spans="1:13" x14ac:dyDescent="0.2">
      <c r="A95" s="52" t="s">
        <v>359</v>
      </c>
      <c r="B95" s="67" t="s">
        <v>358</v>
      </c>
      <c r="C95" s="52" t="s">
        <v>24</v>
      </c>
      <c r="D95" s="53" t="s">
        <v>22</v>
      </c>
      <c r="E95" s="53" t="s">
        <v>23</v>
      </c>
      <c r="F95" s="54">
        <v>1</v>
      </c>
      <c r="G95" s="54">
        <v>0</v>
      </c>
      <c r="H95" s="54">
        <v>0</v>
      </c>
      <c r="I95" s="54">
        <v>1</v>
      </c>
      <c r="J95" s="54">
        <v>4400</v>
      </c>
      <c r="K95" s="54">
        <v>0</v>
      </c>
      <c r="L95" s="54">
        <v>4400</v>
      </c>
      <c r="M95" s="54">
        <v>2340</v>
      </c>
    </row>
    <row r="96" spans="1:13" x14ac:dyDescent="0.2">
      <c r="A96" s="52" t="s">
        <v>369</v>
      </c>
      <c r="B96" s="67" t="s">
        <v>368</v>
      </c>
      <c r="C96" s="52" t="s">
        <v>24</v>
      </c>
      <c r="D96" s="53" t="s">
        <v>27</v>
      </c>
      <c r="E96" s="53" t="s">
        <v>28</v>
      </c>
      <c r="F96" s="54">
        <v>1</v>
      </c>
      <c r="G96" s="54">
        <v>0</v>
      </c>
      <c r="H96" s="54">
        <v>0</v>
      </c>
      <c r="I96" s="54">
        <v>1</v>
      </c>
      <c r="J96" s="54">
        <v>11900</v>
      </c>
      <c r="K96" s="54">
        <v>0</v>
      </c>
      <c r="L96" s="54">
        <v>11900</v>
      </c>
      <c r="M96" s="54">
        <v>2448</v>
      </c>
    </row>
    <row r="97" spans="1:13" x14ac:dyDescent="0.2">
      <c r="A97" s="52" t="s">
        <v>377</v>
      </c>
      <c r="B97" s="67" t="s">
        <v>376</v>
      </c>
      <c r="C97" s="52" t="s">
        <v>24</v>
      </c>
      <c r="D97" s="53" t="s">
        <v>27</v>
      </c>
      <c r="E97" s="53" t="s">
        <v>28</v>
      </c>
      <c r="F97" s="54">
        <v>1</v>
      </c>
      <c r="G97" s="54">
        <v>0</v>
      </c>
      <c r="H97" s="54">
        <v>0</v>
      </c>
      <c r="I97" s="54">
        <v>1</v>
      </c>
      <c r="J97" s="54">
        <v>4140</v>
      </c>
      <c r="K97" s="54">
        <v>0</v>
      </c>
      <c r="L97" s="54">
        <v>4140</v>
      </c>
      <c r="M97" s="54">
        <v>2016</v>
      </c>
    </row>
    <row r="98" spans="1:13" x14ac:dyDescent="0.2">
      <c r="A98" s="52" t="s">
        <v>381</v>
      </c>
      <c r="B98" s="67" t="s">
        <v>380</v>
      </c>
      <c r="C98" s="52" t="s">
        <v>24</v>
      </c>
      <c r="D98" s="53" t="s">
        <v>22</v>
      </c>
      <c r="E98" s="53" t="s">
        <v>23</v>
      </c>
      <c r="F98" s="54">
        <v>1</v>
      </c>
      <c r="G98" s="54">
        <v>0</v>
      </c>
      <c r="H98" s="54">
        <v>0</v>
      </c>
      <c r="I98" s="54">
        <v>1</v>
      </c>
      <c r="J98" s="54">
        <v>2231</v>
      </c>
      <c r="K98" s="54">
        <v>0</v>
      </c>
      <c r="L98" s="54">
        <v>2231</v>
      </c>
      <c r="M98" s="54">
        <v>1884</v>
      </c>
    </row>
    <row r="99" spans="1:13" x14ac:dyDescent="0.2">
      <c r="A99" s="52" t="s">
        <v>387</v>
      </c>
      <c r="B99" s="67" t="s">
        <v>386</v>
      </c>
      <c r="C99" s="52" t="s">
        <v>24</v>
      </c>
      <c r="D99" s="53" t="s">
        <v>264</v>
      </c>
      <c r="E99" s="53" t="s">
        <v>265</v>
      </c>
      <c r="F99" s="54">
        <v>1</v>
      </c>
      <c r="G99" s="54">
        <v>0</v>
      </c>
      <c r="H99" s="54">
        <v>0</v>
      </c>
      <c r="I99" s="54">
        <v>1</v>
      </c>
      <c r="J99" s="54">
        <v>2937</v>
      </c>
      <c r="K99" s="54">
        <v>0</v>
      </c>
      <c r="L99" s="54">
        <v>2937</v>
      </c>
      <c r="M99" s="54">
        <v>1716</v>
      </c>
    </row>
    <row r="100" spans="1:13" x14ac:dyDescent="0.2">
      <c r="A100" s="52" t="s">
        <v>391</v>
      </c>
      <c r="B100" s="67" t="s">
        <v>390</v>
      </c>
      <c r="C100" s="52" t="s">
        <v>24</v>
      </c>
      <c r="D100" s="53" t="s">
        <v>27</v>
      </c>
      <c r="E100" s="53" t="s">
        <v>28</v>
      </c>
      <c r="F100" s="54">
        <v>1</v>
      </c>
      <c r="G100" s="54">
        <v>0</v>
      </c>
      <c r="H100" s="54">
        <v>0</v>
      </c>
      <c r="I100" s="54">
        <v>1</v>
      </c>
      <c r="J100" s="54">
        <v>4900</v>
      </c>
      <c r="K100" s="54">
        <v>0</v>
      </c>
      <c r="L100" s="54">
        <v>4900</v>
      </c>
      <c r="M100" s="54">
        <v>2080</v>
      </c>
    </row>
    <row r="101" spans="1:13" x14ac:dyDescent="0.2">
      <c r="A101" s="52" t="s">
        <v>397</v>
      </c>
      <c r="B101" s="67" t="s">
        <v>396</v>
      </c>
      <c r="C101" s="52" t="s">
        <v>24</v>
      </c>
      <c r="D101" s="53" t="s">
        <v>22</v>
      </c>
      <c r="E101" s="53" t="s">
        <v>23</v>
      </c>
      <c r="F101" s="54">
        <v>1</v>
      </c>
      <c r="G101" s="54">
        <v>0</v>
      </c>
      <c r="H101" s="54">
        <v>0</v>
      </c>
      <c r="I101" s="54">
        <v>1</v>
      </c>
      <c r="J101" s="54">
        <v>3300</v>
      </c>
      <c r="K101" s="54">
        <v>0</v>
      </c>
      <c r="L101" s="54">
        <v>3300</v>
      </c>
      <c r="M101" s="54">
        <v>2808</v>
      </c>
    </row>
    <row r="102" spans="1:13" x14ac:dyDescent="0.2">
      <c r="A102" s="52" t="s">
        <v>403</v>
      </c>
      <c r="B102" s="67" t="s">
        <v>402</v>
      </c>
      <c r="C102" s="52" t="s">
        <v>24</v>
      </c>
      <c r="D102" s="53" t="s">
        <v>27</v>
      </c>
      <c r="E102" s="53" t="s">
        <v>28</v>
      </c>
      <c r="F102" s="54">
        <v>1</v>
      </c>
      <c r="G102" s="54">
        <v>0</v>
      </c>
      <c r="H102" s="54">
        <v>0</v>
      </c>
      <c r="I102" s="54">
        <v>1</v>
      </c>
      <c r="J102" s="54">
        <v>2744</v>
      </c>
      <c r="K102" s="54">
        <v>0</v>
      </c>
      <c r="L102" s="54">
        <v>2744</v>
      </c>
      <c r="M102" s="54">
        <v>1777</v>
      </c>
    </row>
    <row r="103" spans="1:13" x14ac:dyDescent="0.2">
      <c r="A103" s="52" t="s">
        <v>407</v>
      </c>
      <c r="B103" s="67" t="s">
        <v>406</v>
      </c>
      <c r="C103" s="52" t="s">
        <v>24</v>
      </c>
      <c r="D103" s="53" t="s">
        <v>27</v>
      </c>
      <c r="E103" s="53" t="s">
        <v>28</v>
      </c>
      <c r="F103" s="54">
        <v>1</v>
      </c>
      <c r="G103" s="54">
        <v>0</v>
      </c>
      <c r="H103" s="54">
        <v>0</v>
      </c>
      <c r="I103" s="54">
        <v>1</v>
      </c>
      <c r="J103" s="54">
        <v>3200</v>
      </c>
      <c r="K103" s="54">
        <v>0</v>
      </c>
      <c r="L103" s="54">
        <v>3200</v>
      </c>
      <c r="M103" s="54">
        <v>1664</v>
      </c>
    </row>
    <row r="104" spans="1:13" x14ac:dyDescent="0.2">
      <c r="A104" s="52" t="s">
        <v>411</v>
      </c>
      <c r="B104" s="67" t="s">
        <v>410</v>
      </c>
      <c r="C104" s="52" t="s">
        <v>24</v>
      </c>
      <c r="D104" s="53" t="s">
        <v>27</v>
      </c>
      <c r="E104" s="53" t="s">
        <v>28</v>
      </c>
      <c r="F104" s="54">
        <v>1</v>
      </c>
      <c r="G104" s="54">
        <v>0</v>
      </c>
      <c r="H104" s="54">
        <v>0</v>
      </c>
      <c r="I104" s="54">
        <v>1</v>
      </c>
      <c r="J104" s="54">
        <v>3142</v>
      </c>
      <c r="K104" s="54">
        <v>0</v>
      </c>
      <c r="L104" s="54">
        <v>3142</v>
      </c>
      <c r="M104" s="54">
        <v>1969</v>
      </c>
    </row>
    <row r="105" spans="1:13" x14ac:dyDescent="0.2">
      <c r="A105" s="52" t="s">
        <v>413</v>
      </c>
      <c r="B105" s="67" t="s">
        <v>412</v>
      </c>
      <c r="C105" s="52" t="s">
        <v>24</v>
      </c>
      <c r="D105" s="53" t="s">
        <v>22</v>
      </c>
      <c r="E105" s="53" t="s">
        <v>23</v>
      </c>
      <c r="F105" s="54">
        <v>1</v>
      </c>
      <c r="G105" s="54">
        <v>0</v>
      </c>
      <c r="H105" s="54">
        <v>0</v>
      </c>
      <c r="I105" s="54">
        <v>1</v>
      </c>
      <c r="J105" s="54">
        <v>5600</v>
      </c>
      <c r="K105" s="54">
        <v>0</v>
      </c>
      <c r="L105" s="54">
        <v>5600</v>
      </c>
      <c r="M105" s="54">
        <v>2371</v>
      </c>
    </row>
    <row r="106" spans="1:13" x14ac:dyDescent="0.2">
      <c r="A106" s="52" t="s">
        <v>415</v>
      </c>
      <c r="B106" s="67" t="s">
        <v>414</v>
      </c>
      <c r="C106" s="52" t="s">
        <v>24</v>
      </c>
      <c r="D106" s="53" t="s">
        <v>27</v>
      </c>
      <c r="E106" s="53" t="s">
        <v>28</v>
      </c>
      <c r="F106" s="54">
        <v>1</v>
      </c>
      <c r="G106" s="54">
        <v>0</v>
      </c>
      <c r="H106" s="54">
        <v>0</v>
      </c>
      <c r="I106" s="54">
        <v>1</v>
      </c>
      <c r="J106" s="54">
        <v>10000</v>
      </c>
      <c r="K106" s="54">
        <v>0</v>
      </c>
      <c r="L106" s="54">
        <v>10000</v>
      </c>
      <c r="M106" s="54">
        <v>2808</v>
      </c>
    </row>
    <row r="107" spans="1:13" x14ac:dyDescent="0.2">
      <c r="A107" s="52" t="s">
        <v>429</v>
      </c>
      <c r="B107" s="67" t="s">
        <v>428</v>
      </c>
      <c r="C107" s="52" t="s">
        <v>24</v>
      </c>
      <c r="D107" s="53" t="s">
        <v>264</v>
      </c>
      <c r="E107" s="53" t="s">
        <v>265</v>
      </c>
      <c r="F107" s="54">
        <v>1</v>
      </c>
      <c r="G107" s="54">
        <v>0</v>
      </c>
      <c r="H107" s="54">
        <v>0</v>
      </c>
      <c r="I107" s="54">
        <v>1</v>
      </c>
      <c r="J107" s="54">
        <v>8000</v>
      </c>
      <c r="K107" s="54">
        <v>0</v>
      </c>
      <c r="L107" s="54">
        <v>8000</v>
      </c>
      <c r="M107" s="54">
        <v>1957</v>
      </c>
    </row>
    <row r="108" spans="1:13" x14ac:dyDescent="0.2">
      <c r="A108" s="52" t="s">
        <v>441</v>
      </c>
      <c r="B108" s="67" t="s">
        <v>440</v>
      </c>
      <c r="C108" s="52" t="s">
        <v>24</v>
      </c>
      <c r="D108" s="53" t="s">
        <v>67</v>
      </c>
      <c r="E108" s="53" t="s">
        <v>68</v>
      </c>
      <c r="F108" s="54">
        <v>1</v>
      </c>
      <c r="G108" s="54">
        <v>0</v>
      </c>
      <c r="H108" s="54">
        <v>0</v>
      </c>
      <c r="I108" s="54">
        <v>1</v>
      </c>
      <c r="J108" s="54">
        <v>7608</v>
      </c>
      <c r="K108" s="54">
        <v>0</v>
      </c>
      <c r="L108" s="54">
        <v>7608</v>
      </c>
      <c r="M108" s="54">
        <v>2004</v>
      </c>
    </row>
    <row r="109" spans="1:13" x14ac:dyDescent="0.2">
      <c r="A109" s="52" t="s">
        <v>443</v>
      </c>
      <c r="B109" s="67" t="s">
        <v>442</v>
      </c>
      <c r="C109" s="52" t="s">
        <v>24</v>
      </c>
      <c r="D109" s="53" t="s">
        <v>67</v>
      </c>
      <c r="E109" s="53" t="s">
        <v>68</v>
      </c>
      <c r="F109" s="54">
        <v>1</v>
      </c>
      <c r="G109" s="54">
        <v>0</v>
      </c>
      <c r="H109" s="54">
        <v>0</v>
      </c>
      <c r="I109" s="54">
        <v>1</v>
      </c>
      <c r="J109" s="54">
        <v>6052</v>
      </c>
      <c r="K109" s="54">
        <v>0</v>
      </c>
      <c r="L109" s="54">
        <v>6052</v>
      </c>
      <c r="M109" s="54">
        <v>2080</v>
      </c>
    </row>
    <row r="110" spans="1:13" x14ac:dyDescent="0.2">
      <c r="A110" s="52" t="s">
        <v>465</v>
      </c>
      <c r="B110" s="67" t="s">
        <v>464</v>
      </c>
      <c r="C110" s="52" t="s">
        <v>24</v>
      </c>
      <c r="D110" s="53" t="s">
        <v>67</v>
      </c>
      <c r="E110" s="53" t="s">
        <v>68</v>
      </c>
      <c r="F110" s="54">
        <v>1</v>
      </c>
      <c r="G110" s="54">
        <v>0</v>
      </c>
      <c r="H110" s="54">
        <v>0</v>
      </c>
      <c r="I110" s="54">
        <v>1</v>
      </c>
      <c r="J110" s="54">
        <v>3600</v>
      </c>
      <c r="K110" s="54">
        <v>0</v>
      </c>
      <c r="L110" s="54">
        <v>3600</v>
      </c>
      <c r="M110" s="54">
        <v>1820</v>
      </c>
    </row>
    <row r="111" spans="1:13" x14ac:dyDescent="0.2">
      <c r="A111" s="52" t="s">
        <v>472</v>
      </c>
      <c r="B111" s="67" t="s">
        <v>471</v>
      </c>
      <c r="C111" s="52" t="s">
        <v>24</v>
      </c>
      <c r="D111" s="53" t="s">
        <v>264</v>
      </c>
      <c r="E111" s="53" t="s">
        <v>265</v>
      </c>
      <c r="F111" s="54">
        <v>1</v>
      </c>
      <c r="G111" s="54">
        <v>0</v>
      </c>
      <c r="H111" s="54">
        <v>0</v>
      </c>
      <c r="I111" s="54">
        <v>1</v>
      </c>
      <c r="J111" s="54">
        <v>4224</v>
      </c>
      <c r="K111" s="54">
        <v>0</v>
      </c>
      <c r="L111" s="54">
        <v>4224</v>
      </c>
      <c r="M111" s="54">
        <v>1876</v>
      </c>
    </row>
    <row r="112" spans="1:13" x14ac:dyDescent="0.2">
      <c r="A112" s="52" t="s">
        <v>478</v>
      </c>
      <c r="B112" s="67" t="s">
        <v>477</v>
      </c>
      <c r="C112" s="52" t="s">
        <v>24</v>
      </c>
      <c r="D112" s="53" t="s">
        <v>27</v>
      </c>
      <c r="E112" s="53" t="s">
        <v>28</v>
      </c>
      <c r="F112" s="54">
        <v>1</v>
      </c>
      <c r="G112" s="54">
        <v>2</v>
      </c>
      <c r="H112" s="54">
        <v>0</v>
      </c>
      <c r="I112" s="54">
        <v>3</v>
      </c>
      <c r="J112" s="54">
        <v>7600</v>
      </c>
      <c r="K112" s="54">
        <v>1250</v>
      </c>
      <c r="L112" s="54">
        <v>8850</v>
      </c>
      <c r="M112" s="54">
        <v>3118</v>
      </c>
    </row>
    <row r="113" spans="1:13" x14ac:dyDescent="0.2">
      <c r="A113" s="52" t="s">
        <v>482</v>
      </c>
      <c r="B113" s="67" t="s">
        <v>481</v>
      </c>
      <c r="C113" s="52" t="s">
        <v>24</v>
      </c>
      <c r="D113" s="53" t="s">
        <v>67</v>
      </c>
      <c r="E113" s="53" t="s">
        <v>68</v>
      </c>
      <c r="F113" s="54">
        <v>1</v>
      </c>
      <c r="G113" s="54">
        <v>0</v>
      </c>
      <c r="H113" s="54">
        <v>0</v>
      </c>
      <c r="I113" s="54">
        <v>1</v>
      </c>
      <c r="J113" s="54">
        <v>2376</v>
      </c>
      <c r="K113" s="56">
        <v>0</v>
      </c>
      <c r="L113" s="54">
        <v>2376</v>
      </c>
      <c r="M113" s="54">
        <v>2120</v>
      </c>
    </row>
    <row r="114" spans="1:13" x14ac:dyDescent="0.2">
      <c r="A114" s="52" t="s">
        <v>494</v>
      </c>
      <c r="B114" s="67" t="s">
        <v>493</v>
      </c>
      <c r="C114" s="52" t="s">
        <v>24</v>
      </c>
      <c r="D114" s="53" t="s">
        <v>27</v>
      </c>
      <c r="E114" s="53" t="s">
        <v>28</v>
      </c>
      <c r="F114" s="54">
        <v>1</v>
      </c>
      <c r="G114" s="54">
        <v>0</v>
      </c>
      <c r="H114" s="54">
        <v>0</v>
      </c>
      <c r="I114" s="54">
        <v>1</v>
      </c>
      <c r="J114" s="54">
        <v>3200</v>
      </c>
      <c r="K114" s="54">
        <v>0</v>
      </c>
      <c r="L114" s="54">
        <v>3200</v>
      </c>
      <c r="M114" s="54">
        <v>2444</v>
      </c>
    </row>
    <row r="115" spans="1:13" x14ac:dyDescent="0.2">
      <c r="A115" s="52" t="s">
        <v>496</v>
      </c>
      <c r="B115" s="67" t="s">
        <v>495</v>
      </c>
      <c r="C115" s="52" t="s">
        <v>24</v>
      </c>
      <c r="D115" s="53" t="s">
        <v>67</v>
      </c>
      <c r="E115" s="53" t="s">
        <v>68</v>
      </c>
      <c r="F115" s="54">
        <v>1</v>
      </c>
      <c r="G115" s="54">
        <v>0</v>
      </c>
      <c r="H115" s="54">
        <v>0</v>
      </c>
      <c r="I115" s="54">
        <v>1</v>
      </c>
      <c r="J115" s="54">
        <v>4500</v>
      </c>
      <c r="K115" s="54">
        <v>0</v>
      </c>
      <c r="L115" s="54">
        <v>4500</v>
      </c>
      <c r="M115" s="54">
        <v>2240</v>
      </c>
    </row>
    <row r="116" spans="1:13" x14ac:dyDescent="0.2">
      <c r="A116" s="52" t="s">
        <v>504</v>
      </c>
      <c r="B116" s="67" t="s">
        <v>503</v>
      </c>
      <c r="C116" s="52" t="s">
        <v>24</v>
      </c>
      <c r="D116" s="53" t="s">
        <v>27</v>
      </c>
      <c r="E116" s="53" t="s">
        <v>28</v>
      </c>
      <c r="F116" s="54">
        <v>1</v>
      </c>
      <c r="G116" s="54">
        <v>0</v>
      </c>
      <c r="H116" s="54">
        <v>0</v>
      </c>
      <c r="I116" s="54">
        <v>1</v>
      </c>
      <c r="J116" s="54">
        <v>5612</v>
      </c>
      <c r="K116" s="54">
        <v>0</v>
      </c>
      <c r="L116" s="54">
        <v>5612</v>
      </c>
      <c r="M116" s="54">
        <v>2346</v>
      </c>
    </row>
    <row r="117" spans="1:13" x14ac:dyDescent="0.2">
      <c r="A117" s="52" t="s">
        <v>506</v>
      </c>
      <c r="B117" s="67" t="s">
        <v>505</v>
      </c>
      <c r="C117" s="52" t="s">
        <v>24</v>
      </c>
      <c r="D117" s="53" t="s">
        <v>27</v>
      </c>
      <c r="E117" s="53" t="s">
        <v>28</v>
      </c>
      <c r="F117" s="54">
        <v>1</v>
      </c>
      <c r="G117" s="54">
        <v>0</v>
      </c>
      <c r="H117" s="54">
        <v>0</v>
      </c>
      <c r="I117" s="54">
        <v>1</v>
      </c>
      <c r="J117" s="54">
        <v>7025</v>
      </c>
      <c r="K117" s="54">
        <v>0</v>
      </c>
      <c r="L117" s="54">
        <v>7025</v>
      </c>
      <c r="M117" s="54">
        <v>2638</v>
      </c>
    </row>
    <row r="118" spans="1:13" x14ac:dyDescent="0.2">
      <c r="A118" s="52" t="s">
        <v>512</v>
      </c>
      <c r="B118" s="67" t="s">
        <v>511</v>
      </c>
      <c r="C118" s="52" t="s">
        <v>24</v>
      </c>
      <c r="D118" s="53" t="s">
        <v>67</v>
      </c>
      <c r="E118" s="53" t="s">
        <v>68</v>
      </c>
      <c r="F118" s="54">
        <v>1</v>
      </c>
      <c r="G118" s="54">
        <v>0</v>
      </c>
      <c r="H118" s="54">
        <v>0</v>
      </c>
      <c r="I118" s="54">
        <v>1</v>
      </c>
      <c r="J118" s="54">
        <v>1800</v>
      </c>
      <c r="K118" s="54">
        <v>0</v>
      </c>
      <c r="L118" s="54">
        <v>1800</v>
      </c>
      <c r="M118" s="54">
        <v>1820</v>
      </c>
    </row>
    <row r="119" spans="1:13" x14ac:dyDescent="0.2">
      <c r="A119" s="52" t="s">
        <v>530</v>
      </c>
      <c r="B119" s="67" t="s">
        <v>529</v>
      </c>
      <c r="C119" s="52" t="s">
        <v>24</v>
      </c>
      <c r="D119" s="53" t="s">
        <v>22</v>
      </c>
      <c r="E119" s="53" t="s">
        <v>23</v>
      </c>
      <c r="F119" s="54">
        <v>1</v>
      </c>
      <c r="G119" s="54">
        <v>0</v>
      </c>
      <c r="H119" s="54">
        <v>0</v>
      </c>
      <c r="I119" s="54">
        <v>1</v>
      </c>
      <c r="J119" s="54">
        <v>3750</v>
      </c>
      <c r="K119" s="54">
        <v>0</v>
      </c>
      <c r="L119" s="54">
        <v>3750</v>
      </c>
      <c r="M119" s="54">
        <v>2184</v>
      </c>
    </row>
    <row r="120" spans="1:13" x14ac:dyDescent="0.2">
      <c r="A120" s="52" t="s">
        <v>532</v>
      </c>
      <c r="B120" s="67" t="s">
        <v>531</v>
      </c>
      <c r="C120" s="52" t="s">
        <v>24</v>
      </c>
      <c r="D120" s="53" t="s">
        <v>27</v>
      </c>
      <c r="E120" s="53" t="s">
        <v>28</v>
      </c>
      <c r="F120" s="54">
        <v>1</v>
      </c>
      <c r="G120" s="54">
        <v>0</v>
      </c>
      <c r="H120" s="54">
        <v>0</v>
      </c>
      <c r="I120" s="54">
        <v>1</v>
      </c>
      <c r="J120" s="54">
        <v>15000</v>
      </c>
      <c r="K120" s="54">
        <v>0</v>
      </c>
      <c r="L120" s="54">
        <v>15000</v>
      </c>
      <c r="M120" s="54">
        <v>1690</v>
      </c>
    </row>
    <row r="121" spans="1:13" x14ac:dyDescent="0.2">
      <c r="A121" s="52" t="s">
        <v>544</v>
      </c>
      <c r="B121" s="67" t="s">
        <v>543</v>
      </c>
      <c r="C121" s="52" t="s">
        <v>24</v>
      </c>
      <c r="D121" s="53" t="s">
        <v>22</v>
      </c>
      <c r="E121" s="53" t="s">
        <v>23</v>
      </c>
      <c r="F121" s="54">
        <v>1</v>
      </c>
      <c r="G121" s="54">
        <v>0</v>
      </c>
      <c r="H121" s="54">
        <v>0</v>
      </c>
      <c r="I121" s="54">
        <v>1</v>
      </c>
      <c r="J121" s="54">
        <v>18000</v>
      </c>
      <c r="K121" s="54">
        <v>0</v>
      </c>
      <c r="L121" s="54">
        <v>18000</v>
      </c>
      <c r="M121" s="54">
        <v>2651</v>
      </c>
    </row>
    <row r="122" spans="1:13" x14ac:dyDescent="0.2">
      <c r="A122" s="52" t="s">
        <v>546</v>
      </c>
      <c r="B122" s="67" t="s">
        <v>545</v>
      </c>
      <c r="C122" s="52" t="s">
        <v>24</v>
      </c>
      <c r="D122" s="53" t="s">
        <v>22</v>
      </c>
      <c r="E122" s="53" t="s">
        <v>23</v>
      </c>
      <c r="F122" s="54">
        <v>1</v>
      </c>
      <c r="G122" s="54">
        <v>0</v>
      </c>
      <c r="H122" s="54">
        <v>0</v>
      </c>
      <c r="I122" s="54">
        <v>1</v>
      </c>
      <c r="J122" s="54">
        <v>10990</v>
      </c>
      <c r="K122" s="54">
        <v>0</v>
      </c>
      <c r="L122" s="54">
        <v>10990</v>
      </c>
      <c r="M122" s="54">
        <v>2188</v>
      </c>
    </row>
    <row r="123" spans="1:13" x14ac:dyDescent="0.2">
      <c r="A123" s="52" t="s">
        <v>550</v>
      </c>
      <c r="B123" s="67" t="s">
        <v>549</v>
      </c>
      <c r="C123" s="52" t="s">
        <v>24</v>
      </c>
      <c r="D123" s="53" t="s">
        <v>27</v>
      </c>
      <c r="E123" s="53" t="s">
        <v>28</v>
      </c>
      <c r="F123" s="54">
        <v>1</v>
      </c>
      <c r="G123" s="54">
        <v>0</v>
      </c>
      <c r="H123" s="54">
        <v>0</v>
      </c>
      <c r="I123" s="54">
        <v>1</v>
      </c>
      <c r="J123" s="54">
        <v>1375</v>
      </c>
      <c r="K123" s="54">
        <v>0</v>
      </c>
      <c r="L123" s="54">
        <v>1375</v>
      </c>
      <c r="M123" s="54">
        <v>1560</v>
      </c>
    </row>
    <row r="124" spans="1:13" x14ac:dyDescent="0.2">
      <c r="A124" s="52" t="s">
        <v>558</v>
      </c>
      <c r="B124" s="67" t="s">
        <v>557</v>
      </c>
      <c r="C124" s="52" t="s">
        <v>24</v>
      </c>
      <c r="D124" s="53" t="s">
        <v>27</v>
      </c>
      <c r="E124" s="53" t="s">
        <v>28</v>
      </c>
      <c r="F124" s="54">
        <v>1</v>
      </c>
      <c r="G124" s="54">
        <v>0</v>
      </c>
      <c r="H124" s="54">
        <v>0</v>
      </c>
      <c r="I124" s="54">
        <v>1</v>
      </c>
      <c r="J124" s="54">
        <v>7400</v>
      </c>
      <c r="K124" s="54">
        <v>0</v>
      </c>
      <c r="L124" s="54">
        <v>7400</v>
      </c>
      <c r="M124" s="54">
        <v>2151</v>
      </c>
    </row>
    <row r="125" spans="1:13" x14ac:dyDescent="0.2">
      <c r="A125" s="52" t="s">
        <v>578</v>
      </c>
      <c r="B125" s="67" t="s">
        <v>577</v>
      </c>
      <c r="C125" s="52" t="s">
        <v>24</v>
      </c>
      <c r="D125" s="53" t="s">
        <v>27</v>
      </c>
      <c r="E125" s="53" t="s">
        <v>28</v>
      </c>
      <c r="F125" s="54">
        <v>1</v>
      </c>
      <c r="G125" s="54">
        <v>0</v>
      </c>
      <c r="H125" s="54">
        <v>0</v>
      </c>
      <c r="I125" s="54">
        <v>1</v>
      </c>
      <c r="J125" s="54">
        <v>3700</v>
      </c>
      <c r="K125" s="54">
        <v>0</v>
      </c>
      <c r="L125" s="54">
        <v>3700</v>
      </c>
      <c r="M125" s="54">
        <v>2080</v>
      </c>
    </row>
    <row r="126" spans="1:13" x14ac:dyDescent="0.2">
      <c r="A126" s="52" t="s">
        <v>584</v>
      </c>
      <c r="B126" s="67" t="s">
        <v>583</v>
      </c>
      <c r="C126" s="52" t="s">
        <v>24</v>
      </c>
      <c r="D126" s="53" t="s">
        <v>67</v>
      </c>
      <c r="E126" s="53" t="s">
        <v>68</v>
      </c>
      <c r="F126" s="54">
        <v>1</v>
      </c>
      <c r="G126" s="54">
        <v>0</v>
      </c>
      <c r="H126" s="54">
        <v>0</v>
      </c>
      <c r="I126" s="54">
        <v>1</v>
      </c>
      <c r="J126" s="54">
        <v>2473</v>
      </c>
      <c r="K126" s="54">
        <v>0</v>
      </c>
      <c r="L126" s="54">
        <v>2473</v>
      </c>
      <c r="M126" s="54">
        <v>2076</v>
      </c>
    </row>
    <row r="127" spans="1:13" x14ac:dyDescent="0.2">
      <c r="A127" s="52" t="s">
        <v>590</v>
      </c>
      <c r="B127" s="67" t="s">
        <v>589</v>
      </c>
      <c r="C127" s="52" t="s">
        <v>24</v>
      </c>
      <c r="D127" s="53" t="s">
        <v>27</v>
      </c>
      <c r="E127" s="53" t="s">
        <v>28</v>
      </c>
      <c r="F127" s="54">
        <v>1</v>
      </c>
      <c r="G127" s="54">
        <v>0</v>
      </c>
      <c r="H127" s="54">
        <v>0</v>
      </c>
      <c r="I127" s="54">
        <v>1</v>
      </c>
      <c r="J127" s="54">
        <v>3128</v>
      </c>
      <c r="K127" s="54">
        <v>0</v>
      </c>
      <c r="L127" s="54">
        <v>3128</v>
      </c>
      <c r="M127" s="54">
        <v>2704</v>
      </c>
    </row>
    <row r="128" spans="1:13" x14ac:dyDescent="0.2">
      <c r="A128" s="52" t="s">
        <v>602</v>
      </c>
      <c r="B128" s="67" t="s">
        <v>601</v>
      </c>
      <c r="C128" s="52" t="s">
        <v>24</v>
      </c>
      <c r="D128" s="53" t="s">
        <v>27</v>
      </c>
      <c r="E128" s="53" t="s">
        <v>28</v>
      </c>
      <c r="F128" s="54">
        <v>1</v>
      </c>
      <c r="G128" s="54">
        <v>0</v>
      </c>
      <c r="H128" s="54">
        <v>0</v>
      </c>
      <c r="I128" s="54">
        <v>1</v>
      </c>
      <c r="J128" s="54">
        <v>7000</v>
      </c>
      <c r="K128" s="54">
        <v>0</v>
      </c>
      <c r="L128" s="54">
        <v>7000</v>
      </c>
      <c r="M128" s="54">
        <v>2548</v>
      </c>
    </row>
    <row r="129" spans="1:13" x14ac:dyDescent="0.2">
      <c r="A129" s="52" t="s">
        <v>606</v>
      </c>
      <c r="B129" s="67" t="s">
        <v>605</v>
      </c>
      <c r="C129" s="52" t="s">
        <v>24</v>
      </c>
      <c r="D129" s="53" t="s">
        <v>27</v>
      </c>
      <c r="E129" s="53" t="s">
        <v>28</v>
      </c>
      <c r="F129" s="54">
        <v>1</v>
      </c>
      <c r="G129" s="54">
        <v>0</v>
      </c>
      <c r="H129" s="54">
        <v>0</v>
      </c>
      <c r="I129" s="54">
        <v>1</v>
      </c>
      <c r="J129" s="54">
        <v>1750</v>
      </c>
      <c r="K129" s="54">
        <v>0</v>
      </c>
      <c r="L129" s="54">
        <v>1750</v>
      </c>
      <c r="M129" s="54">
        <v>1352</v>
      </c>
    </row>
    <row r="130" spans="1:13" x14ac:dyDescent="0.2">
      <c r="A130" s="52" t="s">
        <v>620</v>
      </c>
      <c r="B130" s="67" t="s">
        <v>619</v>
      </c>
      <c r="C130" s="52" t="s">
        <v>24</v>
      </c>
      <c r="D130" s="53" t="s">
        <v>27</v>
      </c>
      <c r="E130" s="53" t="s">
        <v>28</v>
      </c>
      <c r="F130" s="54">
        <v>1</v>
      </c>
      <c r="G130" s="54">
        <v>0</v>
      </c>
      <c r="H130" s="54">
        <v>0</v>
      </c>
      <c r="I130" s="54">
        <v>1</v>
      </c>
      <c r="J130" s="54">
        <v>2500</v>
      </c>
      <c r="K130" s="54">
        <v>0</v>
      </c>
      <c r="L130" s="54">
        <v>2500</v>
      </c>
      <c r="M130" s="54">
        <v>1612</v>
      </c>
    </row>
    <row r="131" spans="1:13" x14ac:dyDescent="0.2">
      <c r="A131" s="52" t="s">
        <v>626</v>
      </c>
      <c r="B131" s="67" t="s">
        <v>625</v>
      </c>
      <c r="C131" s="52" t="s">
        <v>24</v>
      </c>
      <c r="D131" s="53" t="s">
        <v>67</v>
      </c>
      <c r="E131" s="53" t="s">
        <v>68</v>
      </c>
      <c r="F131" s="54">
        <v>1</v>
      </c>
      <c r="G131" s="54">
        <v>0</v>
      </c>
      <c r="H131" s="54">
        <v>0</v>
      </c>
      <c r="I131" s="54">
        <v>1</v>
      </c>
      <c r="J131" s="54">
        <v>2560</v>
      </c>
      <c r="K131" s="54">
        <v>0</v>
      </c>
      <c r="L131" s="54">
        <v>2560</v>
      </c>
      <c r="M131" s="54">
        <v>1838</v>
      </c>
    </row>
    <row r="132" spans="1:13" x14ac:dyDescent="0.2">
      <c r="A132" s="52" t="s">
        <v>628</v>
      </c>
      <c r="B132" s="67" t="s">
        <v>627</v>
      </c>
      <c r="C132" s="52" t="s">
        <v>24</v>
      </c>
      <c r="D132" s="53" t="s">
        <v>67</v>
      </c>
      <c r="E132" s="53" t="s">
        <v>68</v>
      </c>
      <c r="F132" s="54">
        <v>1</v>
      </c>
      <c r="G132" s="54">
        <v>0</v>
      </c>
      <c r="H132" s="54">
        <v>0</v>
      </c>
      <c r="I132" s="54">
        <v>1</v>
      </c>
      <c r="J132" s="54">
        <v>5300</v>
      </c>
      <c r="K132" s="54">
        <v>0</v>
      </c>
      <c r="L132" s="54">
        <v>5300</v>
      </c>
      <c r="M132" s="54">
        <v>2049</v>
      </c>
    </row>
    <row r="133" spans="1:13" x14ac:dyDescent="0.2">
      <c r="A133" s="52" t="s">
        <v>634</v>
      </c>
      <c r="B133" s="67" t="s">
        <v>633</v>
      </c>
      <c r="C133" s="52" t="s">
        <v>24</v>
      </c>
      <c r="D133" s="53" t="s">
        <v>27</v>
      </c>
      <c r="E133" s="53" t="s">
        <v>28</v>
      </c>
      <c r="F133" s="54">
        <v>1</v>
      </c>
      <c r="G133" s="54">
        <v>0</v>
      </c>
      <c r="H133" s="54">
        <v>0</v>
      </c>
      <c r="I133" s="54">
        <v>1</v>
      </c>
      <c r="J133" s="54">
        <v>2400</v>
      </c>
      <c r="K133" s="54">
        <v>0</v>
      </c>
      <c r="L133" s="54">
        <v>2400</v>
      </c>
      <c r="M133" s="54">
        <v>1698</v>
      </c>
    </row>
    <row r="134" spans="1:13" x14ac:dyDescent="0.2">
      <c r="A134" s="52" t="s">
        <v>640</v>
      </c>
      <c r="B134" s="67" t="s">
        <v>639</v>
      </c>
      <c r="C134" s="52" t="s">
        <v>24</v>
      </c>
      <c r="D134" s="53" t="s">
        <v>22</v>
      </c>
      <c r="E134" s="53" t="s">
        <v>23</v>
      </c>
      <c r="F134" s="54">
        <v>1</v>
      </c>
      <c r="G134" s="54">
        <v>0</v>
      </c>
      <c r="H134" s="54">
        <v>0</v>
      </c>
      <c r="I134" s="54">
        <v>1</v>
      </c>
      <c r="J134" s="54">
        <v>5065</v>
      </c>
      <c r="K134" s="54">
        <v>0</v>
      </c>
      <c r="L134" s="54">
        <v>5065</v>
      </c>
      <c r="M134" s="54">
        <v>2392</v>
      </c>
    </row>
    <row r="135" spans="1:13" x14ac:dyDescent="0.2">
      <c r="A135" s="52" t="s">
        <v>654</v>
      </c>
      <c r="B135" s="67" t="s">
        <v>653</v>
      </c>
      <c r="C135" s="52" t="s">
        <v>24</v>
      </c>
      <c r="D135" s="53" t="s">
        <v>17</v>
      </c>
      <c r="E135" s="53" t="s">
        <v>18</v>
      </c>
      <c r="F135" s="54">
        <v>1</v>
      </c>
      <c r="G135" s="54">
        <v>0</v>
      </c>
      <c r="H135" s="54">
        <v>0</v>
      </c>
      <c r="I135" s="54">
        <v>1</v>
      </c>
      <c r="J135" s="54">
        <v>6000</v>
      </c>
      <c r="K135" s="54">
        <v>0</v>
      </c>
      <c r="L135" s="54">
        <v>6000</v>
      </c>
      <c r="M135" s="54">
        <v>1664</v>
      </c>
    </row>
    <row r="136" spans="1:13" x14ac:dyDescent="0.2">
      <c r="A136" s="52" t="s">
        <v>666</v>
      </c>
      <c r="B136" s="67" t="s">
        <v>665</v>
      </c>
      <c r="C136" s="52" t="s">
        <v>24</v>
      </c>
      <c r="D136" s="53" t="s">
        <v>17</v>
      </c>
      <c r="E136" s="53" t="s">
        <v>18</v>
      </c>
      <c r="F136" s="54">
        <v>1</v>
      </c>
      <c r="G136" s="54">
        <v>1</v>
      </c>
      <c r="H136" s="54">
        <v>0</v>
      </c>
      <c r="I136" s="54">
        <v>2</v>
      </c>
      <c r="J136" s="54">
        <v>9077</v>
      </c>
      <c r="K136" s="54">
        <v>500</v>
      </c>
      <c r="L136" s="54">
        <v>9577</v>
      </c>
      <c r="M136" s="54">
        <v>3562</v>
      </c>
    </row>
    <row r="137" spans="1:13" x14ac:dyDescent="0.2">
      <c r="A137" s="52" t="s">
        <v>682</v>
      </c>
      <c r="B137" s="67" t="s">
        <v>681</v>
      </c>
      <c r="C137" s="52" t="s">
        <v>24</v>
      </c>
      <c r="D137" s="53" t="s">
        <v>22</v>
      </c>
      <c r="E137" s="53" t="s">
        <v>23</v>
      </c>
      <c r="F137" s="54">
        <v>1</v>
      </c>
      <c r="G137" s="54">
        <v>0</v>
      </c>
      <c r="H137" s="54">
        <v>0</v>
      </c>
      <c r="I137" s="54">
        <v>1</v>
      </c>
      <c r="J137" s="54">
        <v>7000</v>
      </c>
      <c r="K137" s="54">
        <v>0</v>
      </c>
      <c r="L137" s="54">
        <v>7000</v>
      </c>
      <c r="M137" s="54">
        <v>2392</v>
      </c>
    </row>
    <row r="138" spans="1:13" x14ac:dyDescent="0.2">
      <c r="A138" s="52" t="s">
        <v>692</v>
      </c>
      <c r="B138" s="67" t="s">
        <v>691</v>
      </c>
      <c r="C138" s="52" t="s">
        <v>24</v>
      </c>
      <c r="D138" s="53" t="s">
        <v>22</v>
      </c>
      <c r="E138" s="53" t="s">
        <v>23</v>
      </c>
      <c r="F138" s="54">
        <v>1</v>
      </c>
      <c r="G138" s="54">
        <v>0</v>
      </c>
      <c r="H138" s="54">
        <v>0</v>
      </c>
      <c r="I138" s="54">
        <v>1</v>
      </c>
      <c r="J138" s="54">
        <v>4752</v>
      </c>
      <c r="K138" s="54">
        <v>0</v>
      </c>
      <c r="L138" s="54">
        <v>4752</v>
      </c>
      <c r="M138" s="54">
        <v>1897</v>
      </c>
    </row>
    <row r="139" spans="1:13" x14ac:dyDescent="0.2">
      <c r="A139" s="52" t="s">
        <v>696</v>
      </c>
      <c r="B139" s="67" t="s">
        <v>695</v>
      </c>
      <c r="C139" s="52" t="s">
        <v>24</v>
      </c>
      <c r="D139" s="53" t="s">
        <v>27</v>
      </c>
      <c r="E139" s="53" t="s">
        <v>28</v>
      </c>
      <c r="F139" s="54">
        <v>1</v>
      </c>
      <c r="G139" s="54">
        <v>0</v>
      </c>
      <c r="H139" s="54">
        <v>0</v>
      </c>
      <c r="I139" s="54">
        <v>1</v>
      </c>
      <c r="J139" s="54">
        <v>5494</v>
      </c>
      <c r="K139" s="54">
        <v>0</v>
      </c>
      <c r="L139" s="54">
        <v>5494</v>
      </c>
      <c r="M139" s="54">
        <v>2381</v>
      </c>
    </row>
    <row r="140" spans="1:13" x14ac:dyDescent="0.2">
      <c r="A140" s="52" t="s">
        <v>702</v>
      </c>
      <c r="B140" s="67" t="s">
        <v>701</v>
      </c>
      <c r="C140" s="52" t="s">
        <v>24</v>
      </c>
      <c r="D140" s="53" t="s">
        <v>67</v>
      </c>
      <c r="E140" s="53" t="s">
        <v>68</v>
      </c>
      <c r="F140" s="54">
        <v>1</v>
      </c>
      <c r="G140" s="54">
        <v>0</v>
      </c>
      <c r="H140" s="54">
        <v>0</v>
      </c>
      <c r="I140" s="54">
        <v>1</v>
      </c>
      <c r="J140" s="54">
        <v>13130</v>
      </c>
      <c r="K140" s="54">
        <v>0</v>
      </c>
      <c r="L140" s="54">
        <v>13130</v>
      </c>
      <c r="M140" s="54">
        <v>1716</v>
      </c>
    </row>
    <row r="141" spans="1:13" x14ac:dyDescent="0.2">
      <c r="A141" s="52" t="s">
        <v>710</v>
      </c>
      <c r="B141" s="67" t="s">
        <v>709</v>
      </c>
      <c r="C141" s="52" t="s">
        <v>24</v>
      </c>
      <c r="D141" s="53" t="s">
        <v>67</v>
      </c>
      <c r="E141" s="53" t="s">
        <v>68</v>
      </c>
      <c r="F141" s="54">
        <v>1</v>
      </c>
      <c r="G141" s="54">
        <v>0</v>
      </c>
      <c r="H141" s="54">
        <v>0</v>
      </c>
      <c r="I141" s="54">
        <v>1</v>
      </c>
      <c r="J141" s="54">
        <v>906</v>
      </c>
      <c r="K141" s="54">
        <v>0</v>
      </c>
      <c r="L141" s="54">
        <v>906</v>
      </c>
      <c r="M141" s="54">
        <v>1976</v>
      </c>
    </row>
    <row r="142" spans="1:13" x14ac:dyDescent="0.2">
      <c r="A142" s="52" t="s">
        <v>732</v>
      </c>
      <c r="B142" s="67" t="s">
        <v>731</v>
      </c>
      <c r="C142" s="52" t="s">
        <v>24</v>
      </c>
      <c r="D142" s="53" t="s">
        <v>27</v>
      </c>
      <c r="E142" s="53" t="s">
        <v>28</v>
      </c>
      <c r="F142" s="54">
        <v>1</v>
      </c>
      <c r="G142" s="54">
        <v>0</v>
      </c>
      <c r="H142" s="54">
        <v>0</v>
      </c>
      <c r="I142" s="54">
        <v>1</v>
      </c>
      <c r="J142" s="54">
        <v>5300</v>
      </c>
      <c r="K142" s="54">
        <v>0</v>
      </c>
      <c r="L142" s="54">
        <v>5300</v>
      </c>
      <c r="M142" s="54">
        <v>1654</v>
      </c>
    </row>
    <row r="143" spans="1:13" x14ac:dyDescent="0.2">
      <c r="A143" s="52" t="s">
        <v>744</v>
      </c>
      <c r="B143" s="67" t="s">
        <v>743</v>
      </c>
      <c r="C143" s="52" t="s">
        <v>24</v>
      </c>
      <c r="D143" s="53" t="s">
        <v>745</v>
      </c>
      <c r="E143" s="53" t="s">
        <v>15</v>
      </c>
      <c r="F143" s="54">
        <v>1</v>
      </c>
      <c r="G143" s="54">
        <v>0</v>
      </c>
      <c r="H143" s="54">
        <v>0</v>
      </c>
      <c r="I143" s="54">
        <v>1</v>
      </c>
      <c r="J143" s="54">
        <v>4776</v>
      </c>
      <c r="K143" s="54">
        <v>0</v>
      </c>
      <c r="L143" s="54">
        <v>4776</v>
      </c>
      <c r="M143" s="54">
        <v>2262</v>
      </c>
    </row>
    <row r="144" spans="1:13" x14ac:dyDescent="0.2">
      <c r="A144" s="52" t="s">
        <v>753</v>
      </c>
      <c r="B144" s="67" t="s">
        <v>752</v>
      </c>
      <c r="C144" s="52" t="s">
        <v>24</v>
      </c>
      <c r="D144" s="53" t="s">
        <v>27</v>
      </c>
      <c r="E144" s="53" t="s">
        <v>28</v>
      </c>
      <c r="F144" s="54">
        <v>1</v>
      </c>
      <c r="G144" s="54">
        <v>0</v>
      </c>
      <c r="H144" s="54">
        <v>0</v>
      </c>
      <c r="I144" s="54">
        <v>1</v>
      </c>
      <c r="J144" s="54">
        <v>2600</v>
      </c>
      <c r="K144" s="54">
        <v>0</v>
      </c>
      <c r="L144" s="54">
        <v>2600</v>
      </c>
      <c r="M144" s="54">
        <v>1508</v>
      </c>
    </row>
    <row r="145" spans="1:13" x14ac:dyDescent="0.2">
      <c r="A145" s="52" t="s">
        <v>761</v>
      </c>
      <c r="B145" s="67" t="s">
        <v>760</v>
      </c>
      <c r="C145" s="52" t="s">
        <v>24</v>
      </c>
      <c r="D145" s="53" t="s">
        <v>67</v>
      </c>
      <c r="E145" s="53" t="s">
        <v>68</v>
      </c>
      <c r="F145" s="54">
        <v>1</v>
      </c>
      <c r="G145" s="54">
        <v>0</v>
      </c>
      <c r="H145" s="54">
        <v>0</v>
      </c>
      <c r="I145" s="54">
        <v>1</v>
      </c>
      <c r="J145" s="54">
        <v>2000</v>
      </c>
      <c r="K145" s="56">
        <v>0</v>
      </c>
      <c r="L145" s="54">
        <v>2000</v>
      </c>
      <c r="M145" s="54">
        <v>2124</v>
      </c>
    </row>
    <row r="146" spans="1:13" x14ac:dyDescent="0.2">
      <c r="A146" s="52" t="s">
        <v>769</v>
      </c>
      <c r="B146" s="67" t="s">
        <v>768</v>
      </c>
      <c r="C146" s="52" t="s">
        <v>24</v>
      </c>
      <c r="D146" s="53" t="s">
        <v>67</v>
      </c>
      <c r="E146" s="53" t="s">
        <v>68</v>
      </c>
      <c r="F146" s="54">
        <v>1</v>
      </c>
      <c r="G146" s="54">
        <v>0</v>
      </c>
      <c r="H146" s="54">
        <v>0</v>
      </c>
      <c r="I146" s="54">
        <v>1</v>
      </c>
      <c r="J146" s="54">
        <v>9000</v>
      </c>
      <c r="K146" s="54">
        <v>0</v>
      </c>
      <c r="L146" s="54">
        <v>9000</v>
      </c>
      <c r="M146" s="54">
        <v>2078</v>
      </c>
    </row>
    <row r="147" spans="1:13" x14ac:dyDescent="0.2">
      <c r="A147" s="52" t="s">
        <v>783</v>
      </c>
      <c r="B147" s="67" t="s">
        <v>782</v>
      </c>
      <c r="C147" s="52" t="s">
        <v>24</v>
      </c>
      <c r="D147" s="53" t="s">
        <v>27</v>
      </c>
      <c r="E147" s="53" t="s">
        <v>28</v>
      </c>
      <c r="F147" s="54">
        <v>1</v>
      </c>
      <c r="G147" s="54">
        <v>0</v>
      </c>
      <c r="H147" s="54">
        <v>0</v>
      </c>
      <c r="I147" s="54">
        <v>1</v>
      </c>
      <c r="J147" s="54">
        <v>3000</v>
      </c>
      <c r="K147" s="54">
        <v>0</v>
      </c>
      <c r="L147" s="54">
        <v>3000</v>
      </c>
      <c r="M147" s="54">
        <v>2046</v>
      </c>
    </row>
    <row r="148" spans="1:13" x14ac:dyDescent="0.2">
      <c r="A148" s="52" t="s">
        <v>789</v>
      </c>
      <c r="B148" s="67" t="s">
        <v>788</v>
      </c>
      <c r="C148" s="52" t="s">
        <v>24</v>
      </c>
      <c r="D148" s="53" t="s">
        <v>22</v>
      </c>
      <c r="E148" s="53" t="s">
        <v>23</v>
      </c>
      <c r="F148" s="54">
        <v>1</v>
      </c>
      <c r="G148" s="54">
        <v>0</v>
      </c>
      <c r="H148" s="54">
        <v>0</v>
      </c>
      <c r="I148" s="54">
        <v>1</v>
      </c>
      <c r="J148" s="54">
        <v>5500</v>
      </c>
      <c r="K148" s="54">
        <v>0</v>
      </c>
      <c r="L148" s="54">
        <v>5500</v>
      </c>
      <c r="M148" s="54">
        <v>1976</v>
      </c>
    </row>
    <row r="149" spans="1:13" x14ac:dyDescent="0.2">
      <c r="A149" s="52" t="s">
        <v>801</v>
      </c>
      <c r="B149" s="67" t="s">
        <v>800</v>
      </c>
      <c r="C149" s="52" t="s">
        <v>24</v>
      </c>
      <c r="D149" s="53" t="s">
        <v>27</v>
      </c>
      <c r="E149" s="53" t="s">
        <v>28</v>
      </c>
      <c r="F149" s="54">
        <v>1</v>
      </c>
      <c r="G149" s="54">
        <v>0</v>
      </c>
      <c r="H149" s="54">
        <v>0</v>
      </c>
      <c r="I149" s="54">
        <v>1</v>
      </c>
      <c r="J149" s="54">
        <v>6400</v>
      </c>
      <c r="K149" s="54">
        <v>0</v>
      </c>
      <c r="L149" s="54">
        <v>6400</v>
      </c>
      <c r="M149" s="54">
        <v>2741</v>
      </c>
    </row>
    <row r="150" spans="1:13" x14ac:dyDescent="0.2">
      <c r="A150" s="52" t="s">
        <v>811</v>
      </c>
      <c r="B150" s="67" t="s">
        <v>810</v>
      </c>
      <c r="C150" s="52" t="s">
        <v>24</v>
      </c>
      <c r="D150" s="53" t="s">
        <v>14</v>
      </c>
      <c r="E150" s="53" t="s">
        <v>15</v>
      </c>
      <c r="F150" s="54">
        <v>1</v>
      </c>
      <c r="G150" s="54">
        <v>0</v>
      </c>
      <c r="H150" s="54">
        <v>0</v>
      </c>
      <c r="I150" s="54">
        <v>1</v>
      </c>
      <c r="J150" s="54">
        <v>10272</v>
      </c>
      <c r="K150" s="56">
        <v>0</v>
      </c>
      <c r="L150" s="54">
        <v>10272</v>
      </c>
      <c r="M150" s="54">
        <v>2444</v>
      </c>
    </row>
    <row r="151" spans="1:13" x14ac:dyDescent="0.2">
      <c r="A151" s="52" t="s">
        <v>829</v>
      </c>
      <c r="B151" s="67" t="s">
        <v>828</v>
      </c>
      <c r="C151" s="52" t="s">
        <v>24</v>
      </c>
      <c r="D151" s="53" t="s">
        <v>27</v>
      </c>
      <c r="E151" s="53" t="s">
        <v>28</v>
      </c>
      <c r="F151" s="54">
        <v>1</v>
      </c>
      <c r="G151" s="54">
        <v>0</v>
      </c>
      <c r="H151" s="54">
        <v>0</v>
      </c>
      <c r="I151" s="54">
        <v>1</v>
      </c>
      <c r="J151" s="54">
        <v>6600</v>
      </c>
      <c r="K151" s="54">
        <v>0</v>
      </c>
      <c r="L151" s="54">
        <v>6600</v>
      </c>
      <c r="M151" s="54">
        <v>2616</v>
      </c>
    </row>
    <row r="152" spans="1:13" x14ac:dyDescent="0.2">
      <c r="A152" s="52" t="s">
        <v>31</v>
      </c>
      <c r="B152" s="67" t="s">
        <v>30</v>
      </c>
      <c r="C152" s="52" t="s">
        <v>32</v>
      </c>
      <c r="D152" s="53" t="s">
        <v>27</v>
      </c>
      <c r="E152" s="53" t="s">
        <v>28</v>
      </c>
      <c r="F152" s="54">
        <v>1</v>
      </c>
      <c r="G152" s="54">
        <v>0</v>
      </c>
      <c r="H152" s="54">
        <v>0</v>
      </c>
      <c r="I152" s="54">
        <v>1</v>
      </c>
      <c r="J152" s="54">
        <v>12000</v>
      </c>
      <c r="K152" s="54">
        <v>0</v>
      </c>
      <c r="L152" s="54">
        <v>12000</v>
      </c>
      <c r="M152" s="54">
        <v>2360</v>
      </c>
    </row>
    <row r="153" spans="1:13" x14ac:dyDescent="0.2">
      <c r="A153" s="52" t="s">
        <v>34</v>
      </c>
      <c r="B153" s="67" t="s">
        <v>33</v>
      </c>
      <c r="C153" s="52" t="s">
        <v>32</v>
      </c>
      <c r="D153" s="53" t="s">
        <v>27</v>
      </c>
      <c r="E153" s="53" t="s">
        <v>28</v>
      </c>
      <c r="F153" s="54">
        <v>1</v>
      </c>
      <c r="G153" s="54">
        <v>0</v>
      </c>
      <c r="H153" s="54">
        <v>0</v>
      </c>
      <c r="I153" s="54">
        <v>1</v>
      </c>
      <c r="J153" s="54">
        <v>2177</v>
      </c>
      <c r="K153" s="54">
        <v>0</v>
      </c>
      <c r="L153" s="54">
        <v>2177</v>
      </c>
      <c r="M153" s="54">
        <v>2184</v>
      </c>
    </row>
    <row r="154" spans="1:13" x14ac:dyDescent="0.2">
      <c r="A154" s="52" t="s">
        <v>36</v>
      </c>
      <c r="B154" s="67" t="s">
        <v>35</v>
      </c>
      <c r="C154" s="52" t="s">
        <v>32</v>
      </c>
      <c r="D154" s="53" t="s">
        <v>22</v>
      </c>
      <c r="E154" s="53" t="s">
        <v>23</v>
      </c>
      <c r="F154" s="54">
        <v>1</v>
      </c>
      <c r="G154" s="54">
        <v>0</v>
      </c>
      <c r="H154" s="54">
        <v>0</v>
      </c>
      <c r="I154" s="54">
        <v>1</v>
      </c>
      <c r="J154" s="54">
        <v>16898</v>
      </c>
      <c r="K154" s="54">
        <v>0</v>
      </c>
      <c r="L154" s="54">
        <v>16898</v>
      </c>
      <c r="M154" s="54">
        <v>2214</v>
      </c>
    </row>
    <row r="155" spans="1:13" x14ac:dyDescent="0.2">
      <c r="A155" s="52" t="s">
        <v>38</v>
      </c>
      <c r="B155" s="67" t="s">
        <v>37</v>
      </c>
      <c r="C155" s="52" t="s">
        <v>32</v>
      </c>
      <c r="D155" s="53" t="s">
        <v>22</v>
      </c>
      <c r="E155" s="53" t="s">
        <v>23</v>
      </c>
      <c r="F155" s="54">
        <v>1</v>
      </c>
      <c r="G155" s="54">
        <v>3</v>
      </c>
      <c r="H155" s="54">
        <v>0</v>
      </c>
      <c r="I155" s="54">
        <v>4</v>
      </c>
      <c r="J155" s="54">
        <v>8200</v>
      </c>
      <c r="K155" s="54">
        <v>3600</v>
      </c>
      <c r="L155" s="54">
        <v>11800</v>
      </c>
      <c r="M155" s="54">
        <v>5907</v>
      </c>
    </row>
    <row r="156" spans="1:13" x14ac:dyDescent="0.2">
      <c r="A156" s="52" t="s">
        <v>49</v>
      </c>
      <c r="B156" s="67" t="s">
        <v>48</v>
      </c>
      <c r="C156" s="52" t="s">
        <v>32</v>
      </c>
      <c r="D156" s="53" t="s">
        <v>27</v>
      </c>
      <c r="E156" s="53" t="s">
        <v>28</v>
      </c>
      <c r="F156" s="54">
        <v>1</v>
      </c>
      <c r="G156" s="54">
        <v>0</v>
      </c>
      <c r="H156" s="54">
        <v>0</v>
      </c>
      <c r="I156" s="54">
        <v>1</v>
      </c>
      <c r="J156" s="54">
        <v>26000</v>
      </c>
      <c r="K156" s="54">
        <v>0</v>
      </c>
      <c r="L156" s="54">
        <v>26000</v>
      </c>
      <c r="M156" s="54">
        <v>3137</v>
      </c>
    </row>
    <row r="157" spans="1:13" x14ac:dyDescent="0.2">
      <c r="A157" s="52" t="s">
        <v>57</v>
      </c>
      <c r="B157" s="67" t="s">
        <v>56</v>
      </c>
      <c r="C157" s="52" t="s">
        <v>32</v>
      </c>
      <c r="D157" s="53" t="s">
        <v>27</v>
      </c>
      <c r="E157" s="53" t="s">
        <v>28</v>
      </c>
      <c r="F157" s="54">
        <v>1</v>
      </c>
      <c r="G157" s="54">
        <v>0</v>
      </c>
      <c r="H157" s="54">
        <v>0</v>
      </c>
      <c r="I157" s="54">
        <v>1</v>
      </c>
      <c r="J157" s="54">
        <v>13600</v>
      </c>
      <c r="K157" s="54">
        <v>0</v>
      </c>
      <c r="L157" s="54">
        <v>13600</v>
      </c>
      <c r="M157" s="54">
        <v>2110</v>
      </c>
    </row>
    <row r="158" spans="1:13" x14ac:dyDescent="0.2">
      <c r="A158" s="52" t="s">
        <v>74</v>
      </c>
      <c r="B158" s="67" t="s">
        <v>73</v>
      </c>
      <c r="C158" s="52" t="s">
        <v>32</v>
      </c>
      <c r="D158" s="53" t="s">
        <v>22</v>
      </c>
      <c r="E158" s="53" t="s">
        <v>23</v>
      </c>
      <c r="F158" s="54">
        <v>1</v>
      </c>
      <c r="G158" s="54">
        <v>0</v>
      </c>
      <c r="H158" s="54">
        <v>0</v>
      </c>
      <c r="I158" s="54">
        <v>1</v>
      </c>
      <c r="J158" s="54">
        <v>2300</v>
      </c>
      <c r="K158" s="56">
        <v>0</v>
      </c>
      <c r="L158" s="54">
        <v>2300</v>
      </c>
      <c r="M158" s="54">
        <v>2118</v>
      </c>
    </row>
    <row r="159" spans="1:13" x14ac:dyDescent="0.2">
      <c r="A159" s="52" t="s">
        <v>84</v>
      </c>
      <c r="B159" s="67" t="s">
        <v>83</v>
      </c>
      <c r="C159" s="52" t="s">
        <v>32</v>
      </c>
      <c r="D159" s="53" t="s">
        <v>22</v>
      </c>
      <c r="E159" s="53" t="s">
        <v>23</v>
      </c>
      <c r="F159" s="54">
        <v>1</v>
      </c>
      <c r="G159" s="54">
        <v>0</v>
      </c>
      <c r="H159" s="54">
        <v>0</v>
      </c>
      <c r="I159" s="54">
        <v>1</v>
      </c>
      <c r="J159" s="54">
        <v>2400</v>
      </c>
      <c r="K159" s="54">
        <v>0</v>
      </c>
      <c r="L159" s="54">
        <v>2400</v>
      </c>
      <c r="M159" s="54">
        <v>1872</v>
      </c>
    </row>
    <row r="160" spans="1:13" x14ac:dyDescent="0.2">
      <c r="A160" s="52" t="s">
        <v>104</v>
      </c>
      <c r="B160" s="67" t="s">
        <v>103</v>
      </c>
      <c r="C160" s="52" t="s">
        <v>32</v>
      </c>
      <c r="D160" s="53" t="s">
        <v>67</v>
      </c>
      <c r="E160" s="53" t="s">
        <v>68</v>
      </c>
      <c r="F160" s="54">
        <v>1</v>
      </c>
      <c r="G160" s="54">
        <v>0</v>
      </c>
      <c r="H160" s="54">
        <v>0</v>
      </c>
      <c r="I160" s="54">
        <v>1</v>
      </c>
      <c r="J160" s="54">
        <v>12250</v>
      </c>
      <c r="K160" s="54">
        <v>0</v>
      </c>
      <c r="L160" s="54">
        <v>12250</v>
      </c>
      <c r="M160" s="54">
        <v>2754</v>
      </c>
    </row>
    <row r="161" spans="1:13" x14ac:dyDescent="0.2">
      <c r="A161" s="52" t="s">
        <v>112</v>
      </c>
      <c r="B161" s="67" t="s">
        <v>111</v>
      </c>
      <c r="C161" s="52" t="s">
        <v>32</v>
      </c>
      <c r="D161" s="53" t="s">
        <v>27</v>
      </c>
      <c r="E161" s="53" t="s">
        <v>28</v>
      </c>
      <c r="F161" s="54">
        <v>1</v>
      </c>
      <c r="G161" s="54">
        <v>0</v>
      </c>
      <c r="H161" s="54">
        <v>0</v>
      </c>
      <c r="I161" s="54">
        <v>1</v>
      </c>
      <c r="J161" s="54">
        <v>10825</v>
      </c>
      <c r="K161" s="54">
        <v>0</v>
      </c>
      <c r="L161" s="54">
        <v>10825</v>
      </c>
      <c r="M161" s="54">
        <v>1976</v>
      </c>
    </row>
    <row r="162" spans="1:13" x14ac:dyDescent="0.2">
      <c r="A162" s="52" t="s">
        <v>116</v>
      </c>
      <c r="B162" s="67" t="s">
        <v>115</v>
      </c>
      <c r="C162" s="52" t="s">
        <v>32</v>
      </c>
      <c r="D162" s="53" t="s">
        <v>117</v>
      </c>
      <c r="E162" s="53" t="s">
        <v>118</v>
      </c>
      <c r="F162" s="54">
        <v>1</v>
      </c>
      <c r="G162" s="54">
        <v>0</v>
      </c>
      <c r="H162" s="54">
        <v>0</v>
      </c>
      <c r="I162" s="54">
        <v>1</v>
      </c>
      <c r="J162" s="54">
        <v>12000</v>
      </c>
      <c r="K162" s="54">
        <v>0</v>
      </c>
      <c r="L162" s="54">
        <v>12000</v>
      </c>
      <c r="M162" s="54">
        <v>3248</v>
      </c>
    </row>
    <row r="163" spans="1:13" x14ac:dyDescent="0.2">
      <c r="A163" s="52" t="s">
        <v>134</v>
      </c>
      <c r="B163" s="67" t="s">
        <v>133</v>
      </c>
      <c r="C163" s="52" t="s">
        <v>32</v>
      </c>
      <c r="D163" s="53" t="s">
        <v>27</v>
      </c>
      <c r="E163" s="53" t="s">
        <v>28</v>
      </c>
      <c r="F163" s="54">
        <v>1</v>
      </c>
      <c r="G163" s="54">
        <v>0</v>
      </c>
      <c r="H163" s="54">
        <v>0</v>
      </c>
      <c r="I163" s="54">
        <v>1</v>
      </c>
      <c r="J163" s="54">
        <v>9370</v>
      </c>
      <c r="K163" s="54">
        <v>0</v>
      </c>
      <c r="L163" s="54">
        <v>9370</v>
      </c>
      <c r="M163" s="54">
        <v>2752</v>
      </c>
    </row>
    <row r="164" spans="1:13" x14ac:dyDescent="0.2">
      <c r="A164" s="52" t="s">
        <v>136</v>
      </c>
      <c r="B164" s="67" t="s">
        <v>135</v>
      </c>
      <c r="C164" s="52" t="s">
        <v>32</v>
      </c>
      <c r="D164" s="53" t="s">
        <v>27</v>
      </c>
      <c r="E164" s="53" t="s">
        <v>28</v>
      </c>
      <c r="F164" s="54">
        <v>1</v>
      </c>
      <c r="G164" s="54">
        <v>0</v>
      </c>
      <c r="H164" s="54">
        <v>0</v>
      </c>
      <c r="I164" s="54">
        <v>1</v>
      </c>
      <c r="J164" s="54">
        <v>9100</v>
      </c>
      <c r="K164" s="54">
        <v>0</v>
      </c>
      <c r="L164" s="54">
        <v>9100</v>
      </c>
      <c r="M164" s="54">
        <v>2392</v>
      </c>
    </row>
    <row r="165" spans="1:13" x14ac:dyDescent="0.2">
      <c r="A165" s="52" t="s">
        <v>144</v>
      </c>
      <c r="B165" s="67" t="s">
        <v>143</v>
      </c>
      <c r="C165" s="52" t="s">
        <v>32</v>
      </c>
      <c r="D165" s="53" t="s">
        <v>27</v>
      </c>
      <c r="E165" s="53" t="s">
        <v>28</v>
      </c>
      <c r="F165" s="54">
        <v>1</v>
      </c>
      <c r="G165" s="54">
        <v>0</v>
      </c>
      <c r="H165" s="54">
        <v>0</v>
      </c>
      <c r="I165" s="54">
        <v>1</v>
      </c>
      <c r="J165" s="54">
        <v>7380</v>
      </c>
      <c r="K165" s="54">
        <v>0</v>
      </c>
      <c r="L165" s="54">
        <v>7380</v>
      </c>
      <c r="M165" s="54">
        <v>2015</v>
      </c>
    </row>
    <row r="166" spans="1:13" x14ac:dyDescent="0.2">
      <c r="A166" s="52" t="s">
        <v>152</v>
      </c>
      <c r="B166" s="67" t="s">
        <v>151</v>
      </c>
      <c r="C166" s="52" t="s">
        <v>32</v>
      </c>
      <c r="D166" s="53" t="s">
        <v>22</v>
      </c>
      <c r="E166" s="53" t="s">
        <v>23</v>
      </c>
      <c r="F166" s="54">
        <v>1</v>
      </c>
      <c r="G166" s="54">
        <v>0</v>
      </c>
      <c r="H166" s="54">
        <v>0</v>
      </c>
      <c r="I166" s="54">
        <v>1</v>
      </c>
      <c r="J166" s="54">
        <v>15000</v>
      </c>
      <c r="K166" s="54">
        <v>0</v>
      </c>
      <c r="L166" s="54">
        <v>15000</v>
      </c>
      <c r="M166" s="54">
        <v>3267</v>
      </c>
    </row>
    <row r="167" spans="1:13" x14ac:dyDescent="0.2">
      <c r="A167" s="52" t="s">
        <v>156</v>
      </c>
      <c r="B167" s="67" t="s">
        <v>155</v>
      </c>
      <c r="C167" s="52" t="s">
        <v>32</v>
      </c>
      <c r="D167" s="53" t="s">
        <v>27</v>
      </c>
      <c r="E167" s="53" t="s">
        <v>28</v>
      </c>
      <c r="F167" s="54">
        <v>1</v>
      </c>
      <c r="G167" s="54">
        <v>1</v>
      </c>
      <c r="H167" s="54">
        <v>0</v>
      </c>
      <c r="I167" s="54">
        <v>2</v>
      </c>
      <c r="J167" s="54">
        <v>6400</v>
      </c>
      <c r="K167" s="54">
        <v>757</v>
      </c>
      <c r="L167" s="54">
        <v>7157</v>
      </c>
      <c r="M167" s="54">
        <v>4141</v>
      </c>
    </row>
    <row r="168" spans="1:13" x14ac:dyDescent="0.2">
      <c r="A168" s="52" t="s">
        <v>160</v>
      </c>
      <c r="B168" s="67" t="s">
        <v>159</v>
      </c>
      <c r="C168" s="52" t="s">
        <v>32</v>
      </c>
      <c r="D168" s="53" t="s">
        <v>27</v>
      </c>
      <c r="E168" s="53" t="s">
        <v>28</v>
      </c>
      <c r="F168" s="54">
        <v>1</v>
      </c>
      <c r="G168" s="54">
        <v>0</v>
      </c>
      <c r="H168" s="54">
        <v>0</v>
      </c>
      <c r="I168" s="54">
        <v>1</v>
      </c>
      <c r="J168" s="54">
        <v>10016</v>
      </c>
      <c r="K168" s="54">
        <v>0</v>
      </c>
      <c r="L168" s="54">
        <v>10016</v>
      </c>
      <c r="M168" s="54">
        <v>2236</v>
      </c>
    </row>
    <row r="169" spans="1:13" x14ac:dyDescent="0.2">
      <c r="A169" s="52" t="s">
        <v>162</v>
      </c>
      <c r="B169" s="67" t="s">
        <v>161</v>
      </c>
      <c r="C169" s="52" t="s">
        <v>32</v>
      </c>
      <c r="D169" s="53" t="s">
        <v>27</v>
      </c>
      <c r="E169" s="53" t="s">
        <v>28</v>
      </c>
      <c r="F169" s="54">
        <v>1</v>
      </c>
      <c r="G169" s="54">
        <v>0</v>
      </c>
      <c r="H169" s="54">
        <v>0</v>
      </c>
      <c r="I169" s="54">
        <v>1</v>
      </c>
      <c r="J169" s="54">
        <v>7940</v>
      </c>
      <c r="K169" s="54">
        <v>0</v>
      </c>
      <c r="L169" s="54">
        <v>7940</v>
      </c>
      <c r="M169" s="54">
        <v>2184</v>
      </c>
    </row>
    <row r="170" spans="1:13" x14ac:dyDescent="0.2">
      <c r="A170" s="52" t="s">
        <v>168</v>
      </c>
      <c r="B170" s="67" t="s">
        <v>167</v>
      </c>
      <c r="C170" s="52" t="s">
        <v>32</v>
      </c>
      <c r="D170" s="53" t="s">
        <v>27</v>
      </c>
      <c r="E170" s="53" t="s">
        <v>28</v>
      </c>
      <c r="F170" s="54">
        <v>1</v>
      </c>
      <c r="G170" s="54">
        <v>0</v>
      </c>
      <c r="H170" s="54">
        <v>0</v>
      </c>
      <c r="I170" s="54">
        <v>1</v>
      </c>
      <c r="J170" s="54">
        <v>34000</v>
      </c>
      <c r="K170" s="54">
        <v>0</v>
      </c>
      <c r="L170" s="54">
        <v>34000</v>
      </c>
      <c r="M170" s="54">
        <v>2931</v>
      </c>
    </row>
    <row r="171" spans="1:13" x14ac:dyDescent="0.2">
      <c r="A171" s="52" t="s">
        <v>204</v>
      </c>
      <c r="B171" s="67" t="s">
        <v>203</v>
      </c>
      <c r="C171" s="52" t="s">
        <v>32</v>
      </c>
      <c r="D171" s="53" t="s">
        <v>27</v>
      </c>
      <c r="E171" s="53" t="s">
        <v>28</v>
      </c>
      <c r="F171" s="54">
        <v>1</v>
      </c>
      <c r="G171" s="54">
        <v>0</v>
      </c>
      <c r="H171" s="54">
        <v>0</v>
      </c>
      <c r="I171" s="54">
        <v>1</v>
      </c>
      <c r="J171" s="54">
        <v>9200</v>
      </c>
      <c r="K171" s="54">
        <v>0</v>
      </c>
      <c r="L171" s="54">
        <v>9200</v>
      </c>
      <c r="M171" s="54">
        <v>2184</v>
      </c>
    </row>
    <row r="172" spans="1:13" x14ac:dyDescent="0.2">
      <c r="A172" s="52" t="s">
        <v>229</v>
      </c>
      <c r="B172" s="67" t="s">
        <v>228</v>
      </c>
      <c r="C172" s="52" t="s">
        <v>32</v>
      </c>
      <c r="D172" s="53" t="s">
        <v>67</v>
      </c>
      <c r="E172" s="53" t="s">
        <v>68</v>
      </c>
      <c r="F172" s="54">
        <v>1</v>
      </c>
      <c r="G172" s="54">
        <v>0</v>
      </c>
      <c r="H172" s="54">
        <v>0</v>
      </c>
      <c r="I172" s="54">
        <v>1</v>
      </c>
      <c r="J172" s="54">
        <v>7680</v>
      </c>
      <c r="K172" s="54">
        <v>0</v>
      </c>
      <c r="L172" s="54">
        <v>7680</v>
      </c>
      <c r="M172" s="54">
        <v>2392</v>
      </c>
    </row>
    <row r="173" spans="1:13" x14ac:dyDescent="0.2">
      <c r="A173" s="52" t="s">
        <v>243</v>
      </c>
      <c r="B173" s="67" t="s">
        <v>242</v>
      </c>
      <c r="C173" s="52" t="s">
        <v>32</v>
      </c>
      <c r="D173" s="53" t="s">
        <v>67</v>
      </c>
      <c r="E173" s="53" t="s">
        <v>68</v>
      </c>
      <c r="F173" s="54">
        <v>1</v>
      </c>
      <c r="G173" s="54">
        <v>0</v>
      </c>
      <c r="H173" s="54">
        <v>0</v>
      </c>
      <c r="I173" s="54">
        <v>1</v>
      </c>
      <c r="J173" s="54">
        <v>7100</v>
      </c>
      <c r="K173" s="54">
        <v>0</v>
      </c>
      <c r="L173" s="54">
        <v>7100</v>
      </c>
      <c r="M173" s="54">
        <v>2100</v>
      </c>
    </row>
    <row r="174" spans="1:13" x14ac:dyDescent="0.2">
      <c r="A174" s="52" t="s">
        <v>257</v>
      </c>
      <c r="B174" s="67" t="s">
        <v>256</v>
      </c>
      <c r="C174" s="52" t="s">
        <v>32</v>
      </c>
      <c r="D174" s="53" t="s">
        <v>258</v>
      </c>
      <c r="E174" s="53" t="s">
        <v>259</v>
      </c>
      <c r="F174" s="54">
        <v>1</v>
      </c>
      <c r="G174" s="54">
        <v>0</v>
      </c>
      <c r="H174" s="54">
        <v>0</v>
      </c>
      <c r="I174" s="54">
        <v>1</v>
      </c>
      <c r="J174" s="54">
        <v>7320</v>
      </c>
      <c r="K174" s="54">
        <v>0</v>
      </c>
      <c r="L174" s="54">
        <v>7320</v>
      </c>
      <c r="M174" s="54">
        <v>2416</v>
      </c>
    </row>
    <row r="175" spans="1:13" x14ac:dyDescent="0.2">
      <c r="A175" s="52" t="s">
        <v>261</v>
      </c>
      <c r="B175" s="67" t="s">
        <v>260</v>
      </c>
      <c r="C175" s="52" t="s">
        <v>32</v>
      </c>
      <c r="D175" s="53" t="s">
        <v>27</v>
      </c>
      <c r="E175" s="53" t="s">
        <v>28</v>
      </c>
      <c r="F175" s="54">
        <v>1</v>
      </c>
      <c r="G175" s="54">
        <v>0</v>
      </c>
      <c r="H175" s="54">
        <v>0</v>
      </c>
      <c r="I175" s="54">
        <v>1</v>
      </c>
      <c r="J175" s="54">
        <v>7696</v>
      </c>
      <c r="K175" s="54">
        <v>0</v>
      </c>
      <c r="L175" s="54">
        <v>7696</v>
      </c>
      <c r="M175" s="54">
        <v>1342</v>
      </c>
    </row>
    <row r="176" spans="1:13" x14ac:dyDescent="0.2">
      <c r="A176" s="52" t="s">
        <v>273</v>
      </c>
      <c r="B176" s="67" t="s">
        <v>272</v>
      </c>
      <c r="C176" s="52" t="s">
        <v>32</v>
      </c>
      <c r="D176" s="53" t="s">
        <v>27</v>
      </c>
      <c r="E176" s="53" t="s">
        <v>28</v>
      </c>
      <c r="F176" s="54">
        <v>1</v>
      </c>
      <c r="G176" s="54">
        <v>0</v>
      </c>
      <c r="H176" s="54">
        <v>0</v>
      </c>
      <c r="I176" s="54">
        <v>1</v>
      </c>
      <c r="J176" s="54">
        <v>9065</v>
      </c>
      <c r="K176" s="54">
        <v>0</v>
      </c>
      <c r="L176" s="54">
        <v>9065</v>
      </c>
      <c r="M176" s="54">
        <v>2028</v>
      </c>
    </row>
    <row r="177" spans="1:13" x14ac:dyDescent="0.2">
      <c r="A177" s="52" t="s">
        <v>297</v>
      </c>
      <c r="B177" s="67" t="s">
        <v>296</v>
      </c>
      <c r="C177" s="52" t="s">
        <v>32</v>
      </c>
      <c r="D177" s="53" t="s">
        <v>27</v>
      </c>
      <c r="E177" s="53" t="s">
        <v>28</v>
      </c>
      <c r="F177" s="54">
        <v>1</v>
      </c>
      <c r="G177" s="54">
        <v>0</v>
      </c>
      <c r="H177" s="54">
        <v>0</v>
      </c>
      <c r="I177" s="54">
        <v>1</v>
      </c>
      <c r="J177" s="54">
        <v>14400</v>
      </c>
      <c r="K177" s="54">
        <v>0</v>
      </c>
      <c r="L177" s="54">
        <v>14400</v>
      </c>
      <c r="M177" s="54">
        <v>3210</v>
      </c>
    </row>
    <row r="178" spans="1:13" x14ac:dyDescent="0.2">
      <c r="A178" s="52" t="s">
        <v>309</v>
      </c>
      <c r="B178" s="67" t="s">
        <v>308</v>
      </c>
      <c r="C178" s="52" t="s">
        <v>32</v>
      </c>
      <c r="D178" s="53" t="s">
        <v>27</v>
      </c>
      <c r="E178" s="53" t="s">
        <v>28</v>
      </c>
      <c r="F178" s="54">
        <v>1</v>
      </c>
      <c r="G178" s="54">
        <v>0</v>
      </c>
      <c r="H178" s="54">
        <v>0</v>
      </c>
      <c r="I178" s="54">
        <v>1</v>
      </c>
      <c r="J178" s="54">
        <v>5400</v>
      </c>
      <c r="K178" s="54">
        <v>0</v>
      </c>
      <c r="L178" s="54">
        <v>5400</v>
      </c>
      <c r="M178" s="54">
        <v>1656</v>
      </c>
    </row>
    <row r="179" spans="1:13" x14ac:dyDescent="0.2">
      <c r="A179" s="52" t="s">
        <v>315</v>
      </c>
      <c r="B179" s="67" t="s">
        <v>314</v>
      </c>
      <c r="C179" s="52" t="s">
        <v>32</v>
      </c>
      <c r="D179" s="53" t="s">
        <v>27</v>
      </c>
      <c r="E179" s="53" t="s">
        <v>28</v>
      </c>
      <c r="F179" s="54">
        <v>1</v>
      </c>
      <c r="G179" s="54">
        <v>0</v>
      </c>
      <c r="H179" s="54">
        <v>0</v>
      </c>
      <c r="I179" s="54">
        <v>1</v>
      </c>
      <c r="J179" s="54">
        <v>16800</v>
      </c>
      <c r="K179" s="54">
        <v>0</v>
      </c>
      <c r="L179" s="54">
        <v>16800</v>
      </c>
      <c r="M179" s="54">
        <v>2380</v>
      </c>
    </row>
    <row r="180" spans="1:13" x14ac:dyDescent="0.2">
      <c r="A180" s="52" t="s">
        <v>323</v>
      </c>
      <c r="B180" s="67" t="s">
        <v>322</v>
      </c>
      <c r="C180" s="52" t="s">
        <v>32</v>
      </c>
      <c r="D180" s="53" t="s">
        <v>27</v>
      </c>
      <c r="E180" s="53" t="s">
        <v>28</v>
      </c>
      <c r="F180" s="54">
        <v>1</v>
      </c>
      <c r="G180" s="54">
        <v>0</v>
      </c>
      <c r="H180" s="54">
        <v>0</v>
      </c>
      <c r="I180" s="54">
        <v>1</v>
      </c>
      <c r="J180" s="54">
        <v>3562</v>
      </c>
      <c r="K180" s="54">
        <v>0</v>
      </c>
      <c r="L180" s="54">
        <v>3562</v>
      </c>
      <c r="M180" s="54">
        <v>2195</v>
      </c>
    </row>
    <row r="181" spans="1:13" x14ac:dyDescent="0.2">
      <c r="A181" s="52" t="s">
        <v>337</v>
      </c>
      <c r="B181" s="67" t="s">
        <v>336</v>
      </c>
      <c r="C181" s="52" t="s">
        <v>32</v>
      </c>
      <c r="D181" s="53" t="s">
        <v>27</v>
      </c>
      <c r="E181" s="53" t="s">
        <v>28</v>
      </c>
      <c r="F181" s="54">
        <v>1</v>
      </c>
      <c r="G181" s="54">
        <v>0</v>
      </c>
      <c r="H181" s="54">
        <v>0</v>
      </c>
      <c r="I181" s="54">
        <v>1</v>
      </c>
      <c r="J181" s="54">
        <v>15000</v>
      </c>
      <c r="K181" s="54">
        <v>0</v>
      </c>
      <c r="L181" s="54">
        <v>15000</v>
      </c>
      <c r="M181" s="54">
        <v>2500</v>
      </c>
    </row>
    <row r="182" spans="1:13" x14ac:dyDescent="0.2">
      <c r="A182" s="52" t="s">
        <v>357</v>
      </c>
      <c r="B182" s="67" t="s">
        <v>356</v>
      </c>
      <c r="C182" s="52" t="s">
        <v>32</v>
      </c>
      <c r="D182" s="53" t="s">
        <v>67</v>
      </c>
      <c r="E182" s="53" t="s">
        <v>68</v>
      </c>
      <c r="F182" s="54">
        <v>1</v>
      </c>
      <c r="G182" s="54">
        <v>0</v>
      </c>
      <c r="H182" s="54">
        <v>0</v>
      </c>
      <c r="I182" s="54">
        <v>1</v>
      </c>
      <c r="J182" s="54">
        <v>7000</v>
      </c>
      <c r="K182" s="54">
        <v>0</v>
      </c>
      <c r="L182" s="54">
        <v>7000</v>
      </c>
      <c r="M182" s="54">
        <v>2642</v>
      </c>
    </row>
    <row r="183" spans="1:13" x14ac:dyDescent="0.2">
      <c r="A183" s="52" t="s">
        <v>365</v>
      </c>
      <c r="B183" s="67" t="s">
        <v>364</v>
      </c>
      <c r="C183" s="52" t="s">
        <v>32</v>
      </c>
      <c r="D183" s="53" t="s">
        <v>22</v>
      </c>
      <c r="E183" s="53" t="s">
        <v>23</v>
      </c>
      <c r="F183" s="54">
        <v>1</v>
      </c>
      <c r="G183" s="54">
        <v>0</v>
      </c>
      <c r="H183" s="54">
        <v>0</v>
      </c>
      <c r="I183" s="54">
        <v>1</v>
      </c>
      <c r="J183" s="54">
        <v>4500</v>
      </c>
      <c r="K183" s="54">
        <v>0</v>
      </c>
      <c r="L183" s="54">
        <v>4500</v>
      </c>
      <c r="M183" s="54">
        <v>2860</v>
      </c>
    </row>
    <row r="184" spans="1:13" x14ac:dyDescent="0.2">
      <c r="A184" s="52" t="s">
        <v>373</v>
      </c>
      <c r="B184" s="67" t="s">
        <v>372</v>
      </c>
      <c r="C184" s="52" t="s">
        <v>32</v>
      </c>
      <c r="D184" s="53" t="s">
        <v>27</v>
      </c>
      <c r="E184" s="53" t="s">
        <v>28</v>
      </c>
      <c r="F184" s="54">
        <v>1</v>
      </c>
      <c r="G184" s="54">
        <v>0</v>
      </c>
      <c r="H184" s="54">
        <v>0</v>
      </c>
      <c r="I184" s="54">
        <v>1</v>
      </c>
      <c r="J184" s="54">
        <v>17060</v>
      </c>
      <c r="K184" s="54">
        <v>0</v>
      </c>
      <c r="L184" s="54">
        <v>17060</v>
      </c>
      <c r="M184" s="54">
        <v>2496</v>
      </c>
    </row>
    <row r="185" spans="1:13" x14ac:dyDescent="0.2">
      <c r="A185" s="52" t="s">
        <v>393</v>
      </c>
      <c r="B185" s="67" t="s">
        <v>392</v>
      </c>
      <c r="C185" s="52" t="s">
        <v>32</v>
      </c>
      <c r="D185" s="53" t="s">
        <v>17</v>
      </c>
      <c r="E185" s="53" t="s">
        <v>18</v>
      </c>
      <c r="F185" s="54">
        <v>1</v>
      </c>
      <c r="G185" s="54">
        <v>0</v>
      </c>
      <c r="H185" s="54">
        <v>0</v>
      </c>
      <c r="I185" s="54">
        <v>1</v>
      </c>
      <c r="J185" s="54">
        <v>10952</v>
      </c>
      <c r="K185" s="54">
        <v>0</v>
      </c>
      <c r="L185" s="54">
        <v>10952</v>
      </c>
      <c r="M185" s="54">
        <v>2652</v>
      </c>
    </row>
    <row r="186" spans="1:13" x14ac:dyDescent="0.2">
      <c r="A186" s="52" t="s">
        <v>425</v>
      </c>
      <c r="B186" s="67" t="s">
        <v>424</v>
      </c>
      <c r="C186" s="52" t="s">
        <v>32</v>
      </c>
      <c r="D186" s="53" t="s">
        <v>27</v>
      </c>
      <c r="E186" s="53" t="s">
        <v>28</v>
      </c>
      <c r="F186" s="54">
        <v>1</v>
      </c>
      <c r="G186" s="54">
        <v>0</v>
      </c>
      <c r="H186" s="54">
        <v>0</v>
      </c>
      <c r="I186" s="54">
        <v>1</v>
      </c>
      <c r="J186" s="54">
        <v>2000</v>
      </c>
      <c r="K186" s="56">
        <v>0</v>
      </c>
      <c r="L186" s="54">
        <v>2000</v>
      </c>
      <c r="M186" s="54">
        <v>2080</v>
      </c>
    </row>
    <row r="187" spans="1:13" x14ac:dyDescent="0.2">
      <c r="A187" s="52" t="s">
        <v>423</v>
      </c>
      <c r="B187" s="67" t="s">
        <v>422</v>
      </c>
      <c r="C187" s="52" t="s">
        <v>32</v>
      </c>
      <c r="D187" s="53" t="s">
        <v>27</v>
      </c>
      <c r="E187" s="53" t="s">
        <v>28</v>
      </c>
      <c r="F187" s="54">
        <v>1</v>
      </c>
      <c r="G187" s="54">
        <v>0</v>
      </c>
      <c r="H187" s="54">
        <v>0</v>
      </c>
      <c r="I187" s="54">
        <v>1</v>
      </c>
      <c r="J187" s="54">
        <v>4416</v>
      </c>
      <c r="K187" s="54">
        <v>0</v>
      </c>
      <c r="L187" s="54">
        <v>4416</v>
      </c>
      <c r="M187" s="54">
        <v>1226</v>
      </c>
    </row>
    <row r="188" spans="1:13" x14ac:dyDescent="0.2">
      <c r="A188" s="52" t="s">
        <v>447</v>
      </c>
      <c r="B188" s="67" t="s">
        <v>446</v>
      </c>
      <c r="C188" s="52" t="s">
        <v>32</v>
      </c>
      <c r="D188" s="53" t="s">
        <v>27</v>
      </c>
      <c r="E188" s="53" t="s">
        <v>28</v>
      </c>
      <c r="F188" s="54">
        <v>1</v>
      </c>
      <c r="G188" s="54">
        <v>0</v>
      </c>
      <c r="H188" s="54">
        <v>0</v>
      </c>
      <c r="I188" s="54">
        <v>1</v>
      </c>
      <c r="J188" s="54">
        <v>2440</v>
      </c>
      <c r="K188" s="54">
        <v>0</v>
      </c>
      <c r="L188" s="54">
        <v>2440</v>
      </c>
      <c r="M188" s="54">
        <v>2562</v>
      </c>
    </row>
    <row r="189" spans="1:13" x14ac:dyDescent="0.2">
      <c r="A189" s="52" t="s">
        <v>461</v>
      </c>
      <c r="B189" s="67" t="s">
        <v>460</v>
      </c>
      <c r="C189" s="52" t="s">
        <v>32</v>
      </c>
      <c r="D189" s="53" t="s">
        <v>27</v>
      </c>
      <c r="E189" s="53" t="s">
        <v>28</v>
      </c>
      <c r="F189" s="54">
        <v>1</v>
      </c>
      <c r="G189" s="54">
        <v>0</v>
      </c>
      <c r="H189" s="54">
        <v>0</v>
      </c>
      <c r="I189" s="54">
        <v>1</v>
      </c>
      <c r="J189" s="54">
        <v>7300</v>
      </c>
      <c r="K189" s="56">
        <v>0</v>
      </c>
      <c r="L189" s="54">
        <v>7300</v>
      </c>
      <c r="M189" s="54">
        <v>2288</v>
      </c>
    </row>
    <row r="190" spans="1:13" x14ac:dyDescent="0.2">
      <c r="A190" s="52" t="s">
        <v>484</v>
      </c>
      <c r="B190" s="67" t="s">
        <v>483</v>
      </c>
      <c r="C190" s="52" t="s">
        <v>32</v>
      </c>
      <c r="D190" s="53" t="s">
        <v>485</v>
      </c>
      <c r="E190" s="53" t="s">
        <v>486</v>
      </c>
      <c r="F190" s="54">
        <v>1</v>
      </c>
      <c r="G190" s="54">
        <v>0</v>
      </c>
      <c r="H190" s="54">
        <v>0</v>
      </c>
      <c r="I190" s="54">
        <v>1</v>
      </c>
      <c r="J190" s="54">
        <v>5926</v>
      </c>
      <c r="K190" s="54">
        <v>0</v>
      </c>
      <c r="L190" s="54">
        <v>5926</v>
      </c>
      <c r="M190" s="54">
        <v>2348</v>
      </c>
    </row>
    <row r="191" spans="1:13" x14ac:dyDescent="0.2">
      <c r="A191" s="52" t="s">
        <v>490</v>
      </c>
      <c r="B191" s="67" t="s">
        <v>489</v>
      </c>
      <c r="C191" s="52" t="s">
        <v>32</v>
      </c>
      <c r="D191" s="53" t="s">
        <v>27</v>
      </c>
      <c r="E191" s="53" t="s">
        <v>28</v>
      </c>
      <c r="F191" s="54">
        <v>1</v>
      </c>
      <c r="G191" s="54">
        <v>0</v>
      </c>
      <c r="H191" s="54">
        <v>0</v>
      </c>
      <c r="I191" s="54">
        <v>1</v>
      </c>
      <c r="J191" s="54">
        <v>7284</v>
      </c>
      <c r="K191" s="54">
        <v>0</v>
      </c>
      <c r="L191" s="54">
        <v>7284</v>
      </c>
      <c r="M191" s="54">
        <v>2600</v>
      </c>
    </row>
    <row r="192" spans="1:13" x14ac:dyDescent="0.2">
      <c r="A192" s="52" t="s">
        <v>510</v>
      </c>
      <c r="B192" s="67" t="s">
        <v>509</v>
      </c>
      <c r="C192" s="52" t="s">
        <v>32</v>
      </c>
      <c r="D192" s="53" t="s">
        <v>17</v>
      </c>
      <c r="E192" s="53" t="s">
        <v>18</v>
      </c>
      <c r="F192" s="54">
        <v>1</v>
      </c>
      <c r="G192" s="54">
        <v>0</v>
      </c>
      <c r="H192" s="54">
        <v>0</v>
      </c>
      <c r="I192" s="54">
        <v>1</v>
      </c>
      <c r="J192" s="54">
        <v>6000</v>
      </c>
      <c r="K192" s="54">
        <v>0</v>
      </c>
      <c r="L192" s="54">
        <v>6000</v>
      </c>
      <c r="M192" s="54">
        <v>1825</v>
      </c>
    </row>
    <row r="193" spans="1:13" x14ac:dyDescent="0.2">
      <c r="A193" s="52" t="s">
        <v>522</v>
      </c>
      <c r="B193" s="67" t="s">
        <v>521</v>
      </c>
      <c r="C193" s="52" t="s">
        <v>32</v>
      </c>
      <c r="D193" s="53" t="s">
        <v>67</v>
      </c>
      <c r="E193" s="53" t="s">
        <v>68</v>
      </c>
      <c r="F193" s="54">
        <v>1</v>
      </c>
      <c r="G193" s="54">
        <v>0</v>
      </c>
      <c r="H193" s="54">
        <v>0</v>
      </c>
      <c r="I193" s="54">
        <v>1</v>
      </c>
      <c r="J193" s="54">
        <v>5520</v>
      </c>
      <c r="K193" s="54">
        <v>0</v>
      </c>
      <c r="L193" s="54">
        <v>5520</v>
      </c>
      <c r="M193" s="54">
        <v>2856</v>
      </c>
    </row>
    <row r="194" spans="1:13" x14ac:dyDescent="0.2">
      <c r="A194" s="52" t="s">
        <v>528</v>
      </c>
      <c r="B194" s="67" t="s">
        <v>527</v>
      </c>
      <c r="C194" s="52" t="s">
        <v>32</v>
      </c>
      <c r="D194" s="53" t="s">
        <v>22</v>
      </c>
      <c r="E194" s="53" t="s">
        <v>23</v>
      </c>
      <c r="F194" s="54">
        <v>1</v>
      </c>
      <c r="G194" s="54">
        <v>2</v>
      </c>
      <c r="H194" s="54">
        <v>0</v>
      </c>
      <c r="I194" s="54">
        <v>3</v>
      </c>
      <c r="J194" s="54">
        <v>1808</v>
      </c>
      <c r="K194" s="54">
        <v>9024</v>
      </c>
      <c r="L194" s="54">
        <v>10832</v>
      </c>
      <c r="M194" s="54">
        <v>6240</v>
      </c>
    </row>
    <row r="195" spans="1:13" x14ac:dyDescent="0.2">
      <c r="A195" s="52" t="s">
        <v>538</v>
      </c>
      <c r="B195" s="67" t="s">
        <v>537</v>
      </c>
      <c r="C195" s="52" t="s">
        <v>32</v>
      </c>
      <c r="D195" s="53" t="s">
        <v>27</v>
      </c>
      <c r="E195" s="53" t="s">
        <v>28</v>
      </c>
      <c r="F195" s="54">
        <v>1</v>
      </c>
      <c r="G195" s="54">
        <v>0</v>
      </c>
      <c r="H195" s="54">
        <v>0</v>
      </c>
      <c r="I195" s="54">
        <v>1</v>
      </c>
      <c r="J195" s="54">
        <v>4690</v>
      </c>
      <c r="K195" s="54">
        <v>0</v>
      </c>
      <c r="L195" s="54">
        <v>4690</v>
      </c>
      <c r="M195" s="54">
        <v>2286</v>
      </c>
    </row>
    <row r="196" spans="1:13" x14ac:dyDescent="0.2">
      <c r="A196" s="52" t="s">
        <v>542</v>
      </c>
      <c r="B196" s="67" t="s">
        <v>541</v>
      </c>
      <c r="C196" s="52" t="s">
        <v>32</v>
      </c>
      <c r="D196" s="53" t="s">
        <v>22</v>
      </c>
      <c r="E196" s="53" t="s">
        <v>23</v>
      </c>
      <c r="F196" s="54">
        <v>1</v>
      </c>
      <c r="G196" s="54">
        <v>0</v>
      </c>
      <c r="H196" s="54">
        <v>0</v>
      </c>
      <c r="I196" s="54">
        <v>1</v>
      </c>
      <c r="J196" s="54">
        <v>4169</v>
      </c>
      <c r="K196" s="54">
        <v>0</v>
      </c>
      <c r="L196" s="54">
        <v>4169</v>
      </c>
      <c r="M196" s="54">
        <v>2210</v>
      </c>
    </row>
    <row r="197" spans="1:13" x14ac:dyDescent="0.2">
      <c r="A197" s="52" t="s">
        <v>554</v>
      </c>
      <c r="B197" s="67" t="s">
        <v>553</v>
      </c>
      <c r="C197" s="52" t="s">
        <v>32</v>
      </c>
      <c r="D197" s="53" t="s">
        <v>27</v>
      </c>
      <c r="E197" s="53" t="s">
        <v>28</v>
      </c>
      <c r="F197" s="54">
        <v>1</v>
      </c>
      <c r="G197" s="54">
        <v>0</v>
      </c>
      <c r="H197" s="54">
        <v>0</v>
      </c>
      <c r="I197" s="54">
        <v>1</v>
      </c>
      <c r="J197" s="54">
        <v>4300</v>
      </c>
      <c r="K197" s="54">
        <v>0</v>
      </c>
      <c r="L197" s="54">
        <v>4300</v>
      </c>
      <c r="M197" s="54">
        <v>2652</v>
      </c>
    </row>
    <row r="198" spans="1:13" x14ac:dyDescent="0.2">
      <c r="A198" s="52" t="s">
        <v>572</v>
      </c>
      <c r="B198" s="67" t="s">
        <v>571</v>
      </c>
      <c r="C198" s="52" t="s">
        <v>32</v>
      </c>
      <c r="D198" s="53" t="s">
        <v>22</v>
      </c>
      <c r="E198" s="53" t="s">
        <v>23</v>
      </c>
      <c r="F198" s="54">
        <v>1</v>
      </c>
      <c r="G198" s="54">
        <v>1</v>
      </c>
      <c r="H198" s="54">
        <v>0</v>
      </c>
      <c r="I198" s="54">
        <v>2</v>
      </c>
      <c r="J198" s="54">
        <v>5800</v>
      </c>
      <c r="K198" s="54">
        <v>2500</v>
      </c>
      <c r="L198" s="54">
        <v>8300</v>
      </c>
      <c r="M198" s="54">
        <v>3475</v>
      </c>
    </row>
    <row r="199" spans="1:13" x14ac:dyDescent="0.2">
      <c r="A199" s="52" t="s">
        <v>582</v>
      </c>
      <c r="B199" s="67" t="s">
        <v>581</v>
      </c>
      <c r="C199" s="52" t="s">
        <v>32</v>
      </c>
      <c r="D199" s="53" t="s">
        <v>17</v>
      </c>
      <c r="E199" s="53" t="s">
        <v>18</v>
      </c>
      <c r="F199" s="54">
        <v>1</v>
      </c>
      <c r="G199" s="54">
        <v>0</v>
      </c>
      <c r="H199" s="54">
        <v>0</v>
      </c>
      <c r="I199" s="54">
        <v>1</v>
      </c>
      <c r="J199" s="54">
        <v>17350</v>
      </c>
      <c r="K199" s="54">
        <v>0</v>
      </c>
      <c r="L199" s="54">
        <v>17350</v>
      </c>
      <c r="M199" s="54">
        <v>2705</v>
      </c>
    </row>
    <row r="200" spans="1:13" x14ac:dyDescent="0.2">
      <c r="A200" s="52" t="s">
        <v>586</v>
      </c>
      <c r="B200" s="67" t="s">
        <v>585</v>
      </c>
      <c r="C200" s="52" t="s">
        <v>32</v>
      </c>
      <c r="D200" s="53" t="s">
        <v>67</v>
      </c>
      <c r="E200" s="53" t="s">
        <v>68</v>
      </c>
      <c r="F200" s="54">
        <v>1</v>
      </c>
      <c r="G200" s="54">
        <v>0</v>
      </c>
      <c r="H200" s="54">
        <v>0</v>
      </c>
      <c r="I200" s="54">
        <v>1</v>
      </c>
      <c r="J200" s="54">
        <v>12000</v>
      </c>
      <c r="K200" s="54">
        <v>0</v>
      </c>
      <c r="L200" s="54">
        <v>12000</v>
      </c>
      <c r="M200" s="54">
        <v>1912</v>
      </c>
    </row>
    <row r="201" spans="1:13" x14ac:dyDescent="0.2">
      <c r="A201" s="52" t="s">
        <v>596</v>
      </c>
      <c r="B201" s="67" t="s">
        <v>595</v>
      </c>
      <c r="C201" s="52" t="s">
        <v>32</v>
      </c>
      <c r="D201" s="53" t="s">
        <v>27</v>
      </c>
      <c r="E201" s="53" t="s">
        <v>28</v>
      </c>
      <c r="F201" s="54">
        <v>1</v>
      </c>
      <c r="G201" s="54">
        <v>0</v>
      </c>
      <c r="H201" s="54">
        <v>0</v>
      </c>
      <c r="I201" s="54">
        <v>1</v>
      </c>
      <c r="J201" s="54">
        <v>20000</v>
      </c>
      <c r="K201" s="54">
        <v>0</v>
      </c>
      <c r="L201" s="54">
        <v>20000</v>
      </c>
      <c r="M201" s="54">
        <v>2288</v>
      </c>
    </row>
    <row r="202" spans="1:13" x14ac:dyDescent="0.2">
      <c r="A202" s="52" t="s">
        <v>604</v>
      </c>
      <c r="B202" s="67" t="s">
        <v>603</v>
      </c>
      <c r="C202" s="52" t="s">
        <v>32</v>
      </c>
      <c r="D202" s="53" t="s">
        <v>22</v>
      </c>
      <c r="E202" s="53" t="s">
        <v>23</v>
      </c>
      <c r="F202" s="54">
        <v>1</v>
      </c>
      <c r="G202" s="54">
        <v>0</v>
      </c>
      <c r="H202" s="54">
        <v>0</v>
      </c>
      <c r="I202" s="54">
        <v>1</v>
      </c>
      <c r="J202" s="54">
        <v>14321</v>
      </c>
      <c r="K202" s="54">
        <v>0</v>
      </c>
      <c r="L202" s="54">
        <v>14321</v>
      </c>
      <c r="M202" s="54">
        <v>2600</v>
      </c>
    </row>
    <row r="203" spans="1:13" x14ac:dyDescent="0.2">
      <c r="A203" s="52" t="s">
        <v>630</v>
      </c>
      <c r="B203" s="67" t="s">
        <v>629</v>
      </c>
      <c r="C203" s="52" t="s">
        <v>32</v>
      </c>
      <c r="D203" s="53" t="s">
        <v>22</v>
      </c>
      <c r="E203" s="53" t="s">
        <v>23</v>
      </c>
      <c r="F203" s="54">
        <v>1</v>
      </c>
      <c r="G203" s="54">
        <v>0</v>
      </c>
      <c r="H203" s="54">
        <v>0</v>
      </c>
      <c r="I203" s="54">
        <v>1</v>
      </c>
      <c r="J203" s="54">
        <v>7500</v>
      </c>
      <c r="K203" s="54">
        <v>0</v>
      </c>
      <c r="L203" s="54">
        <v>7500</v>
      </c>
      <c r="M203" s="54">
        <v>3120</v>
      </c>
    </row>
    <row r="204" spans="1:13" x14ac:dyDescent="0.2">
      <c r="A204" s="52" t="s">
        <v>638</v>
      </c>
      <c r="B204" s="67" t="s">
        <v>637</v>
      </c>
      <c r="C204" s="52" t="s">
        <v>32</v>
      </c>
      <c r="D204" s="53" t="s">
        <v>27</v>
      </c>
      <c r="E204" s="53" t="s">
        <v>28</v>
      </c>
      <c r="F204" s="54">
        <v>1</v>
      </c>
      <c r="G204" s="54">
        <v>0</v>
      </c>
      <c r="H204" s="54">
        <v>0</v>
      </c>
      <c r="I204" s="54">
        <v>1</v>
      </c>
      <c r="J204" s="54">
        <v>4649</v>
      </c>
      <c r="K204" s="54">
        <v>0</v>
      </c>
      <c r="L204" s="54">
        <v>4649</v>
      </c>
      <c r="M204" s="54">
        <v>1856</v>
      </c>
    </row>
    <row r="205" spans="1:13" x14ac:dyDescent="0.2">
      <c r="A205" s="52" t="s">
        <v>646</v>
      </c>
      <c r="B205" s="67" t="s">
        <v>645</v>
      </c>
      <c r="C205" s="52" t="s">
        <v>32</v>
      </c>
      <c r="D205" s="53" t="s">
        <v>647</v>
      </c>
      <c r="E205" s="53" t="s">
        <v>648</v>
      </c>
      <c r="F205" s="54">
        <v>1</v>
      </c>
      <c r="G205" s="54">
        <v>0</v>
      </c>
      <c r="H205" s="54">
        <v>0</v>
      </c>
      <c r="I205" s="54">
        <v>1</v>
      </c>
      <c r="J205" s="54">
        <v>11000</v>
      </c>
      <c r="K205" s="54">
        <v>0</v>
      </c>
      <c r="L205" s="54">
        <v>11000</v>
      </c>
      <c r="M205" s="54">
        <v>1989</v>
      </c>
    </row>
    <row r="206" spans="1:13" x14ac:dyDescent="0.2">
      <c r="A206" s="52" t="s">
        <v>656</v>
      </c>
      <c r="B206" s="67" t="s">
        <v>655</v>
      </c>
      <c r="C206" s="52" t="s">
        <v>32</v>
      </c>
      <c r="D206" s="53" t="s">
        <v>27</v>
      </c>
      <c r="E206" s="53" t="s">
        <v>28</v>
      </c>
      <c r="F206" s="54">
        <v>1</v>
      </c>
      <c r="G206" s="54">
        <v>0</v>
      </c>
      <c r="H206" s="54">
        <v>0</v>
      </c>
      <c r="I206" s="54">
        <v>1</v>
      </c>
      <c r="J206" s="54">
        <v>6400</v>
      </c>
      <c r="K206" s="54">
        <v>0</v>
      </c>
      <c r="L206" s="54">
        <v>6400</v>
      </c>
      <c r="M206" s="54">
        <v>1572</v>
      </c>
    </row>
    <row r="207" spans="1:13" x14ac:dyDescent="0.2">
      <c r="A207" s="52" t="s">
        <v>674</v>
      </c>
      <c r="B207" s="67" t="s">
        <v>673</v>
      </c>
      <c r="C207" s="52" t="s">
        <v>32</v>
      </c>
      <c r="D207" s="53" t="s">
        <v>22</v>
      </c>
      <c r="E207" s="53" t="s">
        <v>23</v>
      </c>
      <c r="F207" s="54">
        <v>1</v>
      </c>
      <c r="G207" s="54">
        <v>1</v>
      </c>
      <c r="H207" s="54">
        <v>0</v>
      </c>
      <c r="I207" s="54">
        <v>2</v>
      </c>
      <c r="J207" s="54">
        <v>9400</v>
      </c>
      <c r="K207" s="54">
        <v>800</v>
      </c>
      <c r="L207" s="54">
        <v>10200</v>
      </c>
      <c r="M207" s="54">
        <v>3449</v>
      </c>
    </row>
    <row r="208" spans="1:13" x14ac:dyDescent="0.2">
      <c r="A208" s="52" t="s">
        <v>676</v>
      </c>
      <c r="B208" s="67" t="s">
        <v>675</v>
      </c>
      <c r="C208" s="52" t="s">
        <v>32</v>
      </c>
      <c r="D208" s="53" t="s">
        <v>67</v>
      </c>
      <c r="E208" s="53" t="s">
        <v>68</v>
      </c>
      <c r="F208" s="54">
        <v>1</v>
      </c>
      <c r="G208" s="54">
        <v>0</v>
      </c>
      <c r="H208" s="54">
        <v>0</v>
      </c>
      <c r="I208" s="54">
        <v>1</v>
      </c>
      <c r="J208" s="54">
        <v>3576</v>
      </c>
      <c r="K208" s="54">
        <v>0</v>
      </c>
      <c r="L208" s="54">
        <v>3576</v>
      </c>
      <c r="M208" s="54">
        <v>2236</v>
      </c>
    </row>
    <row r="209" spans="1:13" x14ac:dyDescent="0.2">
      <c r="A209" s="52" t="s">
        <v>684</v>
      </c>
      <c r="B209" s="67" t="s">
        <v>683</v>
      </c>
      <c r="C209" s="52" t="s">
        <v>32</v>
      </c>
      <c r="D209" s="53" t="s">
        <v>27</v>
      </c>
      <c r="E209" s="53" t="s">
        <v>28</v>
      </c>
      <c r="F209" s="54">
        <v>1</v>
      </c>
      <c r="G209" s="54">
        <v>0</v>
      </c>
      <c r="H209" s="54">
        <v>0</v>
      </c>
      <c r="I209" s="54">
        <v>1</v>
      </c>
      <c r="J209" s="54">
        <v>5600</v>
      </c>
      <c r="K209" s="54">
        <v>0</v>
      </c>
      <c r="L209" s="54">
        <v>5600</v>
      </c>
      <c r="M209" s="54">
        <v>2145</v>
      </c>
    </row>
    <row r="210" spans="1:13" x14ac:dyDescent="0.2">
      <c r="A210" s="52" t="s">
        <v>690</v>
      </c>
      <c r="B210" s="67" t="s">
        <v>689</v>
      </c>
      <c r="C210" s="52" t="s">
        <v>32</v>
      </c>
      <c r="D210" s="53" t="s">
        <v>22</v>
      </c>
      <c r="E210" s="53" t="s">
        <v>23</v>
      </c>
      <c r="F210" s="54">
        <v>1</v>
      </c>
      <c r="G210" s="54">
        <v>0</v>
      </c>
      <c r="H210" s="54">
        <v>0</v>
      </c>
      <c r="I210" s="54">
        <v>1</v>
      </c>
      <c r="J210" s="54">
        <v>7500</v>
      </c>
      <c r="K210" s="54">
        <v>0</v>
      </c>
      <c r="L210" s="54">
        <v>7500</v>
      </c>
      <c r="M210" s="54">
        <v>2476</v>
      </c>
    </row>
    <row r="211" spans="1:13" x14ac:dyDescent="0.2">
      <c r="A211" s="52" t="s">
        <v>694</v>
      </c>
      <c r="B211" s="67" t="s">
        <v>693</v>
      </c>
      <c r="C211" s="52" t="s">
        <v>32</v>
      </c>
      <c r="D211" s="53" t="s">
        <v>17</v>
      </c>
      <c r="E211" s="53" t="s">
        <v>18</v>
      </c>
      <c r="F211" s="54">
        <v>1</v>
      </c>
      <c r="G211" s="54">
        <v>1</v>
      </c>
      <c r="H211" s="54">
        <v>0</v>
      </c>
      <c r="I211" s="54">
        <v>2</v>
      </c>
      <c r="J211" s="54">
        <v>5537</v>
      </c>
      <c r="K211" s="54">
        <v>3600</v>
      </c>
      <c r="L211" s="54">
        <v>9137</v>
      </c>
      <c r="M211" s="54">
        <v>3848</v>
      </c>
    </row>
    <row r="212" spans="1:13" x14ac:dyDescent="0.2">
      <c r="A212" s="52" t="s">
        <v>700</v>
      </c>
      <c r="B212" s="67" t="s">
        <v>699</v>
      </c>
      <c r="C212" s="52" t="s">
        <v>32</v>
      </c>
      <c r="D212" s="53" t="s">
        <v>17</v>
      </c>
      <c r="E212" s="53" t="s">
        <v>18</v>
      </c>
      <c r="F212" s="54">
        <v>1</v>
      </c>
      <c r="G212" s="54">
        <v>0</v>
      </c>
      <c r="H212" s="54">
        <v>0</v>
      </c>
      <c r="I212" s="54">
        <v>1</v>
      </c>
      <c r="J212" s="54">
        <v>6900</v>
      </c>
      <c r="K212" s="54">
        <v>0</v>
      </c>
      <c r="L212" s="54">
        <v>6900</v>
      </c>
      <c r="M212" s="54">
        <v>2002</v>
      </c>
    </row>
    <row r="213" spans="1:13" x14ac:dyDescent="0.2">
      <c r="A213" s="52" t="s">
        <v>706</v>
      </c>
      <c r="B213" s="67" t="s">
        <v>705</v>
      </c>
      <c r="C213" s="52" t="s">
        <v>32</v>
      </c>
      <c r="D213" s="53" t="s">
        <v>264</v>
      </c>
      <c r="E213" s="53" t="s">
        <v>265</v>
      </c>
      <c r="F213" s="54">
        <v>1</v>
      </c>
      <c r="G213" s="54">
        <v>0</v>
      </c>
      <c r="H213" s="54">
        <v>0</v>
      </c>
      <c r="I213" s="54">
        <v>1</v>
      </c>
      <c r="J213" s="54">
        <v>8679</v>
      </c>
      <c r="K213" s="54">
        <v>0</v>
      </c>
      <c r="L213" s="54">
        <v>8679</v>
      </c>
      <c r="M213" s="54">
        <v>2704</v>
      </c>
    </row>
    <row r="214" spans="1:13" x14ac:dyDescent="0.2">
      <c r="A214" s="52" t="s">
        <v>718</v>
      </c>
      <c r="B214" s="67" t="s">
        <v>717</v>
      </c>
      <c r="C214" s="52" t="s">
        <v>32</v>
      </c>
      <c r="D214" s="53" t="s">
        <v>27</v>
      </c>
      <c r="E214" s="53" t="s">
        <v>28</v>
      </c>
      <c r="F214" s="54">
        <v>1</v>
      </c>
      <c r="G214" s="54">
        <v>0</v>
      </c>
      <c r="H214" s="54">
        <v>0</v>
      </c>
      <c r="I214" s="54">
        <v>1</v>
      </c>
      <c r="J214" s="54">
        <v>11000</v>
      </c>
      <c r="K214" s="54">
        <v>0</v>
      </c>
      <c r="L214" s="54">
        <v>11000</v>
      </c>
      <c r="M214" s="54">
        <v>2808</v>
      </c>
    </row>
    <row r="215" spans="1:13" x14ac:dyDescent="0.2">
      <c r="A215" s="52" t="s">
        <v>724</v>
      </c>
      <c r="B215" s="67" t="s">
        <v>723</v>
      </c>
      <c r="C215" s="52" t="s">
        <v>32</v>
      </c>
      <c r="D215" s="53" t="s">
        <v>67</v>
      </c>
      <c r="E215" s="53" t="s">
        <v>68</v>
      </c>
      <c r="F215" s="54">
        <v>1</v>
      </c>
      <c r="G215" s="54">
        <v>0</v>
      </c>
      <c r="H215" s="54">
        <v>0</v>
      </c>
      <c r="I215" s="54">
        <v>1</v>
      </c>
      <c r="J215" s="54">
        <v>8540</v>
      </c>
      <c r="K215" s="54">
        <v>0</v>
      </c>
      <c r="L215" s="54">
        <v>8540</v>
      </c>
      <c r="M215" s="54">
        <v>2340</v>
      </c>
    </row>
    <row r="216" spans="1:13" x14ac:dyDescent="0.2">
      <c r="A216" s="52" t="s">
        <v>726</v>
      </c>
      <c r="B216" s="67" t="s">
        <v>725</v>
      </c>
      <c r="C216" s="52" t="s">
        <v>32</v>
      </c>
      <c r="D216" s="53" t="s">
        <v>27</v>
      </c>
      <c r="E216" s="53" t="s">
        <v>28</v>
      </c>
      <c r="F216" s="54">
        <v>1</v>
      </c>
      <c r="G216" s="54">
        <v>0</v>
      </c>
      <c r="H216" s="54">
        <v>0</v>
      </c>
      <c r="I216" s="54">
        <v>1</v>
      </c>
      <c r="J216" s="54">
        <v>17000</v>
      </c>
      <c r="K216" s="54">
        <v>0</v>
      </c>
      <c r="L216" s="54">
        <v>17000</v>
      </c>
      <c r="M216" s="54">
        <v>2583</v>
      </c>
    </row>
    <row r="217" spans="1:13" x14ac:dyDescent="0.2">
      <c r="A217" s="52" t="s">
        <v>742</v>
      </c>
      <c r="B217" s="67" t="s">
        <v>741</v>
      </c>
      <c r="C217" s="52" t="s">
        <v>32</v>
      </c>
      <c r="D217" s="53" t="s">
        <v>27</v>
      </c>
      <c r="E217" s="53" t="s">
        <v>28</v>
      </c>
      <c r="F217" s="54">
        <v>1</v>
      </c>
      <c r="G217" s="54">
        <v>0</v>
      </c>
      <c r="H217" s="54">
        <v>0</v>
      </c>
      <c r="I217" s="54">
        <v>1</v>
      </c>
      <c r="J217" s="54">
        <v>6328</v>
      </c>
      <c r="K217" s="54">
        <v>0</v>
      </c>
      <c r="L217" s="54">
        <v>6328</v>
      </c>
      <c r="M217" s="54">
        <v>2600</v>
      </c>
    </row>
    <row r="218" spans="1:13" x14ac:dyDescent="0.2">
      <c r="A218" s="52" t="s">
        <v>747</v>
      </c>
      <c r="B218" s="67" t="s">
        <v>746</v>
      </c>
      <c r="C218" s="52" t="s">
        <v>32</v>
      </c>
      <c r="D218" s="53" t="s">
        <v>27</v>
      </c>
      <c r="E218" s="53" t="s">
        <v>28</v>
      </c>
      <c r="F218" s="54">
        <v>1</v>
      </c>
      <c r="G218" s="54">
        <v>0</v>
      </c>
      <c r="H218" s="54">
        <v>0</v>
      </c>
      <c r="I218" s="54">
        <v>1</v>
      </c>
      <c r="J218" s="54">
        <v>4472</v>
      </c>
      <c r="K218" s="54">
        <v>0</v>
      </c>
      <c r="L218" s="54">
        <v>4472</v>
      </c>
      <c r="M218" s="54">
        <v>2805</v>
      </c>
    </row>
    <row r="219" spans="1:13" x14ac:dyDescent="0.2">
      <c r="A219" s="52" t="s">
        <v>749</v>
      </c>
      <c r="B219" s="67" t="s">
        <v>748</v>
      </c>
      <c r="C219" s="52" t="s">
        <v>32</v>
      </c>
      <c r="D219" s="53" t="s">
        <v>27</v>
      </c>
      <c r="E219" s="53" t="s">
        <v>28</v>
      </c>
      <c r="F219" s="54">
        <v>1</v>
      </c>
      <c r="G219" s="54">
        <v>0</v>
      </c>
      <c r="H219" s="54">
        <v>0</v>
      </c>
      <c r="I219" s="54">
        <v>1</v>
      </c>
      <c r="J219" s="54">
        <v>15000</v>
      </c>
      <c r="K219" s="54">
        <v>0</v>
      </c>
      <c r="L219" s="54">
        <v>15000</v>
      </c>
      <c r="M219" s="54">
        <v>2340</v>
      </c>
    </row>
    <row r="220" spans="1:13" x14ac:dyDescent="0.2">
      <c r="A220" s="52" t="s">
        <v>759</v>
      </c>
      <c r="B220" s="67" t="s">
        <v>758</v>
      </c>
      <c r="C220" s="52" t="s">
        <v>32</v>
      </c>
      <c r="D220" s="53" t="s">
        <v>27</v>
      </c>
      <c r="E220" s="53" t="s">
        <v>28</v>
      </c>
      <c r="F220" s="54">
        <v>1</v>
      </c>
      <c r="G220" s="54">
        <v>0</v>
      </c>
      <c r="H220" s="54">
        <v>0</v>
      </c>
      <c r="I220" s="54">
        <v>1</v>
      </c>
      <c r="J220" s="54">
        <v>5800</v>
      </c>
      <c r="K220" s="54">
        <v>0</v>
      </c>
      <c r="L220" s="54">
        <v>5800</v>
      </c>
      <c r="M220" s="54">
        <v>2548</v>
      </c>
    </row>
    <row r="221" spans="1:13" x14ac:dyDescent="0.2">
      <c r="A221" s="52" t="s">
        <v>763</v>
      </c>
      <c r="B221" s="67" t="s">
        <v>762</v>
      </c>
      <c r="C221" s="52" t="s">
        <v>32</v>
      </c>
      <c r="D221" s="53" t="s">
        <v>67</v>
      </c>
      <c r="E221" s="53" t="s">
        <v>68</v>
      </c>
      <c r="F221" s="54">
        <v>1</v>
      </c>
      <c r="G221" s="54">
        <v>0</v>
      </c>
      <c r="H221" s="54">
        <v>0</v>
      </c>
      <c r="I221" s="54">
        <v>1</v>
      </c>
      <c r="J221" s="54">
        <v>14360</v>
      </c>
      <c r="K221" s="54">
        <v>0</v>
      </c>
      <c r="L221" s="54">
        <v>14360</v>
      </c>
      <c r="M221" s="54">
        <v>2794</v>
      </c>
    </row>
    <row r="222" spans="1:13" x14ac:dyDescent="0.2">
      <c r="A222" s="52" t="s">
        <v>765</v>
      </c>
      <c r="B222" s="67" t="s">
        <v>764</v>
      </c>
      <c r="C222" s="52" t="s">
        <v>32</v>
      </c>
      <c r="D222" s="53" t="s">
        <v>27</v>
      </c>
      <c r="E222" s="53" t="s">
        <v>28</v>
      </c>
      <c r="F222" s="54">
        <v>1</v>
      </c>
      <c r="G222" s="54">
        <v>0</v>
      </c>
      <c r="H222" s="54">
        <v>0</v>
      </c>
      <c r="I222" s="54">
        <v>1</v>
      </c>
      <c r="J222" s="54">
        <v>6000</v>
      </c>
      <c r="K222" s="54">
        <v>0</v>
      </c>
      <c r="L222" s="54">
        <v>6000</v>
      </c>
      <c r="M222" s="54">
        <v>2252</v>
      </c>
    </row>
    <row r="223" spans="1:13" x14ac:dyDescent="0.2">
      <c r="A223" s="52" t="s">
        <v>773</v>
      </c>
      <c r="B223" s="67" t="s">
        <v>772</v>
      </c>
      <c r="C223" s="52" t="s">
        <v>32</v>
      </c>
      <c r="D223" s="53" t="s">
        <v>456</v>
      </c>
      <c r="E223" s="53" t="s">
        <v>457</v>
      </c>
      <c r="F223" s="54">
        <v>1</v>
      </c>
      <c r="G223" s="54">
        <v>0</v>
      </c>
      <c r="H223" s="54">
        <v>0</v>
      </c>
      <c r="I223" s="54">
        <v>1</v>
      </c>
      <c r="J223" s="54">
        <v>9200</v>
      </c>
      <c r="K223" s="54">
        <v>0</v>
      </c>
      <c r="L223" s="54">
        <v>9200</v>
      </c>
      <c r="M223" s="54">
        <v>2248</v>
      </c>
    </row>
    <row r="224" spans="1:13" x14ac:dyDescent="0.2">
      <c r="A224" s="52" t="s">
        <v>803</v>
      </c>
      <c r="B224" s="67" t="s">
        <v>802</v>
      </c>
      <c r="C224" s="52" t="s">
        <v>32</v>
      </c>
      <c r="D224" s="53" t="s">
        <v>27</v>
      </c>
      <c r="E224" s="53" t="s">
        <v>28</v>
      </c>
      <c r="F224" s="54">
        <v>1</v>
      </c>
      <c r="G224" s="54">
        <v>0</v>
      </c>
      <c r="H224" s="54">
        <v>0</v>
      </c>
      <c r="I224" s="54">
        <v>1</v>
      </c>
      <c r="J224" s="54">
        <v>2500</v>
      </c>
      <c r="K224" s="56">
        <v>0</v>
      </c>
      <c r="L224" s="54">
        <v>2500</v>
      </c>
      <c r="M224" s="54">
        <v>1732</v>
      </c>
    </row>
    <row r="225" spans="1:13" x14ac:dyDescent="0.2">
      <c r="A225" s="52" t="s">
        <v>817</v>
      </c>
      <c r="B225" s="67" t="s">
        <v>816</v>
      </c>
      <c r="C225" s="52" t="s">
        <v>32</v>
      </c>
      <c r="D225" s="53" t="s">
        <v>27</v>
      </c>
      <c r="E225" s="53" t="s">
        <v>28</v>
      </c>
      <c r="F225" s="54">
        <v>1</v>
      </c>
      <c r="G225" s="54">
        <v>0</v>
      </c>
      <c r="H225" s="54">
        <v>0</v>
      </c>
      <c r="I225" s="54">
        <v>1</v>
      </c>
      <c r="J225" s="54">
        <v>9300</v>
      </c>
      <c r="K225" s="54">
        <v>0</v>
      </c>
      <c r="L225" s="54">
        <v>9300</v>
      </c>
      <c r="M225" s="54">
        <v>2236</v>
      </c>
    </row>
    <row r="226" spans="1:13" x14ac:dyDescent="0.2">
      <c r="A226" s="52" t="s">
        <v>819</v>
      </c>
      <c r="B226" s="67" t="s">
        <v>818</v>
      </c>
      <c r="C226" s="52" t="s">
        <v>32</v>
      </c>
      <c r="D226" s="53" t="s">
        <v>27</v>
      </c>
      <c r="E226" s="53" t="s">
        <v>28</v>
      </c>
      <c r="F226" s="54">
        <v>1</v>
      </c>
      <c r="G226" s="54">
        <v>0</v>
      </c>
      <c r="H226" s="54">
        <v>0</v>
      </c>
      <c r="I226" s="54">
        <v>1</v>
      </c>
      <c r="J226" s="54">
        <v>10000</v>
      </c>
      <c r="K226" s="54">
        <v>0</v>
      </c>
      <c r="L226" s="54">
        <v>10000</v>
      </c>
      <c r="M226" s="54">
        <v>2518</v>
      </c>
    </row>
    <row r="227" spans="1:13" x14ac:dyDescent="0.2">
      <c r="A227" s="52" t="s">
        <v>823</v>
      </c>
      <c r="B227" s="67" t="s">
        <v>822</v>
      </c>
      <c r="C227" s="52" t="s">
        <v>32</v>
      </c>
      <c r="D227" s="53" t="s">
        <v>27</v>
      </c>
      <c r="E227" s="53" t="s">
        <v>28</v>
      </c>
      <c r="F227" s="54">
        <v>1</v>
      </c>
      <c r="G227" s="54">
        <v>0</v>
      </c>
      <c r="H227" s="54">
        <v>0</v>
      </c>
      <c r="I227" s="54">
        <v>1</v>
      </c>
      <c r="J227" s="54">
        <v>5847</v>
      </c>
      <c r="K227" s="54">
        <v>0</v>
      </c>
      <c r="L227" s="54">
        <v>5847</v>
      </c>
      <c r="M227" s="54">
        <v>2388</v>
      </c>
    </row>
    <row r="228" spans="1:13" x14ac:dyDescent="0.2">
      <c r="A228" s="52" t="s">
        <v>825</v>
      </c>
      <c r="B228" s="67" t="s">
        <v>824</v>
      </c>
      <c r="C228" s="52" t="s">
        <v>32</v>
      </c>
      <c r="D228" s="53" t="s">
        <v>22</v>
      </c>
      <c r="E228" s="53" t="s">
        <v>23</v>
      </c>
      <c r="F228" s="54">
        <v>1</v>
      </c>
      <c r="G228" s="54">
        <v>0</v>
      </c>
      <c r="H228" s="54">
        <v>0</v>
      </c>
      <c r="I228" s="54">
        <v>1</v>
      </c>
      <c r="J228" s="54">
        <v>11765</v>
      </c>
      <c r="K228" s="54">
        <v>0</v>
      </c>
      <c r="L228" s="54">
        <v>11765</v>
      </c>
      <c r="M228" s="54">
        <v>2693</v>
      </c>
    </row>
    <row r="229" spans="1:13" x14ac:dyDescent="0.2">
      <c r="A229" s="52" t="s">
        <v>831</v>
      </c>
      <c r="B229" s="67" t="s">
        <v>830</v>
      </c>
      <c r="C229" s="52" t="s">
        <v>32</v>
      </c>
      <c r="D229" s="53" t="s">
        <v>27</v>
      </c>
      <c r="E229" s="53" t="s">
        <v>28</v>
      </c>
      <c r="F229" s="54">
        <v>1</v>
      </c>
      <c r="G229" s="54">
        <v>0</v>
      </c>
      <c r="H229" s="54">
        <v>0</v>
      </c>
      <c r="I229" s="54">
        <v>1</v>
      </c>
      <c r="J229" s="54">
        <v>3600</v>
      </c>
      <c r="K229" s="54">
        <v>0</v>
      </c>
      <c r="L229" s="54">
        <v>3600</v>
      </c>
      <c r="M229" s="54">
        <v>2092</v>
      </c>
    </row>
    <row r="230" spans="1:13" x14ac:dyDescent="0.2">
      <c r="A230" s="52" t="s">
        <v>26</v>
      </c>
      <c r="B230" s="67" t="s">
        <v>25</v>
      </c>
      <c r="C230" s="52" t="s">
        <v>29</v>
      </c>
      <c r="D230" s="53" t="s">
        <v>27</v>
      </c>
      <c r="E230" s="53" t="s">
        <v>28</v>
      </c>
      <c r="F230" s="54">
        <v>1</v>
      </c>
      <c r="G230" s="54">
        <v>0</v>
      </c>
      <c r="H230" s="54">
        <v>0</v>
      </c>
      <c r="I230" s="54">
        <v>1</v>
      </c>
      <c r="J230" s="54">
        <v>37200</v>
      </c>
      <c r="K230" s="54">
        <v>0</v>
      </c>
      <c r="L230" s="54">
        <v>37200</v>
      </c>
      <c r="M230" s="54">
        <v>2760</v>
      </c>
    </row>
    <row r="231" spans="1:13" x14ac:dyDescent="0.2">
      <c r="A231" s="52" t="s">
        <v>42</v>
      </c>
      <c r="B231" s="67" t="s">
        <v>41</v>
      </c>
      <c r="C231" s="52" t="s">
        <v>29</v>
      </c>
      <c r="D231" s="53" t="s">
        <v>14</v>
      </c>
      <c r="E231" s="53" t="s">
        <v>15</v>
      </c>
      <c r="F231" s="54">
        <v>1</v>
      </c>
      <c r="G231" s="54">
        <v>0</v>
      </c>
      <c r="H231" s="54">
        <v>0</v>
      </c>
      <c r="I231" s="54">
        <v>1</v>
      </c>
      <c r="J231" s="54">
        <v>21266</v>
      </c>
      <c r="K231" s="54">
        <v>0</v>
      </c>
      <c r="L231" s="54">
        <v>21266</v>
      </c>
      <c r="M231" s="54">
        <v>3108</v>
      </c>
    </row>
    <row r="232" spans="1:13" x14ac:dyDescent="0.2">
      <c r="A232" s="52" t="s">
        <v>70</v>
      </c>
      <c r="B232" s="67" t="s">
        <v>69</v>
      </c>
      <c r="C232" s="52" t="s">
        <v>29</v>
      </c>
      <c r="D232" s="53" t="s">
        <v>71</v>
      </c>
      <c r="E232" s="53" t="s">
        <v>72</v>
      </c>
      <c r="F232" s="54">
        <v>1</v>
      </c>
      <c r="G232" s="54">
        <v>0</v>
      </c>
      <c r="H232" s="54">
        <v>0</v>
      </c>
      <c r="I232" s="54">
        <v>1</v>
      </c>
      <c r="J232" s="54">
        <v>20500</v>
      </c>
      <c r="K232" s="54">
        <v>0</v>
      </c>
      <c r="L232" s="54">
        <v>20500</v>
      </c>
      <c r="M232" s="54">
        <v>3018</v>
      </c>
    </row>
    <row r="233" spans="1:13" x14ac:dyDescent="0.2">
      <c r="A233" s="52" t="s">
        <v>76</v>
      </c>
      <c r="B233" s="67" t="s">
        <v>75</v>
      </c>
      <c r="C233" s="52" t="s">
        <v>29</v>
      </c>
      <c r="D233" s="53" t="s">
        <v>27</v>
      </c>
      <c r="E233" s="53" t="s">
        <v>28</v>
      </c>
      <c r="F233" s="54">
        <v>1</v>
      </c>
      <c r="G233" s="54">
        <v>0</v>
      </c>
      <c r="H233" s="54">
        <v>0</v>
      </c>
      <c r="I233" s="54">
        <v>1</v>
      </c>
      <c r="J233" s="54">
        <v>15000</v>
      </c>
      <c r="K233" s="54">
        <v>0</v>
      </c>
      <c r="L233" s="54">
        <v>15000</v>
      </c>
      <c r="M233" s="54">
        <v>2870</v>
      </c>
    </row>
    <row r="234" spans="1:13" x14ac:dyDescent="0.2">
      <c r="A234" s="52" t="s">
        <v>96</v>
      </c>
      <c r="B234" s="67" t="s">
        <v>95</v>
      </c>
      <c r="C234" s="52" t="s">
        <v>29</v>
      </c>
      <c r="D234" s="53" t="s">
        <v>27</v>
      </c>
      <c r="E234" s="53" t="s">
        <v>28</v>
      </c>
      <c r="F234" s="54">
        <v>1</v>
      </c>
      <c r="G234" s="54">
        <v>0</v>
      </c>
      <c r="H234" s="54">
        <v>0</v>
      </c>
      <c r="I234" s="54">
        <v>1</v>
      </c>
      <c r="J234" s="54">
        <v>25000</v>
      </c>
      <c r="K234" s="54">
        <v>0</v>
      </c>
      <c r="L234" s="54">
        <v>25000</v>
      </c>
      <c r="M234" s="54">
        <v>2513</v>
      </c>
    </row>
    <row r="235" spans="1:13" x14ac:dyDescent="0.2">
      <c r="A235" s="52" t="s">
        <v>102</v>
      </c>
      <c r="B235" s="67" t="s">
        <v>101</v>
      </c>
      <c r="C235" s="52" t="s">
        <v>29</v>
      </c>
      <c r="D235" s="53" t="s">
        <v>27</v>
      </c>
      <c r="E235" s="53" t="s">
        <v>28</v>
      </c>
      <c r="F235" s="54">
        <v>1</v>
      </c>
      <c r="G235" s="54">
        <v>0</v>
      </c>
      <c r="H235" s="54">
        <v>0</v>
      </c>
      <c r="I235" s="54">
        <v>1</v>
      </c>
      <c r="J235" s="54">
        <v>15000</v>
      </c>
      <c r="K235" s="54">
        <v>0</v>
      </c>
      <c r="L235" s="54">
        <v>15000</v>
      </c>
      <c r="M235" s="54">
        <v>2650</v>
      </c>
    </row>
    <row r="236" spans="1:13" x14ac:dyDescent="0.2">
      <c r="A236" s="52" t="s">
        <v>110</v>
      </c>
      <c r="B236" s="67" t="s">
        <v>109</v>
      </c>
      <c r="C236" s="52" t="s">
        <v>29</v>
      </c>
      <c r="D236" s="53" t="s">
        <v>27</v>
      </c>
      <c r="E236" s="53" t="s">
        <v>28</v>
      </c>
      <c r="F236" s="54">
        <v>1</v>
      </c>
      <c r="G236" s="54">
        <v>0</v>
      </c>
      <c r="H236" s="54">
        <v>0</v>
      </c>
      <c r="I236" s="54">
        <v>1</v>
      </c>
      <c r="J236" s="54">
        <v>13982</v>
      </c>
      <c r="K236" s="54">
        <v>0</v>
      </c>
      <c r="L236" s="54">
        <v>13982</v>
      </c>
      <c r="M236" s="54">
        <v>2080</v>
      </c>
    </row>
    <row r="237" spans="1:13" x14ac:dyDescent="0.2">
      <c r="A237" s="52" t="s">
        <v>122</v>
      </c>
      <c r="B237" s="67" t="s">
        <v>121</v>
      </c>
      <c r="C237" s="52" t="s">
        <v>29</v>
      </c>
      <c r="D237" s="53" t="s">
        <v>22</v>
      </c>
      <c r="E237" s="53" t="s">
        <v>23</v>
      </c>
      <c r="F237" s="54">
        <v>1</v>
      </c>
      <c r="G237" s="54">
        <v>0</v>
      </c>
      <c r="H237" s="54">
        <v>0</v>
      </c>
      <c r="I237" s="54">
        <v>1</v>
      </c>
      <c r="J237" s="54">
        <v>19264</v>
      </c>
      <c r="K237" s="54">
        <v>0</v>
      </c>
      <c r="L237" s="54">
        <v>19264</v>
      </c>
      <c r="M237" s="54">
        <v>3224</v>
      </c>
    </row>
    <row r="238" spans="1:13" x14ac:dyDescent="0.2">
      <c r="A238" s="52" t="s">
        <v>124</v>
      </c>
      <c r="B238" s="67" t="s">
        <v>123</v>
      </c>
      <c r="C238" s="52" t="s">
        <v>29</v>
      </c>
      <c r="D238" s="53" t="s">
        <v>22</v>
      </c>
      <c r="E238" s="53" t="s">
        <v>23</v>
      </c>
      <c r="F238" s="54">
        <v>1</v>
      </c>
      <c r="G238" s="54">
        <v>0</v>
      </c>
      <c r="H238" s="54">
        <v>0</v>
      </c>
      <c r="I238" s="54">
        <v>1</v>
      </c>
      <c r="J238" s="54">
        <v>13050</v>
      </c>
      <c r="K238" s="54">
        <v>0</v>
      </c>
      <c r="L238" s="54">
        <v>13050</v>
      </c>
      <c r="M238" s="54">
        <v>3120</v>
      </c>
    </row>
    <row r="239" spans="1:13" x14ac:dyDescent="0.2">
      <c r="A239" s="52" t="s">
        <v>128</v>
      </c>
      <c r="B239" s="67" t="s">
        <v>127</v>
      </c>
      <c r="C239" s="52" t="s">
        <v>29</v>
      </c>
      <c r="D239" s="53" t="s">
        <v>27</v>
      </c>
      <c r="E239" s="53" t="s">
        <v>28</v>
      </c>
      <c r="F239" s="54">
        <v>1</v>
      </c>
      <c r="G239" s="54">
        <v>0</v>
      </c>
      <c r="H239" s="54">
        <v>0</v>
      </c>
      <c r="I239" s="54">
        <v>1</v>
      </c>
      <c r="J239" s="54">
        <v>9616</v>
      </c>
      <c r="K239" s="54">
        <v>0</v>
      </c>
      <c r="L239" s="54">
        <v>9616</v>
      </c>
      <c r="M239" s="54">
        <v>2638</v>
      </c>
    </row>
    <row r="240" spans="1:13" x14ac:dyDescent="0.2">
      <c r="A240" s="52" t="s">
        <v>166</v>
      </c>
      <c r="B240" s="67" t="s">
        <v>165</v>
      </c>
      <c r="C240" s="52" t="s">
        <v>29</v>
      </c>
      <c r="D240" s="53" t="s">
        <v>27</v>
      </c>
      <c r="E240" s="53" t="s">
        <v>28</v>
      </c>
      <c r="F240" s="54">
        <v>1</v>
      </c>
      <c r="G240" s="54">
        <v>0</v>
      </c>
      <c r="H240" s="54">
        <v>0</v>
      </c>
      <c r="I240" s="54">
        <v>1</v>
      </c>
      <c r="J240" s="54">
        <v>9888</v>
      </c>
      <c r="K240" s="54">
        <v>0</v>
      </c>
      <c r="L240" s="54">
        <v>9888</v>
      </c>
      <c r="M240" s="54">
        <v>3109</v>
      </c>
    </row>
    <row r="241" spans="1:13" x14ac:dyDescent="0.2">
      <c r="A241" s="52" t="s">
        <v>170</v>
      </c>
      <c r="B241" s="67" t="s">
        <v>169</v>
      </c>
      <c r="C241" s="52" t="s">
        <v>29</v>
      </c>
      <c r="D241" s="53" t="s">
        <v>27</v>
      </c>
      <c r="E241" s="53" t="s">
        <v>28</v>
      </c>
      <c r="F241" s="54">
        <v>1</v>
      </c>
      <c r="G241" s="54">
        <v>0</v>
      </c>
      <c r="H241" s="54">
        <v>0</v>
      </c>
      <c r="I241" s="54">
        <v>1</v>
      </c>
      <c r="J241" s="54">
        <v>12500</v>
      </c>
      <c r="K241" s="54">
        <v>0</v>
      </c>
      <c r="L241" s="54">
        <v>12500</v>
      </c>
      <c r="M241" s="54">
        <v>2985</v>
      </c>
    </row>
    <row r="242" spans="1:13" x14ac:dyDescent="0.2">
      <c r="A242" s="52" t="s">
        <v>174</v>
      </c>
      <c r="B242" s="67" t="s">
        <v>173</v>
      </c>
      <c r="C242" s="52" t="s">
        <v>29</v>
      </c>
      <c r="D242" s="53" t="s">
        <v>27</v>
      </c>
      <c r="E242" s="53" t="s">
        <v>28</v>
      </c>
      <c r="F242" s="54">
        <v>1</v>
      </c>
      <c r="G242" s="54">
        <v>0</v>
      </c>
      <c r="H242" s="54">
        <v>0</v>
      </c>
      <c r="I242" s="54">
        <v>1</v>
      </c>
      <c r="J242" s="54">
        <v>27000</v>
      </c>
      <c r="K242" s="54">
        <v>0</v>
      </c>
      <c r="L242" s="54">
        <v>27000</v>
      </c>
      <c r="M242" s="54">
        <v>2627</v>
      </c>
    </row>
    <row r="243" spans="1:13" x14ac:dyDescent="0.2">
      <c r="A243" s="52" t="s">
        <v>176</v>
      </c>
      <c r="B243" s="67" t="s">
        <v>175</v>
      </c>
      <c r="C243" s="52" t="s">
        <v>29</v>
      </c>
      <c r="D243" s="53" t="s">
        <v>22</v>
      </c>
      <c r="E243" s="53" t="s">
        <v>23</v>
      </c>
      <c r="F243" s="54">
        <v>1</v>
      </c>
      <c r="G243" s="54">
        <v>0</v>
      </c>
      <c r="H243" s="54">
        <v>0</v>
      </c>
      <c r="I243" s="54">
        <v>1</v>
      </c>
      <c r="J243" s="54">
        <v>30703</v>
      </c>
      <c r="K243" s="54">
        <v>0</v>
      </c>
      <c r="L243" s="54">
        <v>30703</v>
      </c>
      <c r="M243" s="54">
        <v>3192</v>
      </c>
    </row>
    <row r="244" spans="1:13" x14ac:dyDescent="0.2">
      <c r="A244" s="52" t="s">
        <v>190</v>
      </c>
      <c r="B244" s="67" t="s">
        <v>189</v>
      </c>
      <c r="C244" s="52" t="s">
        <v>29</v>
      </c>
      <c r="D244" s="53" t="s">
        <v>27</v>
      </c>
      <c r="E244" s="53" t="s">
        <v>28</v>
      </c>
      <c r="F244" s="54">
        <v>1</v>
      </c>
      <c r="G244" s="54">
        <v>0</v>
      </c>
      <c r="H244" s="54">
        <v>0</v>
      </c>
      <c r="I244" s="54">
        <v>1</v>
      </c>
      <c r="J244" s="54">
        <v>18340</v>
      </c>
      <c r="K244" s="54">
        <v>0</v>
      </c>
      <c r="L244" s="54">
        <v>18340</v>
      </c>
      <c r="M244" s="54">
        <v>2470</v>
      </c>
    </row>
    <row r="245" spans="1:13" x14ac:dyDescent="0.2">
      <c r="A245" s="52" t="s">
        <v>200</v>
      </c>
      <c r="B245" s="67" t="s">
        <v>199</v>
      </c>
      <c r="C245" s="52" t="s">
        <v>29</v>
      </c>
      <c r="D245" s="53" t="s">
        <v>22</v>
      </c>
      <c r="E245" s="53" t="s">
        <v>23</v>
      </c>
      <c r="F245" s="54">
        <v>1</v>
      </c>
      <c r="G245" s="54">
        <v>0</v>
      </c>
      <c r="H245" s="54">
        <v>0</v>
      </c>
      <c r="I245" s="54">
        <v>1</v>
      </c>
      <c r="J245" s="54">
        <v>11278</v>
      </c>
      <c r="K245" s="54">
        <v>0</v>
      </c>
      <c r="L245" s="54">
        <v>11278</v>
      </c>
      <c r="M245" s="54">
        <v>2920</v>
      </c>
    </row>
    <row r="246" spans="1:13" x14ac:dyDescent="0.2">
      <c r="A246" s="52" t="s">
        <v>206</v>
      </c>
      <c r="B246" s="67" t="s">
        <v>205</v>
      </c>
      <c r="C246" s="52" t="s">
        <v>29</v>
      </c>
      <c r="D246" s="53" t="s">
        <v>17</v>
      </c>
      <c r="E246" s="53" t="s">
        <v>18</v>
      </c>
      <c r="F246" s="54">
        <v>1</v>
      </c>
      <c r="G246" s="54">
        <v>1</v>
      </c>
      <c r="H246" s="54">
        <v>0</v>
      </c>
      <c r="I246" s="54">
        <v>2</v>
      </c>
      <c r="J246" s="54">
        <v>10868</v>
      </c>
      <c r="K246" s="54">
        <v>3640</v>
      </c>
      <c r="L246" s="54">
        <v>14508</v>
      </c>
      <c r="M246" s="54">
        <v>4490</v>
      </c>
    </row>
    <row r="247" spans="1:13" x14ac:dyDescent="0.2">
      <c r="A247" s="52" t="s">
        <v>235</v>
      </c>
      <c r="B247" s="67" t="s">
        <v>234</v>
      </c>
      <c r="C247" s="52" t="s">
        <v>29</v>
      </c>
      <c r="D247" s="53" t="s">
        <v>27</v>
      </c>
      <c r="E247" s="53" t="s">
        <v>28</v>
      </c>
      <c r="F247" s="54">
        <v>1</v>
      </c>
      <c r="G247" s="54">
        <v>0</v>
      </c>
      <c r="H247" s="54">
        <v>0</v>
      </c>
      <c r="I247" s="54">
        <v>1</v>
      </c>
      <c r="J247" s="54">
        <v>5600</v>
      </c>
      <c r="K247" s="54">
        <v>0</v>
      </c>
      <c r="L247" s="54">
        <v>5600</v>
      </c>
      <c r="M247" s="54">
        <v>2968</v>
      </c>
    </row>
    <row r="248" spans="1:13" x14ac:dyDescent="0.2">
      <c r="A248" s="52" t="s">
        <v>237</v>
      </c>
      <c r="B248" s="67" t="s">
        <v>236</v>
      </c>
      <c r="C248" s="52" t="s">
        <v>29</v>
      </c>
      <c r="D248" s="53" t="s">
        <v>17</v>
      </c>
      <c r="E248" s="53" t="s">
        <v>18</v>
      </c>
      <c r="F248" s="54">
        <v>1</v>
      </c>
      <c r="G248" s="54">
        <v>0</v>
      </c>
      <c r="H248" s="54">
        <v>0</v>
      </c>
      <c r="I248" s="54">
        <v>1</v>
      </c>
      <c r="J248" s="54">
        <v>30000</v>
      </c>
      <c r="K248" s="54">
        <v>0</v>
      </c>
      <c r="L248" s="54">
        <v>30000</v>
      </c>
      <c r="M248" s="54">
        <v>3650</v>
      </c>
    </row>
    <row r="249" spans="1:13" x14ac:dyDescent="0.2">
      <c r="A249" s="52" t="s">
        <v>245</v>
      </c>
      <c r="B249" s="67" t="s">
        <v>244</v>
      </c>
      <c r="C249" s="52" t="s">
        <v>29</v>
      </c>
      <c r="D249" s="53" t="s">
        <v>17</v>
      </c>
      <c r="E249" s="53" t="s">
        <v>18</v>
      </c>
      <c r="F249" s="54">
        <v>1</v>
      </c>
      <c r="G249" s="54">
        <v>0</v>
      </c>
      <c r="H249" s="54">
        <v>0</v>
      </c>
      <c r="I249" s="54">
        <v>1</v>
      </c>
      <c r="J249" s="54">
        <v>7236</v>
      </c>
      <c r="K249" s="54">
        <v>0</v>
      </c>
      <c r="L249" s="54">
        <v>7236</v>
      </c>
      <c r="M249" s="54">
        <v>2695</v>
      </c>
    </row>
    <row r="250" spans="1:13" x14ac:dyDescent="0.2">
      <c r="A250" s="52" t="s">
        <v>255</v>
      </c>
      <c r="B250" s="67" t="s">
        <v>254</v>
      </c>
      <c r="C250" s="52" t="s">
        <v>29</v>
      </c>
      <c r="D250" s="53" t="s">
        <v>27</v>
      </c>
      <c r="E250" s="53" t="s">
        <v>28</v>
      </c>
      <c r="F250" s="54">
        <v>1</v>
      </c>
      <c r="G250" s="54">
        <v>0</v>
      </c>
      <c r="H250" s="54">
        <v>0</v>
      </c>
      <c r="I250" s="54">
        <v>1</v>
      </c>
      <c r="J250" s="54">
        <v>5346</v>
      </c>
      <c r="K250" s="54">
        <v>0</v>
      </c>
      <c r="L250" s="54">
        <v>5346</v>
      </c>
      <c r="M250" s="54">
        <v>2233</v>
      </c>
    </row>
    <row r="251" spans="1:13" x14ac:dyDescent="0.2">
      <c r="A251" s="52" t="s">
        <v>271</v>
      </c>
      <c r="B251" s="67" t="s">
        <v>270</v>
      </c>
      <c r="C251" s="52" t="s">
        <v>29</v>
      </c>
      <c r="D251" s="53" t="s">
        <v>27</v>
      </c>
      <c r="E251" s="53" t="s">
        <v>28</v>
      </c>
      <c r="F251" s="54">
        <v>1</v>
      </c>
      <c r="G251" s="54">
        <v>0</v>
      </c>
      <c r="H251" s="54">
        <v>0</v>
      </c>
      <c r="I251" s="54">
        <v>1</v>
      </c>
      <c r="J251" s="54">
        <v>17000</v>
      </c>
      <c r="K251" s="54">
        <v>0</v>
      </c>
      <c r="L251" s="54">
        <v>17000</v>
      </c>
      <c r="M251" s="54">
        <v>2578</v>
      </c>
    </row>
    <row r="252" spans="1:13" x14ac:dyDescent="0.2">
      <c r="A252" s="52" t="s">
        <v>279</v>
      </c>
      <c r="B252" s="67" t="s">
        <v>278</v>
      </c>
      <c r="C252" s="52" t="s">
        <v>29</v>
      </c>
      <c r="D252" s="53" t="s">
        <v>17</v>
      </c>
      <c r="E252" s="53" t="s">
        <v>18</v>
      </c>
      <c r="F252" s="54">
        <v>1</v>
      </c>
      <c r="G252" s="54">
        <v>0</v>
      </c>
      <c r="H252" s="54">
        <v>0</v>
      </c>
      <c r="I252" s="54">
        <v>1</v>
      </c>
      <c r="J252" s="54">
        <v>13736</v>
      </c>
      <c r="K252" s="54">
        <v>0</v>
      </c>
      <c r="L252" s="54">
        <v>13736</v>
      </c>
      <c r="M252" s="54">
        <v>2682</v>
      </c>
    </row>
    <row r="253" spans="1:13" x14ac:dyDescent="0.2">
      <c r="A253" s="52" t="s">
        <v>281</v>
      </c>
      <c r="B253" s="67" t="s">
        <v>280</v>
      </c>
      <c r="C253" s="52" t="s">
        <v>29</v>
      </c>
      <c r="D253" s="53" t="s">
        <v>27</v>
      </c>
      <c r="E253" s="53" t="s">
        <v>28</v>
      </c>
      <c r="F253" s="54">
        <v>1</v>
      </c>
      <c r="G253" s="54">
        <v>0</v>
      </c>
      <c r="H253" s="54">
        <v>0</v>
      </c>
      <c r="I253" s="54">
        <v>1</v>
      </c>
      <c r="J253" s="54">
        <v>19500</v>
      </c>
      <c r="K253" s="54">
        <v>0</v>
      </c>
      <c r="L253" s="54">
        <v>19500</v>
      </c>
      <c r="M253" s="54">
        <v>2819</v>
      </c>
    </row>
    <row r="254" spans="1:13" x14ac:dyDescent="0.2">
      <c r="A254" s="52" t="s">
        <v>285</v>
      </c>
      <c r="B254" s="67" t="s">
        <v>284</v>
      </c>
      <c r="C254" s="52" t="s">
        <v>29</v>
      </c>
      <c r="D254" s="53" t="s">
        <v>27</v>
      </c>
      <c r="E254" s="53" t="s">
        <v>28</v>
      </c>
      <c r="F254" s="54">
        <v>1</v>
      </c>
      <c r="G254" s="54">
        <v>0</v>
      </c>
      <c r="H254" s="54">
        <v>0</v>
      </c>
      <c r="I254" s="54">
        <v>1</v>
      </c>
      <c r="J254" s="54">
        <v>23007</v>
      </c>
      <c r="K254" s="54">
        <v>0</v>
      </c>
      <c r="L254" s="54">
        <v>23007</v>
      </c>
      <c r="M254" s="54">
        <v>3072</v>
      </c>
    </row>
    <row r="255" spans="1:13" x14ac:dyDescent="0.2">
      <c r="A255" s="52" t="s">
        <v>287</v>
      </c>
      <c r="B255" s="67" t="s">
        <v>286</v>
      </c>
      <c r="C255" s="52" t="s">
        <v>29</v>
      </c>
      <c r="D255" s="53" t="s">
        <v>288</v>
      </c>
      <c r="E255" s="53" t="s">
        <v>289</v>
      </c>
      <c r="F255" s="54">
        <v>1</v>
      </c>
      <c r="G255" s="54">
        <v>0</v>
      </c>
      <c r="H255" s="54">
        <v>0</v>
      </c>
      <c r="I255" s="54">
        <v>1</v>
      </c>
      <c r="J255" s="54">
        <v>10000</v>
      </c>
      <c r="K255" s="54">
        <v>0</v>
      </c>
      <c r="L255" s="54">
        <v>10000</v>
      </c>
      <c r="M255" s="54">
        <v>2288</v>
      </c>
    </row>
    <row r="256" spans="1:13" x14ac:dyDescent="0.2">
      <c r="A256" s="52" t="s">
        <v>295</v>
      </c>
      <c r="B256" s="67" t="s">
        <v>294</v>
      </c>
      <c r="C256" s="52" t="s">
        <v>29</v>
      </c>
      <c r="D256" s="53" t="s">
        <v>27</v>
      </c>
      <c r="E256" s="53" t="s">
        <v>28</v>
      </c>
      <c r="F256" s="54">
        <v>1</v>
      </c>
      <c r="G256" s="54">
        <v>0</v>
      </c>
      <c r="H256" s="54">
        <v>0</v>
      </c>
      <c r="I256" s="54">
        <v>1</v>
      </c>
      <c r="J256" s="54">
        <v>10000</v>
      </c>
      <c r="K256" s="54">
        <v>0</v>
      </c>
      <c r="L256" s="54">
        <v>10000</v>
      </c>
      <c r="M256" s="54">
        <v>2552</v>
      </c>
    </row>
    <row r="257" spans="1:13" x14ac:dyDescent="0.2">
      <c r="A257" s="52" t="s">
        <v>301</v>
      </c>
      <c r="B257" s="67" t="s">
        <v>300</v>
      </c>
      <c r="C257" s="52" t="s">
        <v>29</v>
      </c>
      <c r="D257" s="53" t="s">
        <v>27</v>
      </c>
      <c r="E257" s="53" t="s">
        <v>28</v>
      </c>
      <c r="F257" s="54">
        <v>1</v>
      </c>
      <c r="G257" s="54">
        <v>0</v>
      </c>
      <c r="H257" s="54">
        <v>0</v>
      </c>
      <c r="I257" s="54">
        <v>1</v>
      </c>
      <c r="J257" s="54">
        <v>9600</v>
      </c>
      <c r="K257" s="54">
        <v>0</v>
      </c>
      <c r="L257" s="54">
        <v>9600</v>
      </c>
      <c r="M257" s="54">
        <v>2652</v>
      </c>
    </row>
    <row r="258" spans="1:13" x14ac:dyDescent="0.2">
      <c r="A258" s="52" t="s">
        <v>305</v>
      </c>
      <c r="B258" s="67" t="s">
        <v>304</v>
      </c>
      <c r="C258" s="52" t="s">
        <v>29</v>
      </c>
      <c r="D258" s="53" t="s">
        <v>22</v>
      </c>
      <c r="E258" s="53" t="s">
        <v>23</v>
      </c>
      <c r="F258" s="54">
        <v>1</v>
      </c>
      <c r="G258" s="54">
        <v>0</v>
      </c>
      <c r="H258" s="54">
        <v>0</v>
      </c>
      <c r="I258" s="54">
        <v>1</v>
      </c>
      <c r="J258" s="54">
        <v>39669</v>
      </c>
      <c r="K258" s="54">
        <v>0</v>
      </c>
      <c r="L258" s="54">
        <v>39669</v>
      </c>
      <c r="M258" s="54">
        <v>2106</v>
      </c>
    </row>
    <row r="259" spans="1:13" x14ac:dyDescent="0.2">
      <c r="A259" s="52" t="s">
        <v>307</v>
      </c>
      <c r="B259" s="67" t="s">
        <v>306</v>
      </c>
      <c r="C259" s="52" t="s">
        <v>29</v>
      </c>
      <c r="D259" s="53" t="s">
        <v>67</v>
      </c>
      <c r="E259" s="53" t="s">
        <v>68</v>
      </c>
      <c r="F259" s="54">
        <v>1</v>
      </c>
      <c r="G259" s="54">
        <v>0</v>
      </c>
      <c r="H259" s="54">
        <v>0</v>
      </c>
      <c r="I259" s="54">
        <v>1</v>
      </c>
      <c r="J259" s="54">
        <v>2000</v>
      </c>
      <c r="K259" s="54">
        <v>0</v>
      </c>
      <c r="L259" s="54">
        <v>2000</v>
      </c>
      <c r="M259" s="54">
        <v>2077</v>
      </c>
    </row>
    <row r="260" spans="1:13" x14ac:dyDescent="0.2">
      <c r="A260" s="52" t="s">
        <v>325</v>
      </c>
      <c r="B260" s="67" t="s">
        <v>324</v>
      </c>
      <c r="C260" s="52" t="s">
        <v>29</v>
      </c>
      <c r="D260" s="53" t="s">
        <v>22</v>
      </c>
      <c r="E260" s="53" t="s">
        <v>23</v>
      </c>
      <c r="F260" s="54">
        <v>1</v>
      </c>
      <c r="G260" s="54">
        <v>1</v>
      </c>
      <c r="H260" s="54">
        <v>0</v>
      </c>
      <c r="I260" s="54">
        <v>2</v>
      </c>
      <c r="J260" s="54">
        <v>52000</v>
      </c>
      <c r="K260" s="54">
        <v>5506</v>
      </c>
      <c r="L260" s="54">
        <v>57506</v>
      </c>
      <c r="M260" s="54">
        <v>5252</v>
      </c>
    </row>
    <row r="261" spans="1:13" x14ac:dyDescent="0.2">
      <c r="A261" s="52" t="s">
        <v>333</v>
      </c>
      <c r="B261" s="67" t="s">
        <v>332</v>
      </c>
      <c r="C261" s="52" t="s">
        <v>29</v>
      </c>
      <c r="D261" s="53" t="s">
        <v>27</v>
      </c>
      <c r="E261" s="53" t="s">
        <v>28</v>
      </c>
      <c r="F261" s="54">
        <v>1</v>
      </c>
      <c r="G261" s="54">
        <v>1</v>
      </c>
      <c r="H261" s="54">
        <v>0</v>
      </c>
      <c r="I261" s="54">
        <v>2</v>
      </c>
      <c r="J261" s="54">
        <v>9098</v>
      </c>
      <c r="K261" s="56">
        <v>0</v>
      </c>
      <c r="L261" s="54">
        <v>9098</v>
      </c>
      <c r="M261" s="54">
        <v>3127</v>
      </c>
    </row>
    <row r="262" spans="1:13" x14ac:dyDescent="0.2">
      <c r="A262" s="52" t="s">
        <v>343</v>
      </c>
      <c r="B262" s="67" t="s">
        <v>342</v>
      </c>
      <c r="C262" s="52" t="s">
        <v>29</v>
      </c>
      <c r="D262" s="53" t="s">
        <v>27</v>
      </c>
      <c r="E262" s="53" t="s">
        <v>28</v>
      </c>
      <c r="F262" s="54">
        <v>1</v>
      </c>
      <c r="G262" s="54">
        <v>0</v>
      </c>
      <c r="H262" s="54">
        <v>0</v>
      </c>
      <c r="I262" s="54">
        <v>1</v>
      </c>
      <c r="J262" s="54">
        <v>16500</v>
      </c>
      <c r="K262" s="54">
        <v>0</v>
      </c>
      <c r="L262" s="54">
        <v>16500</v>
      </c>
      <c r="M262" s="54">
        <v>2918</v>
      </c>
    </row>
    <row r="263" spans="1:13" x14ac:dyDescent="0.2">
      <c r="A263" s="52" t="s">
        <v>345</v>
      </c>
      <c r="B263" s="67" t="s">
        <v>344</v>
      </c>
      <c r="C263" s="52" t="s">
        <v>29</v>
      </c>
      <c r="D263" s="53" t="s">
        <v>14</v>
      </c>
      <c r="E263" s="53" t="s">
        <v>15</v>
      </c>
      <c r="F263" s="54">
        <v>1</v>
      </c>
      <c r="G263" s="54">
        <v>0</v>
      </c>
      <c r="H263" s="54">
        <v>0</v>
      </c>
      <c r="I263" s="54">
        <v>1</v>
      </c>
      <c r="J263" s="54">
        <v>12000</v>
      </c>
      <c r="K263" s="54">
        <v>0</v>
      </c>
      <c r="L263" s="54">
        <v>12000</v>
      </c>
      <c r="M263" s="54">
        <v>2080</v>
      </c>
    </row>
    <row r="264" spans="1:13" x14ac:dyDescent="0.2">
      <c r="A264" s="52" t="s">
        <v>351</v>
      </c>
      <c r="B264" s="67" t="s">
        <v>350</v>
      </c>
      <c r="C264" s="52" t="s">
        <v>29</v>
      </c>
      <c r="D264" s="53" t="s">
        <v>22</v>
      </c>
      <c r="E264" s="53" t="s">
        <v>23</v>
      </c>
      <c r="F264" s="54">
        <v>1</v>
      </c>
      <c r="G264" s="54">
        <v>0</v>
      </c>
      <c r="H264" s="54">
        <v>0</v>
      </c>
      <c r="I264" s="54">
        <v>1</v>
      </c>
      <c r="J264" s="54">
        <v>17500</v>
      </c>
      <c r="K264" s="54">
        <v>0</v>
      </c>
      <c r="L264" s="54">
        <v>17500</v>
      </c>
      <c r="M264" s="54">
        <v>2184</v>
      </c>
    </row>
    <row r="265" spans="1:13" x14ac:dyDescent="0.2">
      <c r="A265" s="52" t="s">
        <v>353</v>
      </c>
      <c r="B265" s="67" t="s">
        <v>352</v>
      </c>
      <c r="C265" s="52" t="s">
        <v>29</v>
      </c>
      <c r="D265" s="53" t="s">
        <v>27</v>
      </c>
      <c r="E265" s="53" t="s">
        <v>28</v>
      </c>
      <c r="F265" s="54">
        <v>1</v>
      </c>
      <c r="G265" s="54">
        <v>0</v>
      </c>
      <c r="H265" s="54">
        <v>0</v>
      </c>
      <c r="I265" s="54">
        <v>1</v>
      </c>
      <c r="J265" s="54">
        <v>5524</v>
      </c>
      <c r="K265" s="54">
        <v>0</v>
      </c>
      <c r="L265" s="54">
        <v>5524</v>
      </c>
      <c r="M265" s="54">
        <v>2340</v>
      </c>
    </row>
    <row r="266" spans="1:13" x14ac:dyDescent="0.2">
      <c r="A266" s="52" t="s">
        <v>355</v>
      </c>
      <c r="B266" s="67" t="s">
        <v>354</v>
      </c>
      <c r="C266" s="52" t="s">
        <v>29</v>
      </c>
      <c r="D266" s="53" t="s">
        <v>22</v>
      </c>
      <c r="E266" s="53" t="s">
        <v>23</v>
      </c>
      <c r="F266" s="54">
        <v>1</v>
      </c>
      <c r="G266" s="54">
        <v>0</v>
      </c>
      <c r="H266" s="54">
        <v>0</v>
      </c>
      <c r="I266" s="54">
        <v>1</v>
      </c>
      <c r="J266" s="54">
        <v>3900</v>
      </c>
      <c r="K266" s="70">
        <v>0</v>
      </c>
      <c r="L266" s="54">
        <v>3900</v>
      </c>
      <c r="M266" s="54">
        <v>2116</v>
      </c>
    </row>
    <row r="267" spans="1:13" x14ac:dyDescent="0.2">
      <c r="A267" s="52" t="s">
        <v>361</v>
      </c>
      <c r="B267" s="67" t="s">
        <v>360</v>
      </c>
      <c r="C267" s="52" t="s">
        <v>29</v>
      </c>
      <c r="D267" s="53" t="s">
        <v>27</v>
      </c>
      <c r="E267" s="53" t="s">
        <v>28</v>
      </c>
      <c r="F267" s="54">
        <v>1</v>
      </c>
      <c r="G267" s="54">
        <v>0</v>
      </c>
      <c r="H267" s="54">
        <v>0</v>
      </c>
      <c r="I267" s="54">
        <v>1</v>
      </c>
      <c r="J267" s="54">
        <v>18000</v>
      </c>
      <c r="K267" s="56">
        <v>0</v>
      </c>
      <c r="L267" s="54">
        <v>18000</v>
      </c>
      <c r="M267" s="54">
        <v>2957</v>
      </c>
    </row>
    <row r="268" spans="1:13" x14ac:dyDescent="0.2">
      <c r="A268" s="52" t="s">
        <v>363</v>
      </c>
      <c r="B268" s="67" t="s">
        <v>362</v>
      </c>
      <c r="C268" s="52" t="s">
        <v>29</v>
      </c>
      <c r="D268" s="53" t="s">
        <v>27</v>
      </c>
      <c r="E268" s="53" t="s">
        <v>28</v>
      </c>
      <c r="F268" s="54">
        <v>1</v>
      </c>
      <c r="G268" s="54">
        <v>0</v>
      </c>
      <c r="H268" s="54">
        <v>0</v>
      </c>
      <c r="I268" s="54">
        <v>1</v>
      </c>
      <c r="J268" s="54">
        <v>18760</v>
      </c>
      <c r="K268" s="54">
        <v>0</v>
      </c>
      <c r="L268" s="54">
        <v>18760</v>
      </c>
      <c r="M268" s="54">
        <v>2288</v>
      </c>
    </row>
    <row r="269" spans="1:13" x14ac:dyDescent="0.2">
      <c r="A269" s="52" t="s">
        <v>371</v>
      </c>
      <c r="B269" s="67" t="s">
        <v>370</v>
      </c>
      <c r="C269" s="52" t="s">
        <v>29</v>
      </c>
      <c r="D269" s="53" t="s">
        <v>22</v>
      </c>
      <c r="E269" s="53" t="s">
        <v>23</v>
      </c>
      <c r="F269" s="54">
        <v>1</v>
      </c>
      <c r="G269" s="54">
        <v>0</v>
      </c>
      <c r="H269" s="54">
        <v>0</v>
      </c>
      <c r="I269" s="54">
        <v>1</v>
      </c>
      <c r="J269" s="54">
        <v>25050</v>
      </c>
      <c r="K269" s="54">
        <v>0</v>
      </c>
      <c r="L269" s="54">
        <v>25050</v>
      </c>
      <c r="M269" s="54">
        <v>2697</v>
      </c>
    </row>
    <row r="270" spans="1:13" x14ac:dyDescent="0.2">
      <c r="A270" s="52" t="s">
        <v>375</v>
      </c>
      <c r="B270" s="67" t="s">
        <v>374</v>
      </c>
      <c r="C270" s="52" t="s">
        <v>29</v>
      </c>
      <c r="D270" s="53" t="s">
        <v>27</v>
      </c>
      <c r="E270" s="53" t="s">
        <v>28</v>
      </c>
      <c r="F270" s="54">
        <v>1</v>
      </c>
      <c r="G270" s="54">
        <v>0</v>
      </c>
      <c r="H270" s="54">
        <v>0</v>
      </c>
      <c r="I270" s="54">
        <v>1</v>
      </c>
      <c r="J270" s="54">
        <v>6007</v>
      </c>
      <c r="K270" s="54">
        <v>0</v>
      </c>
      <c r="L270" s="54">
        <v>6007</v>
      </c>
      <c r="M270" s="54">
        <v>2751</v>
      </c>
    </row>
    <row r="271" spans="1:13" x14ac:dyDescent="0.2">
      <c r="A271" s="52" t="s">
        <v>383</v>
      </c>
      <c r="B271" s="67" t="s">
        <v>382</v>
      </c>
      <c r="C271" s="52" t="s">
        <v>29</v>
      </c>
      <c r="D271" s="53" t="s">
        <v>27</v>
      </c>
      <c r="E271" s="53" t="s">
        <v>28</v>
      </c>
      <c r="F271" s="54">
        <v>1</v>
      </c>
      <c r="G271" s="54">
        <v>0</v>
      </c>
      <c r="H271" s="54">
        <v>0</v>
      </c>
      <c r="I271" s="54">
        <v>1</v>
      </c>
      <c r="J271" s="54">
        <v>10865</v>
      </c>
      <c r="K271" s="54">
        <v>0</v>
      </c>
      <c r="L271" s="54">
        <v>10865</v>
      </c>
      <c r="M271" s="54">
        <v>2357</v>
      </c>
    </row>
    <row r="272" spans="1:13" x14ac:dyDescent="0.2">
      <c r="A272" s="52" t="s">
        <v>385</v>
      </c>
      <c r="B272" s="67" t="s">
        <v>384</v>
      </c>
      <c r="C272" s="52" t="s">
        <v>29</v>
      </c>
      <c r="D272" s="53" t="s">
        <v>27</v>
      </c>
      <c r="E272" s="53" t="s">
        <v>28</v>
      </c>
      <c r="F272" s="54">
        <v>1</v>
      </c>
      <c r="G272" s="54">
        <v>0</v>
      </c>
      <c r="H272" s="54">
        <v>0</v>
      </c>
      <c r="I272" s="54">
        <v>1</v>
      </c>
      <c r="J272" s="54">
        <v>22900</v>
      </c>
      <c r="K272" s="54">
        <v>0</v>
      </c>
      <c r="L272" s="54">
        <v>22900</v>
      </c>
      <c r="M272" s="54">
        <v>2688</v>
      </c>
    </row>
    <row r="273" spans="1:13" x14ac:dyDescent="0.2">
      <c r="A273" s="52" t="s">
        <v>399</v>
      </c>
      <c r="B273" s="67" t="s">
        <v>398</v>
      </c>
      <c r="C273" s="52" t="s">
        <v>29</v>
      </c>
      <c r="D273" s="53" t="s">
        <v>27</v>
      </c>
      <c r="E273" s="53" t="s">
        <v>28</v>
      </c>
      <c r="F273" s="54">
        <v>1</v>
      </c>
      <c r="G273" s="54">
        <v>0</v>
      </c>
      <c r="H273" s="54">
        <v>0</v>
      </c>
      <c r="I273" s="54">
        <v>1</v>
      </c>
      <c r="J273" s="54">
        <v>5500</v>
      </c>
      <c r="K273" s="54">
        <v>0</v>
      </c>
      <c r="L273" s="54">
        <v>5500</v>
      </c>
      <c r="M273" s="54">
        <v>2600</v>
      </c>
    </row>
    <row r="274" spans="1:13" x14ac:dyDescent="0.2">
      <c r="A274" s="52" t="s">
        <v>405</v>
      </c>
      <c r="B274" s="67" t="s">
        <v>404</v>
      </c>
      <c r="C274" s="52" t="s">
        <v>29</v>
      </c>
      <c r="D274" s="53" t="s">
        <v>22</v>
      </c>
      <c r="E274" s="53" t="s">
        <v>23</v>
      </c>
      <c r="F274" s="54">
        <v>1</v>
      </c>
      <c r="G274" s="54">
        <v>0</v>
      </c>
      <c r="H274" s="54">
        <v>0</v>
      </c>
      <c r="I274" s="54">
        <v>1</v>
      </c>
      <c r="J274" s="54">
        <v>11500</v>
      </c>
      <c r="K274" s="54">
        <v>0</v>
      </c>
      <c r="L274" s="54">
        <v>11500</v>
      </c>
      <c r="M274" s="54">
        <v>2184</v>
      </c>
    </row>
    <row r="275" spans="1:13" x14ac:dyDescent="0.2">
      <c r="A275" s="52" t="s">
        <v>419</v>
      </c>
      <c r="B275" s="67" t="s">
        <v>418</v>
      </c>
      <c r="C275" s="52" t="s">
        <v>29</v>
      </c>
      <c r="D275" s="53" t="s">
        <v>22</v>
      </c>
      <c r="E275" s="53" t="s">
        <v>23</v>
      </c>
      <c r="F275" s="54">
        <v>1</v>
      </c>
      <c r="G275" s="54">
        <v>0</v>
      </c>
      <c r="H275" s="54">
        <v>0</v>
      </c>
      <c r="I275" s="54">
        <v>1</v>
      </c>
      <c r="J275" s="54">
        <v>4928</v>
      </c>
      <c r="K275" s="54">
        <v>0</v>
      </c>
      <c r="L275" s="54">
        <v>4928</v>
      </c>
      <c r="M275" s="54">
        <v>2614</v>
      </c>
    </row>
    <row r="276" spans="1:13" x14ac:dyDescent="0.2">
      <c r="A276" s="52" t="s">
        <v>437</v>
      </c>
      <c r="B276" s="67" t="s">
        <v>436</v>
      </c>
      <c r="C276" s="52" t="s">
        <v>29</v>
      </c>
      <c r="D276" s="53" t="s">
        <v>27</v>
      </c>
      <c r="E276" s="53" t="s">
        <v>28</v>
      </c>
      <c r="F276" s="54">
        <v>1</v>
      </c>
      <c r="G276" s="54">
        <v>0</v>
      </c>
      <c r="H276" s="54">
        <v>0</v>
      </c>
      <c r="I276" s="54">
        <v>1</v>
      </c>
      <c r="J276" s="54">
        <v>5900</v>
      </c>
      <c r="K276" s="54">
        <v>0</v>
      </c>
      <c r="L276" s="54">
        <v>5900</v>
      </c>
      <c r="M276" s="54">
        <v>1866</v>
      </c>
    </row>
    <row r="277" spans="1:13" x14ac:dyDescent="0.2">
      <c r="A277" s="52" t="s">
        <v>453</v>
      </c>
      <c r="B277" s="67" t="s">
        <v>452</v>
      </c>
      <c r="C277" s="52" t="s">
        <v>29</v>
      </c>
      <c r="D277" s="53" t="s">
        <v>67</v>
      </c>
      <c r="E277" s="53" t="s">
        <v>68</v>
      </c>
      <c r="F277" s="54">
        <v>1</v>
      </c>
      <c r="G277" s="54">
        <v>0</v>
      </c>
      <c r="H277" s="54">
        <v>0</v>
      </c>
      <c r="I277" s="54">
        <v>1</v>
      </c>
      <c r="J277" s="54">
        <v>25000</v>
      </c>
      <c r="K277" s="54">
        <v>0</v>
      </c>
      <c r="L277" s="54">
        <v>25000</v>
      </c>
      <c r="M277" s="54">
        <v>2904</v>
      </c>
    </row>
    <row r="278" spans="1:13" x14ac:dyDescent="0.2">
      <c r="A278" s="52" t="s">
        <v>467</v>
      </c>
      <c r="B278" s="67" t="s">
        <v>466</v>
      </c>
      <c r="C278" s="52" t="s">
        <v>29</v>
      </c>
      <c r="D278" s="53" t="s">
        <v>22</v>
      </c>
      <c r="E278" s="53" t="s">
        <v>23</v>
      </c>
      <c r="F278" s="54">
        <v>1</v>
      </c>
      <c r="G278" s="54">
        <v>0</v>
      </c>
      <c r="H278" s="54">
        <v>0</v>
      </c>
      <c r="I278" s="54">
        <v>1</v>
      </c>
      <c r="J278" s="54">
        <v>3900</v>
      </c>
      <c r="K278" s="54">
        <v>0</v>
      </c>
      <c r="L278" s="54">
        <v>3900</v>
      </c>
      <c r="M278" s="54">
        <v>2500</v>
      </c>
    </row>
    <row r="279" spans="1:13" x14ac:dyDescent="0.2">
      <c r="A279" s="52" t="s">
        <v>474</v>
      </c>
      <c r="B279" s="67" t="s">
        <v>473</v>
      </c>
      <c r="C279" s="52" t="s">
        <v>29</v>
      </c>
      <c r="D279" s="53" t="s">
        <v>27</v>
      </c>
      <c r="E279" s="53" t="s">
        <v>28</v>
      </c>
      <c r="F279" s="54">
        <v>1</v>
      </c>
      <c r="G279" s="54">
        <v>0</v>
      </c>
      <c r="H279" s="54">
        <v>0</v>
      </c>
      <c r="I279" s="54">
        <v>1</v>
      </c>
      <c r="J279" s="54">
        <v>11214</v>
      </c>
      <c r="K279" s="54">
        <v>0</v>
      </c>
      <c r="L279" s="54">
        <v>11214</v>
      </c>
      <c r="M279" s="54">
        <v>2550</v>
      </c>
    </row>
    <row r="280" spans="1:13" x14ac:dyDescent="0.2">
      <c r="A280" s="52" t="s">
        <v>488</v>
      </c>
      <c r="B280" s="67" t="s">
        <v>487</v>
      </c>
      <c r="C280" s="52" t="s">
        <v>29</v>
      </c>
      <c r="D280" s="53" t="s">
        <v>17</v>
      </c>
      <c r="E280" s="53" t="s">
        <v>18</v>
      </c>
      <c r="F280" s="54">
        <v>1</v>
      </c>
      <c r="G280" s="54">
        <v>5</v>
      </c>
      <c r="H280" s="54">
        <v>0</v>
      </c>
      <c r="I280" s="54">
        <v>6</v>
      </c>
      <c r="J280" s="54">
        <v>10542</v>
      </c>
      <c r="K280" s="54">
        <v>8791</v>
      </c>
      <c r="L280" s="54">
        <v>19333</v>
      </c>
      <c r="M280" s="54">
        <v>8985</v>
      </c>
    </row>
    <row r="281" spans="1:13" x14ac:dyDescent="0.2">
      <c r="A281" s="52" t="s">
        <v>498</v>
      </c>
      <c r="B281" s="67" t="s">
        <v>497</v>
      </c>
      <c r="C281" s="52" t="s">
        <v>29</v>
      </c>
      <c r="D281" s="53" t="s">
        <v>27</v>
      </c>
      <c r="E281" s="53" t="s">
        <v>28</v>
      </c>
      <c r="F281" s="54">
        <v>1</v>
      </c>
      <c r="G281" s="54">
        <v>0</v>
      </c>
      <c r="H281" s="54">
        <v>0</v>
      </c>
      <c r="I281" s="54">
        <v>1</v>
      </c>
      <c r="J281" s="54">
        <v>19000</v>
      </c>
      <c r="K281" s="54">
        <v>0</v>
      </c>
      <c r="L281" s="54">
        <v>19000</v>
      </c>
      <c r="M281" s="54">
        <v>2840</v>
      </c>
    </row>
    <row r="282" spans="1:13" x14ac:dyDescent="0.2">
      <c r="A282" s="52" t="s">
        <v>502</v>
      </c>
      <c r="B282" s="67" t="s">
        <v>501</v>
      </c>
      <c r="C282" s="52" t="s">
        <v>29</v>
      </c>
      <c r="D282" s="53" t="s">
        <v>27</v>
      </c>
      <c r="E282" s="53" t="s">
        <v>28</v>
      </c>
      <c r="F282" s="54">
        <v>1</v>
      </c>
      <c r="G282" s="54">
        <v>0</v>
      </c>
      <c r="H282" s="54">
        <v>0</v>
      </c>
      <c r="I282" s="54">
        <v>1</v>
      </c>
      <c r="J282" s="54">
        <v>26291</v>
      </c>
      <c r="K282" s="54">
        <v>0</v>
      </c>
      <c r="L282" s="54">
        <v>26291</v>
      </c>
      <c r="M282" s="54">
        <v>2752</v>
      </c>
    </row>
    <row r="283" spans="1:13" x14ac:dyDescent="0.2">
      <c r="A283" s="52" t="s">
        <v>514</v>
      </c>
      <c r="B283" s="67" t="s">
        <v>513</v>
      </c>
      <c r="C283" s="52" t="s">
        <v>29</v>
      </c>
      <c r="D283" s="53" t="s">
        <v>17</v>
      </c>
      <c r="E283" s="53" t="s">
        <v>18</v>
      </c>
      <c r="F283" s="54">
        <v>1</v>
      </c>
      <c r="G283" s="54">
        <v>1</v>
      </c>
      <c r="H283" s="54">
        <v>1</v>
      </c>
      <c r="I283" s="54">
        <v>3</v>
      </c>
      <c r="J283" s="54">
        <v>6760</v>
      </c>
      <c r="K283" s="54">
        <v>800</v>
      </c>
      <c r="L283" s="54">
        <v>7560</v>
      </c>
      <c r="M283" s="54">
        <v>3594</v>
      </c>
    </row>
    <row r="284" spans="1:13" x14ac:dyDescent="0.2">
      <c r="A284" s="52" t="s">
        <v>518</v>
      </c>
      <c r="B284" s="67" t="s">
        <v>517</v>
      </c>
      <c r="C284" s="52" t="s">
        <v>29</v>
      </c>
      <c r="D284" s="53" t="s">
        <v>27</v>
      </c>
      <c r="E284" s="53" t="s">
        <v>28</v>
      </c>
      <c r="F284" s="54">
        <v>1</v>
      </c>
      <c r="G284" s="54">
        <v>0</v>
      </c>
      <c r="H284" s="54">
        <v>0</v>
      </c>
      <c r="I284" s="54">
        <v>1</v>
      </c>
      <c r="J284" s="54">
        <v>5130</v>
      </c>
      <c r="K284" s="54">
        <v>0</v>
      </c>
      <c r="L284" s="54">
        <v>5130</v>
      </c>
      <c r="M284" s="54">
        <v>2730</v>
      </c>
    </row>
    <row r="285" spans="1:13" x14ac:dyDescent="0.2">
      <c r="A285" s="52" t="s">
        <v>520</v>
      </c>
      <c r="B285" s="67" t="s">
        <v>519</v>
      </c>
      <c r="C285" s="52" t="s">
        <v>29</v>
      </c>
      <c r="D285" s="53" t="s">
        <v>22</v>
      </c>
      <c r="E285" s="53" t="s">
        <v>23</v>
      </c>
      <c r="F285" s="54">
        <v>1</v>
      </c>
      <c r="G285" s="54">
        <v>0</v>
      </c>
      <c r="H285" s="54">
        <v>0</v>
      </c>
      <c r="I285" s="54">
        <v>1</v>
      </c>
      <c r="J285" s="54">
        <v>23500</v>
      </c>
      <c r="K285" s="54">
        <v>0</v>
      </c>
      <c r="L285" s="54">
        <v>23500</v>
      </c>
      <c r="M285" s="54">
        <v>2865</v>
      </c>
    </row>
    <row r="286" spans="1:13" x14ac:dyDescent="0.2">
      <c r="A286" s="52" t="s">
        <v>524</v>
      </c>
      <c r="B286" s="67" t="s">
        <v>523</v>
      </c>
      <c r="C286" s="52" t="s">
        <v>29</v>
      </c>
      <c r="D286" s="53" t="s">
        <v>22</v>
      </c>
      <c r="E286" s="53" t="s">
        <v>23</v>
      </c>
      <c r="F286" s="54">
        <v>1</v>
      </c>
      <c r="G286" s="54">
        <v>0</v>
      </c>
      <c r="H286" s="54">
        <v>0</v>
      </c>
      <c r="I286" s="54">
        <v>1</v>
      </c>
      <c r="J286" s="54">
        <v>7438</v>
      </c>
      <c r="K286" s="54">
        <v>0</v>
      </c>
      <c r="L286" s="54">
        <v>7438</v>
      </c>
      <c r="M286" s="54">
        <v>2500</v>
      </c>
    </row>
    <row r="287" spans="1:13" x14ac:dyDescent="0.2">
      <c r="A287" s="52" t="s">
        <v>534</v>
      </c>
      <c r="B287" s="67" t="s">
        <v>533</v>
      </c>
      <c r="C287" s="52" t="s">
        <v>29</v>
      </c>
      <c r="D287" s="53" t="s">
        <v>27</v>
      </c>
      <c r="E287" s="53" t="s">
        <v>28</v>
      </c>
      <c r="F287" s="54">
        <v>1</v>
      </c>
      <c r="G287" s="54">
        <v>0</v>
      </c>
      <c r="H287" s="54">
        <v>0</v>
      </c>
      <c r="I287" s="54">
        <v>1</v>
      </c>
      <c r="J287" s="54">
        <v>34000</v>
      </c>
      <c r="K287" s="54">
        <v>0</v>
      </c>
      <c r="L287" s="54">
        <v>34000</v>
      </c>
      <c r="M287" s="54">
        <v>3328</v>
      </c>
    </row>
    <row r="288" spans="1:13" x14ac:dyDescent="0.2">
      <c r="A288" s="52" t="s">
        <v>548</v>
      </c>
      <c r="B288" s="67" t="s">
        <v>547</v>
      </c>
      <c r="C288" s="52" t="s">
        <v>29</v>
      </c>
      <c r="D288" s="53" t="s">
        <v>17</v>
      </c>
      <c r="E288" s="53" t="s">
        <v>18</v>
      </c>
      <c r="F288" s="54">
        <v>1</v>
      </c>
      <c r="G288" s="54">
        <v>0</v>
      </c>
      <c r="H288" s="54">
        <v>0</v>
      </c>
      <c r="I288" s="54">
        <v>1</v>
      </c>
      <c r="J288" s="54">
        <v>39855</v>
      </c>
      <c r="K288" s="54">
        <v>0</v>
      </c>
      <c r="L288" s="54">
        <v>39855</v>
      </c>
      <c r="M288" s="54">
        <v>3060</v>
      </c>
    </row>
    <row r="289" spans="1:13" x14ac:dyDescent="0.2">
      <c r="A289" s="52" t="s">
        <v>564</v>
      </c>
      <c r="B289" s="67" t="s">
        <v>563</v>
      </c>
      <c r="C289" s="52" t="s">
        <v>29</v>
      </c>
      <c r="D289" s="53" t="s">
        <v>17</v>
      </c>
      <c r="E289" s="53" t="s">
        <v>18</v>
      </c>
      <c r="F289" s="54">
        <v>1</v>
      </c>
      <c r="G289" s="54">
        <v>2</v>
      </c>
      <c r="H289" s="54">
        <v>0</v>
      </c>
      <c r="I289" s="54">
        <v>3</v>
      </c>
      <c r="J289" s="54">
        <v>6440</v>
      </c>
      <c r="K289" s="54">
        <v>3200</v>
      </c>
      <c r="L289" s="54">
        <v>9640</v>
      </c>
      <c r="M289" s="54">
        <v>4524</v>
      </c>
    </row>
    <row r="290" spans="1:13" x14ac:dyDescent="0.2">
      <c r="A290" s="52" t="s">
        <v>574</v>
      </c>
      <c r="B290" s="67" t="s">
        <v>573</v>
      </c>
      <c r="C290" s="52" t="s">
        <v>29</v>
      </c>
      <c r="D290" s="53" t="s">
        <v>22</v>
      </c>
      <c r="E290" s="53" t="s">
        <v>23</v>
      </c>
      <c r="F290" s="54">
        <v>1</v>
      </c>
      <c r="G290" s="54">
        <v>2</v>
      </c>
      <c r="H290" s="54">
        <v>0</v>
      </c>
      <c r="I290" s="54">
        <v>3</v>
      </c>
      <c r="J290" s="54">
        <v>9300</v>
      </c>
      <c r="K290" s="54">
        <v>2190</v>
      </c>
      <c r="L290" s="54">
        <v>11490</v>
      </c>
      <c r="M290" s="54">
        <v>4899</v>
      </c>
    </row>
    <row r="291" spans="1:13" x14ac:dyDescent="0.2">
      <c r="A291" s="52" t="s">
        <v>576</v>
      </c>
      <c r="B291" s="67" t="s">
        <v>575</v>
      </c>
      <c r="C291" s="52" t="s">
        <v>29</v>
      </c>
      <c r="D291" s="53" t="s">
        <v>22</v>
      </c>
      <c r="E291" s="53" t="s">
        <v>23</v>
      </c>
      <c r="F291" s="54">
        <v>1</v>
      </c>
      <c r="G291" s="54">
        <v>0</v>
      </c>
      <c r="H291" s="54">
        <v>0</v>
      </c>
      <c r="I291" s="54">
        <v>1</v>
      </c>
      <c r="J291" s="54">
        <v>18450</v>
      </c>
      <c r="K291" s="54">
        <v>0</v>
      </c>
      <c r="L291" s="54">
        <v>18450</v>
      </c>
      <c r="M291" s="54">
        <v>2875</v>
      </c>
    </row>
    <row r="292" spans="1:13" x14ac:dyDescent="0.2">
      <c r="A292" s="52" t="s">
        <v>580</v>
      </c>
      <c r="B292" s="67" t="s">
        <v>579</v>
      </c>
      <c r="C292" s="52" t="s">
        <v>29</v>
      </c>
      <c r="D292" s="53" t="s">
        <v>22</v>
      </c>
      <c r="E292" s="53" t="s">
        <v>23</v>
      </c>
      <c r="F292" s="54">
        <v>1</v>
      </c>
      <c r="G292" s="54">
        <v>0</v>
      </c>
      <c r="H292" s="54">
        <v>0</v>
      </c>
      <c r="I292" s="54">
        <v>1</v>
      </c>
      <c r="J292" s="54">
        <v>24300</v>
      </c>
      <c r="K292" s="54">
        <v>0</v>
      </c>
      <c r="L292" s="54">
        <v>24300</v>
      </c>
      <c r="M292" s="54">
        <v>3016</v>
      </c>
    </row>
    <row r="293" spans="1:13" x14ac:dyDescent="0.2">
      <c r="A293" s="52" t="s">
        <v>588</v>
      </c>
      <c r="B293" s="67" t="s">
        <v>587</v>
      </c>
      <c r="C293" s="52" t="s">
        <v>29</v>
      </c>
      <c r="D293" s="53" t="s">
        <v>22</v>
      </c>
      <c r="E293" s="53" t="s">
        <v>23</v>
      </c>
      <c r="F293" s="54">
        <v>1</v>
      </c>
      <c r="G293" s="54">
        <v>0</v>
      </c>
      <c r="H293" s="54">
        <v>0</v>
      </c>
      <c r="I293" s="54">
        <v>1</v>
      </c>
      <c r="J293" s="54">
        <v>16398</v>
      </c>
      <c r="K293" s="54">
        <v>0</v>
      </c>
      <c r="L293" s="54">
        <v>16398</v>
      </c>
      <c r="M293" s="54">
        <v>2867</v>
      </c>
    </row>
    <row r="294" spans="1:13" x14ac:dyDescent="0.2">
      <c r="A294" s="52" t="s">
        <v>600</v>
      </c>
      <c r="B294" s="67" t="s">
        <v>599</v>
      </c>
      <c r="C294" s="52" t="s">
        <v>29</v>
      </c>
      <c r="D294" s="53" t="s">
        <v>22</v>
      </c>
      <c r="E294" s="53" t="s">
        <v>23</v>
      </c>
      <c r="F294" s="54">
        <v>1</v>
      </c>
      <c r="G294" s="54">
        <v>0</v>
      </c>
      <c r="H294" s="54">
        <v>0</v>
      </c>
      <c r="I294" s="54">
        <v>1</v>
      </c>
      <c r="J294" s="54">
        <v>24000</v>
      </c>
      <c r="K294" s="54">
        <v>0</v>
      </c>
      <c r="L294" s="54">
        <v>24000</v>
      </c>
      <c r="M294" s="54">
        <v>2775</v>
      </c>
    </row>
    <row r="295" spans="1:13" x14ac:dyDescent="0.2">
      <c r="A295" s="52" t="s">
        <v>616</v>
      </c>
      <c r="B295" s="67" t="s">
        <v>615</v>
      </c>
      <c r="C295" s="52" t="s">
        <v>29</v>
      </c>
      <c r="D295" s="53" t="s">
        <v>27</v>
      </c>
      <c r="E295" s="53" t="s">
        <v>28</v>
      </c>
      <c r="F295" s="54">
        <v>1</v>
      </c>
      <c r="G295" s="54">
        <v>0</v>
      </c>
      <c r="H295" s="54">
        <v>0</v>
      </c>
      <c r="I295" s="54">
        <v>1</v>
      </c>
      <c r="J295" s="54">
        <v>12650</v>
      </c>
      <c r="K295" s="54">
        <v>0</v>
      </c>
      <c r="L295" s="54">
        <v>12650</v>
      </c>
      <c r="M295" s="54">
        <v>2588</v>
      </c>
    </row>
    <row r="296" spans="1:13" x14ac:dyDescent="0.2">
      <c r="A296" s="52" t="s">
        <v>618</v>
      </c>
      <c r="B296" s="67" t="s">
        <v>617</v>
      </c>
      <c r="C296" s="52" t="s">
        <v>29</v>
      </c>
      <c r="D296" s="53" t="s">
        <v>27</v>
      </c>
      <c r="E296" s="53" t="s">
        <v>28</v>
      </c>
      <c r="F296" s="54">
        <v>1</v>
      </c>
      <c r="G296" s="54">
        <v>0</v>
      </c>
      <c r="H296" s="54">
        <v>0</v>
      </c>
      <c r="I296" s="54">
        <v>1</v>
      </c>
      <c r="J296" s="54">
        <v>14400</v>
      </c>
      <c r="K296" s="54">
        <v>0</v>
      </c>
      <c r="L296" s="54">
        <v>14400</v>
      </c>
      <c r="M296" s="54">
        <v>2858</v>
      </c>
    </row>
    <row r="297" spans="1:13" x14ac:dyDescent="0.2">
      <c r="A297" s="52" t="s">
        <v>622</v>
      </c>
      <c r="B297" s="67" t="s">
        <v>621</v>
      </c>
      <c r="C297" s="52" t="s">
        <v>29</v>
      </c>
      <c r="D297" s="53" t="s">
        <v>22</v>
      </c>
      <c r="E297" s="53" t="s">
        <v>23</v>
      </c>
      <c r="F297" s="54">
        <v>1</v>
      </c>
      <c r="G297" s="54">
        <v>4</v>
      </c>
      <c r="H297" s="54">
        <v>0</v>
      </c>
      <c r="I297" s="54">
        <v>5</v>
      </c>
      <c r="J297" s="54">
        <v>9937</v>
      </c>
      <c r="K297" s="54">
        <v>9544</v>
      </c>
      <c r="L297" s="54">
        <v>19481</v>
      </c>
      <c r="M297" s="54">
        <v>6264</v>
      </c>
    </row>
    <row r="298" spans="1:13" x14ac:dyDescent="0.2">
      <c r="A298" s="52" t="s">
        <v>658</v>
      </c>
      <c r="B298" s="67" t="s">
        <v>657</v>
      </c>
      <c r="C298" s="52" t="s">
        <v>29</v>
      </c>
      <c r="D298" s="53" t="s">
        <v>27</v>
      </c>
      <c r="E298" s="53" t="s">
        <v>28</v>
      </c>
      <c r="F298" s="54">
        <v>1</v>
      </c>
      <c r="G298" s="54">
        <v>0</v>
      </c>
      <c r="H298" s="54">
        <v>0</v>
      </c>
      <c r="I298" s="54">
        <v>1</v>
      </c>
      <c r="J298" s="54">
        <v>14600</v>
      </c>
      <c r="K298" s="54">
        <v>0</v>
      </c>
      <c r="L298" s="54">
        <v>14600</v>
      </c>
      <c r="M298" s="54">
        <v>2040</v>
      </c>
    </row>
    <row r="299" spans="1:13" x14ac:dyDescent="0.2">
      <c r="A299" s="52" t="s">
        <v>686</v>
      </c>
      <c r="B299" s="67" t="s">
        <v>685</v>
      </c>
      <c r="C299" s="52" t="s">
        <v>29</v>
      </c>
      <c r="D299" s="53" t="s">
        <v>27</v>
      </c>
      <c r="E299" s="53" t="s">
        <v>28</v>
      </c>
      <c r="F299" s="54">
        <v>1</v>
      </c>
      <c r="G299" s="54">
        <v>0</v>
      </c>
      <c r="H299" s="54">
        <v>0</v>
      </c>
      <c r="I299" s="54">
        <v>1</v>
      </c>
      <c r="J299" s="54">
        <v>19201</v>
      </c>
      <c r="K299" s="54">
        <v>0</v>
      </c>
      <c r="L299" s="54">
        <v>19201</v>
      </c>
      <c r="M299" s="54">
        <v>3261</v>
      </c>
    </row>
    <row r="300" spans="1:13" x14ac:dyDescent="0.2">
      <c r="A300" s="52" t="s">
        <v>728</v>
      </c>
      <c r="B300" s="67" t="s">
        <v>727</v>
      </c>
      <c r="C300" s="52" t="s">
        <v>29</v>
      </c>
      <c r="D300" s="53" t="s">
        <v>22</v>
      </c>
      <c r="E300" s="53" t="s">
        <v>23</v>
      </c>
      <c r="F300" s="54">
        <v>1</v>
      </c>
      <c r="G300" s="54">
        <v>0</v>
      </c>
      <c r="H300" s="54">
        <v>0</v>
      </c>
      <c r="I300" s="54">
        <v>1</v>
      </c>
      <c r="J300" s="54">
        <v>34500</v>
      </c>
      <c r="K300" s="54">
        <v>0</v>
      </c>
      <c r="L300" s="54">
        <v>34500</v>
      </c>
      <c r="M300" s="54">
        <v>3052</v>
      </c>
    </row>
    <row r="301" spans="1:13" x14ac:dyDescent="0.2">
      <c r="A301" s="52" t="s">
        <v>730</v>
      </c>
      <c r="B301" s="67" t="s">
        <v>729</v>
      </c>
      <c r="C301" s="52" t="s">
        <v>29</v>
      </c>
      <c r="D301" s="53" t="s">
        <v>22</v>
      </c>
      <c r="E301" s="53" t="s">
        <v>23</v>
      </c>
      <c r="F301" s="54">
        <v>1</v>
      </c>
      <c r="G301" s="54">
        <v>0</v>
      </c>
      <c r="H301" s="54">
        <v>0</v>
      </c>
      <c r="I301" s="54">
        <v>1</v>
      </c>
      <c r="J301" s="54">
        <v>14000</v>
      </c>
      <c r="K301" s="56">
        <v>0</v>
      </c>
      <c r="L301" s="54">
        <v>14000</v>
      </c>
      <c r="M301" s="54">
        <v>2506</v>
      </c>
    </row>
    <row r="302" spans="1:13" x14ac:dyDescent="0.2">
      <c r="A302" s="52" t="s">
        <v>736</v>
      </c>
      <c r="B302" s="67" t="s">
        <v>735</v>
      </c>
      <c r="C302" s="52" t="s">
        <v>29</v>
      </c>
      <c r="D302" s="53" t="s">
        <v>17</v>
      </c>
      <c r="E302" s="53" t="s">
        <v>18</v>
      </c>
      <c r="F302" s="54">
        <v>1</v>
      </c>
      <c r="G302" s="54">
        <v>0</v>
      </c>
      <c r="H302" s="54">
        <v>0</v>
      </c>
      <c r="I302" s="54">
        <v>1</v>
      </c>
      <c r="J302" s="54">
        <v>15400</v>
      </c>
      <c r="K302" s="54">
        <v>0</v>
      </c>
      <c r="L302" s="54">
        <v>15400</v>
      </c>
      <c r="M302" s="54">
        <v>2620</v>
      </c>
    </row>
    <row r="303" spans="1:13" x14ac:dyDescent="0.2">
      <c r="A303" s="52" t="s">
        <v>755</v>
      </c>
      <c r="B303" s="67" t="s">
        <v>754</v>
      </c>
      <c r="C303" s="52" t="s">
        <v>29</v>
      </c>
      <c r="D303" s="53" t="s">
        <v>27</v>
      </c>
      <c r="E303" s="53" t="s">
        <v>28</v>
      </c>
      <c r="F303" s="54">
        <v>1</v>
      </c>
      <c r="G303" s="54">
        <v>0</v>
      </c>
      <c r="H303" s="54">
        <v>0</v>
      </c>
      <c r="I303" s="54">
        <v>1</v>
      </c>
      <c r="J303" s="54">
        <v>16033</v>
      </c>
      <c r="K303" s="54">
        <v>0</v>
      </c>
      <c r="L303" s="54">
        <v>16033</v>
      </c>
      <c r="M303" s="54">
        <v>2704</v>
      </c>
    </row>
    <row r="304" spans="1:13" x14ac:dyDescent="0.2">
      <c r="A304" s="52" t="s">
        <v>767</v>
      </c>
      <c r="B304" s="67" t="s">
        <v>766</v>
      </c>
      <c r="C304" s="52" t="s">
        <v>29</v>
      </c>
      <c r="D304" s="53" t="s">
        <v>27</v>
      </c>
      <c r="E304" s="53" t="s">
        <v>28</v>
      </c>
      <c r="F304" s="54">
        <v>1</v>
      </c>
      <c r="G304" s="54">
        <v>0</v>
      </c>
      <c r="H304" s="54">
        <v>0</v>
      </c>
      <c r="I304" s="54">
        <v>1</v>
      </c>
      <c r="J304" s="54">
        <v>8937</v>
      </c>
      <c r="K304" s="54">
        <v>0</v>
      </c>
      <c r="L304" s="54">
        <v>8937</v>
      </c>
      <c r="M304" s="54">
        <v>2350</v>
      </c>
    </row>
    <row r="305" spans="1:13" x14ac:dyDescent="0.2">
      <c r="A305" s="52" t="s">
        <v>771</v>
      </c>
      <c r="B305" s="67" t="s">
        <v>770</v>
      </c>
      <c r="C305" s="52" t="s">
        <v>29</v>
      </c>
      <c r="D305" s="53" t="s">
        <v>27</v>
      </c>
      <c r="E305" s="53" t="s">
        <v>28</v>
      </c>
      <c r="F305" s="54">
        <v>1</v>
      </c>
      <c r="G305" s="54">
        <v>0</v>
      </c>
      <c r="H305" s="54">
        <v>0</v>
      </c>
      <c r="I305" s="54">
        <v>1</v>
      </c>
      <c r="J305" s="54">
        <v>20000</v>
      </c>
      <c r="K305" s="56">
        <v>0</v>
      </c>
      <c r="L305" s="54">
        <v>20000</v>
      </c>
      <c r="M305" s="54">
        <v>3031</v>
      </c>
    </row>
    <row r="306" spans="1:13" x14ac:dyDescent="0.2">
      <c r="A306" s="52" t="s">
        <v>791</v>
      </c>
      <c r="B306" s="67" t="s">
        <v>790</v>
      </c>
      <c r="C306" s="52" t="s">
        <v>29</v>
      </c>
      <c r="D306" s="53" t="s">
        <v>264</v>
      </c>
      <c r="E306" s="53" t="s">
        <v>265</v>
      </c>
      <c r="F306" s="54">
        <v>1</v>
      </c>
      <c r="G306" s="54">
        <v>0</v>
      </c>
      <c r="H306" s="54">
        <v>0</v>
      </c>
      <c r="I306" s="54">
        <v>1</v>
      </c>
      <c r="J306" s="54">
        <v>10730</v>
      </c>
      <c r="K306" s="54">
        <v>0</v>
      </c>
      <c r="L306" s="54">
        <v>10730</v>
      </c>
      <c r="M306" s="54">
        <v>2932</v>
      </c>
    </row>
    <row r="307" spans="1:13" x14ac:dyDescent="0.2">
      <c r="A307" s="52" t="s">
        <v>813</v>
      </c>
      <c r="B307" s="67" t="s">
        <v>812</v>
      </c>
      <c r="C307" s="52" t="s">
        <v>29</v>
      </c>
      <c r="D307" s="53" t="s">
        <v>27</v>
      </c>
      <c r="E307" s="53" t="s">
        <v>28</v>
      </c>
      <c r="F307" s="54">
        <v>1</v>
      </c>
      <c r="G307" s="54">
        <v>0</v>
      </c>
      <c r="H307" s="54">
        <v>0</v>
      </c>
      <c r="I307" s="54">
        <v>1</v>
      </c>
      <c r="J307" s="54">
        <v>24500</v>
      </c>
      <c r="K307" s="54">
        <v>0</v>
      </c>
      <c r="L307" s="54">
        <v>24500</v>
      </c>
      <c r="M307" s="54">
        <v>1589</v>
      </c>
    </row>
    <row r="308" spans="1:13" x14ac:dyDescent="0.2">
      <c r="A308" s="52" t="s">
        <v>839</v>
      </c>
      <c r="B308" s="67" t="s">
        <v>838</v>
      </c>
      <c r="C308" s="52" t="s">
        <v>29</v>
      </c>
      <c r="D308" s="53" t="s">
        <v>27</v>
      </c>
      <c r="E308" s="53" t="s">
        <v>28</v>
      </c>
      <c r="F308" s="54">
        <v>1</v>
      </c>
      <c r="G308" s="54">
        <v>0</v>
      </c>
      <c r="H308" s="54">
        <v>0</v>
      </c>
      <c r="I308" s="54">
        <v>1</v>
      </c>
      <c r="J308" s="54">
        <v>14300</v>
      </c>
      <c r="K308" s="54">
        <v>0</v>
      </c>
      <c r="L308" s="54">
        <v>14300</v>
      </c>
      <c r="M308" s="54">
        <v>2724</v>
      </c>
    </row>
    <row r="309" spans="1:13" x14ac:dyDescent="0.2">
      <c r="A309" s="52" t="s">
        <v>44</v>
      </c>
      <c r="B309" s="67" t="s">
        <v>43</v>
      </c>
      <c r="C309" s="52" t="s">
        <v>45</v>
      </c>
      <c r="D309" s="53" t="s">
        <v>27</v>
      </c>
      <c r="E309" s="53" t="s">
        <v>28</v>
      </c>
      <c r="F309" s="54">
        <v>1</v>
      </c>
      <c r="G309" s="54">
        <v>0</v>
      </c>
      <c r="H309" s="54">
        <v>0</v>
      </c>
      <c r="I309" s="54">
        <v>1</v>
      </c>
      <c r="J309" s="54">
        <v>13320</v>
      </c>
      <c r="K309" s="54">
        <v>0</v>
      </c>
      <c r="L309" s="54">
        <v>13320</v>
      </c>
      <c r="M309" s="54">
        <v>2461</v>
      </c>
    </row>
    <row r="310" spans="1:13" x14ac:dyDescent="0.2">
      <c r="A310" s="52" t="s">
        <v>47</v>
      </c>
      <c r="B310" s="67" t="s">
        <v>46</v>
      </c>
      <c r="C310" s="52" t="s">
        <v>45</v>
      </c>
      <c r="D310" s="53" t="s">
        <v>22</v>
      </c>
      <c r="E310" s="53" t="s">
        <v>23</v>
      </c>
      <c r="F310" s="54">
        <v>1</v>
      </c>
      <c r="G310" s="54">
        <v>0</v>
      </c>
      <c r="H310" s="54">
        <v>0</v>
      </c>
      <c r="I310" s="54">
        <v>1</v>
      </c>
      <c r="J310" s="54">
        <v>8000</v>
      </c>
      <c r="K310" s="54">
        <v>0</v>
      </c>
      <c r="L310" s="54">
        <v>8000</v>
      </c>
      <c r="M310" s="54">
        <v>3120</v>
      </c>
    </row>
    <row r="311" spans="1:13" x14ac:dyDescent="0.2">
      <c r="A311" s="52" t="s">
        <v>55</v>
      </c>
      <c r="B311" s="67" t="s">
        <v>54</v>
      </c>
      <c r="C311" s="52" t="s">
        <v>45</v>
      </c>
      <c r="D311" s="53" t="s">
        <v>22</v>
      </c>
      <c r="E311" s="53" t="s">
        <v>23</v>
      </c>
      <c r="F311" s="54">
        <v>1</v>
      </c>
      <c r="G311" s="54">
        <v>0</v>
      </c>
      <c r="H311" s="54">
        <v>0</v>
      </c>
      <c r="I311" s="54">
        <v>1</v>
      </c>
      <c r="J311" s="54">
        <v>26000</v>
      </c>
      <c r="K311" s="54">
        <v>0</v>
      </c>
      <c r="L311" s="54">
        <v>26000</v>
      </c>
      <c r="M311" s="54">
        <v>3332</v>
      </c>
    </row>
    <row r="312" spans="1:13" x14ac:dyDescent="0.2">
      <c r="A312" s="52" t="s">
        <v>80</v>
      </c>
      <c r="B312" s="67" t="s">
        <v>79</v>
      </c>
      <c r="C312" s="52" t="s">
        <v>45</v>
      </c>
      <c r="D312" s="53" t="s">
        <v>27</v>
      </c>
      <c r="E312" s="53" t="s">
        <v>28</v>
      </c>
      <c r="F312" s="54">
        <v>1</v>
      </c>
      <c r="G312" s="54">
        <v>0</v>
      </c>
      <c r="H312" s="54">
        <v>0</v>
      </c>
      <c r="I312" s="54">
        <v>1</v>
      </c>
      <c r="J312" s="54">
        <v>40174</v>
      </c>
      <c r="K312" s="54">
        <v>0</v>
      </c>
      <c r="L312" s="54">
        <v>40174</v>
      </c>
      <c r="M312" s="54">
        <v>3359</v>
      </c>
    </row>
    <row r="313" spans="1:13" x14ac:dyDescent="0.2">
      <c r="A313" s="52" t="s">
        <v>92</v>
      </c>
      <c r="B313" s="67" t="s">
        <v>91</v>
      </c>
      <c r="C313" s="52" t="s">
        <v>45</v>
      </c>
      <c r="D313" s="53" t="s">
        <v>27</v>
      </c>
      <c r="E313" s="53" t="s">
        <v>28</v>
      </c>
      <c r="F313" s="54">
        <v>1</v>
      </c>
      <c r="G313" s="54">
        <v>0</v>
      </c>
      <c r="H313" s="54">
        <v>0</v>
      </c>
      <c r="I313" s="54">
        <v>1</v>
      </c>
      <c r="J313" s="54">
        <v>10760</v>
      </c>
      <c r="K313" s="54">
        <v>0</v>
      </c>
      <c r="L313" s="54">
        <v>10760</v>
      </c>
      <c r="M313" s="54">
        <v>2973</v>
      </c>
    </row>
    <row r="314" spans="1:13" x14ac:dyDescent="0.2">
      <c r="A314" s="52" t="s">
        <v>114</v>
      </c>
      <c r="B314" s="67" t="s">
        <v>113</v>
      </c>
      <c r="C314" s="52" t="s">
        <v>45</v>
      </c>
      <c r="D314" s="53" t="s">
        <v>67</v>
      </c>
      <c r="E314" s="53" t="s">
        <v>68</v>
      </c>
      <c r="F314" s="54">
        <v>1</v>
      </c>
      <c r="G314" s="54">
        <v>0</v>
      </c>
      <c r="H314" s="54">
        <v>0</v>
      </c>
      <c r="I314" s="54">
        <v>1</v>
      </c>
      <c r="J314" s="54">
        <v>102505</v>
      </c>
      <c r="K314" s="54">
        <v>0</v>
      </c>
      <c r="L314" s="54">
        <v>102505</v>
      </c>
      <c r="M314" s="54">
        <v>3434</v>
      </c>
    </row>
    <row r="315" spans="1:13" x14ac:dyDescent="0.2">
      <c r="A315" s="52" t="s">
        <v>120</v>
      </c>
      <c r="B315" s="67" t="s">
        <v>119</v>
      </c>
      <c r="C315" s="52" t="s">
        <v>45</v>
      </c>
      <c r="D315" s="53" t="s">
        <v>22</v>
      </c>
      <c r="E315" s="53" t="s">
        <v>23</v>
      </c>
      <c r="F315" s="54">
        <v>1</v>
      </c>
      <c r="G315" s="54">
        <v>5</v>
      </c>
      <c r="H315" s="54">
        <v>0</v>
      </c>
      <c r="I315" s="54">
        <v>6</v>
      </c>
      <c r="J315" s="54">
        <v>18309</v>
      </c>
      <c r="K315" s="54">
        <v>9956</v>
      </c>
      <c r="L315" s="54">
        <v>28265</v>
      </c>
      <c r="M315" s="54">
        <v>11024</v>
      </c>
    </row>
    <row r="316" spans="1:13" x14ac:dyDescent="0.2">
      <c r="A316" s="52" t="s">
        <v>130</v>
      </c>
      <c r="B316" s="67" t="s">
        <v>129</v>
      </c>
      <c r="C316" s="52" t="s">
        <v>45</v>
      </c>
      <c r="D316" s="53" t="s">
        <v>52</v>
      </c>
      <c r="E316" s="53" t="s">
        <v>53</v>
      </c>
      <c r="F316" s="54">
        <v>1</v>
      </c>
      <c r="G316" s="54">
        <v>0</v>
      </c>
      <c r="H316" s="54">
        <v>0</v>
      </c>
      <c r="I316" s="54">
        <v>1</v>
      </c>
      <c r="J316" s="54">
        <v>23100</v>
      </c>
      <c r="K316" s="54">
        <v>0</v>
      </c>
      <c r="L316" s="54">
        <v>23100</v>
      </c>
      <c r="M316" s="54">
        <v>3100</v>
      </c>
    </row>
    <row r="317" spans="1:13" x14ac:dyDescent="0.2">
      <c r="A317" s="52" t="s">
        <v>142</v>
      </c>
      <c r="B317" s="67" t="s">
        <v>141</v>
      </c>
      <c r="C317" s="52" t="s">
        <v>45</v>
      </c>
      <c r="D317" s="53" t="s">
        <v>22</v>
      </c>
      <c r="E317" s="53" t="s">
        <v>23</v>
      </c>
      <c r="F317" s="54">
        <v>1</v>
      </c>
      <c r="G317" s="54">
        <v>4</v>
      </c>
      <c r="H317" s="54">
        <v>0</v>
      </c>
      <c r="I317" s="54">
        <v>5</v>
      </c>
      <c r="J317" s="54">
        <v>16000</v>
      </c>
      <c r="K317" s="54">
        <v>6550</v>
      </c>
      <c r="L317" s="54">
        <v>22550</v>
      </c>
      <c r="M317" s="54">
        <v>9643</v>
      </c>
    </row>
    <row r="318" spans="1:13" x14ac:dyDescent="0.2">
      <c r="A318" s="52" t="s">
        <v>158</v>
      </c>
      <c r="B318" s="67" t="s">
        <v>157</v>
      </c>
      <c r="C318" s="52" t="s">
        <v>45</v>
      </c>
      <c r="D318" s="53" t="s">
        <v>22</v>
      </c>
      <c r="E318" s="53" t="s">
        <v>23</v>
      </c>
      <c r="F318" s="54">
        <v>1</v>
      </c>
      <c r="G318" s="54">
        <v>4</v>
      </c>
      <c r="H318" s="54">
        <v>0</v>
      </c>
      <c r="I318" s="54">
        <v>5</v>
      </c>
      <c r="J318" s="54">
        <v>17132</v>
      </c>
      <c r="K318" s="54">
        <v>12283</v>
      </c>
      <c r="L318" s="54">
        <v>29415</v>
      </c>
      <c r="M318" s="54">
        <v>11661</v>
      </c>
    </row>
    <row r="319" spans="1:13" x14ac:dyDescent="0.2">
      <c r="A319" s="52" t="s">
        <v>178</v>
      </c>
      <c r="B319" s="67" t="s">
        <v>177</v>
      </c>
      <c r="C319" s="52" t="s">
        <v>45</v>
      </c>
      <c r="D319" s="53" t="s">
        <v>22</v>
      </c>
      <c r="E319" s="53" t="s">
        <v>23</v>
      </c>
      <c r="F319" s="54">
        <v>1</v>
      </c>
      <c r="G319" s="54">
        <v>0</v>
      </c>
      <c r="H319" s="54">
        <v>0</v>
      </c>
      <c r="I319" s="54">
        <v>1</v>
      </c>
      <c r="J319" s="54">
        <v>21000</v>
      </c>
      <c r="K319" s="54">
        <v>0</v>
      </c>
      <c r="L319" s="54">
        <v>21000</v>
      </c>
      <c r="M319" s="54">
        <v>2602</v>
      </c>
    </row>
    <row r="320" spans="1:13" x14ac:dyDescent="0.2">
      <c r="A320" s="52" t="s">
        <v>182</v>
      </c>
      <c r="B320" s="67" t="s">
        <v>181</v>
      </c>
      <c r="C320" s="52" t="s">
        <v>45</v>
      </c>
      <c r="D320" s="53" t="s">
        <v>22</v>
      </c>
      <c r="E320" s="53" t="s">
        <v>23</v>
      </c>
      <c r="F320" s="54">
        <v>1</v>
      </c>
      <c r="G320" s="54">
        <v>0</v>
      </c>
      <c r="H320" s="54">
        <v>0</v>
      </c>
      <c r="I320" s="54">
        <v>1</v>
      </c>
      <c r="J320" s="54">
        <v>20000</v>
      </c>
      <c r="K320" s="54">
        <v>0</v>
      </c>
      <c r="L320" s="54">
        <v>20000</v>
      </c>
      <c r="M320" s="54">
        <v>3179</v>
      </c>
    </row>
    <row r="321" spans="1:13" x14ac:dyDescent="0.2">
      <c r="A321" s="52" t="s">
        <v>196</v>
      </c>
      <c r="B321" s="67" t="s">
        <v>195</v>
      </c>
      <c r="C321" s="52" t="s">
        <v>45</v>
      </c>
      <c r="D321" s="53" t="s">
        <v>22</v>
      </c>
      <c r="E321" s="53" t="s">
        <v>23</v>
      </c>
      <c r="F321" s="54">
        <v>1</v>
      </c>
      <c r="G321" s="54">
        <v>0</v>
      </c>
      <c r="H321" s="54">
        <v>0</v>
      </c>
      <c r="I321" s="54">
        <v>1</v>
      </c>
      <c r="J321" s="54">
        <v>35000</v>
      </c>
      <c r="K321" s="54">
        <v>0</v>
      </c>
      <c r="L321" s="54">
        <v>35000</v>
      </c>
      <c r="M321" s="54">
        <v>3124</v>
      </c>
    </row>
    <row r="322" spans="1:13" x14ac:dyDescent="0.2">
      <c r="A322" s="52" t="s">
        <v>198</v>
      </c>
      <c r="B322" s="67" t="s">
        <v>197</v>
      </c>
      <c r="C322" s="52" t="s">
        <v>45</v>
      </c>
      <c r="D322" s="53" t="s">
        <v>27</v>
      </c>
      <c r="E322" s="53" t="s">
        <v>28</v>
      </c>
      <c r="F322" s="54">
        <v>0</v>
      </c>
      <c r="G322" s="54">
        <v>7</v>
      </c>
      <c r="H322" s="54">
        <v>0</v>
      </c>
      <c r="I322" s="54">
        <v>7</v>
      </c>
      <c r="J322" s="54">
        <v>3300</v>
      </c>
      <c r="K322" s="54">
        <v>11336</v>
      </c>
      <c r="L322" s="54">
        <v>14636</v>
      </c>
      <c r="M322" s="54">
        <v>10660</v>
      </c>
    </row>
    <row r="323" spans="1:13" x14ac:dyDescent="0.2">
      <c r="A323" s="52" t="s">
        <v>208</v>
      </c>
      <c r="B323" s="67" t="s">
        <v>207</v>
      </c>
      <c r="C323" s="52" t="s">
        <v>45</v>
      </c>
      <c r="D323" s="53" t="s">
        <v>27</v>
      </c>
      <c r="E323" s="53" t="s">
        <v>28</v>
      </c>
      <c r="F323" s="54">
        <v>1</v>
      </c>
      <c r="G323" s="54">
        <v>0</v>
      </c>
      <c r="H323" s="54">
        <v>0</v>
      </c>
      <c r="I323" s="54">
        <v>1</v>
      </c>
      <c r="J323" s="54">
        <v>18820</v>
      </c>
      <c r="K323" s="54">
        <v>0</v>
      </c>
      <c r="L323" s="54">
        <v>18820</v>
      </c>
      <c r="M323" s="54">
        <v>3308</v>
      </c>
    </row>
    <row r="324" spans="1:13" x14ac:dyDescent="0.2">
      <c r="A324" s="52" t="s">
        <v>227</v>
      </c>
      <c r="B324" s="67" t="s">
        <v>226</v>
      </c>
      <c r="C324" s="52" t="s">
        <v>45</v>
      </c>
      <c r="D324" s="53" t="s">
        <v>22</v>
      </c>
      <c r="E324" s="53" t="s">
        <v>23</v>
      </c>
      <c r="F324" s="54">
        <v>1</v>
      </c>
      <c r="G324" s="54">
        <v>0</v>
      </c>
      <c r="H324" s="54">
        <v>0</v>
      </c>
      <c r="I324" s="54">
        <v>1</v>
      </c>
      <c r="J324" s="54">
        <v>30100</v>
      </c>
      <c r="K324" s="54">
        <v>0</v>
      </c>
      <c r="L324" s="54">
        <v>30100</v>
      </c>
      <c r="M324" s="54">
        <v>2808</v>
      </c>
    </row>
    <row r="325" spans="1:13" x14ac:dyDescent="0.2">
      <c r="A325" s="52" t="s">
        <v>239</v>
      </c>
      <c r="B325" s="67" t="s">
        <v>238</v>
      </c>
      <c r="C325" s="52" t="s">
        <v>45</v>
      </c>
      <c r="D325" s="53" t="s">
        <v>22</v>
      </c>
      <c r="E325" s="53" t="s">
        <v>23</v>
      </c>
      <c r="F325" s="54">
        <v>1</v>
      </c>
      <c r="G325" s="54">
        <v>2</v>
      </c>
      <c r="H325" s="54">
        <v>0</v>
      </c>
      <c r="I325" s="54">
        <v>3</v>
      </c>
      <c r="J325" s="54">
        <v>16310</v>
      </c>
      <c r="K325" s="54">
        <v>2699</v>
      </c>
      <c r="L325" s="54">
        <v>19009</v>
      </c>
      <c r="M325" s="54">
        <v>6400</v>
      </c>
    </row>
    <row r="326" spans="1:13" x14ac:dyDescent="0.2">
      <c r="A326" s="52" t="s">
        <v>251</v>
      </c>
      <c r="B326" s="67" t="s">
        <v>250</v>
      </c>
      <c r="C326" s="52" t="s">
        <v>45</v>
      </c>
      <c r="D326" s="53" t="s">
        <v>27</v>
      </c>
      <c r="E326" s="53" t="s">
        <v>28</v>
      </c>
      <c r="F326" s="54">
        <v>1</v>
      </c>
      <c r="G326" s="54">
        <v>0</v>
      </c>
      <c r="H326" s="54">
        <v>0</v>
      </c>
      <c r="I326" s="54">
        <v>1</v>
      </c>
      <c r="J326" s="54">
        <v>25800</v>
      </c>
      <c r="K326" s="54">
        <v>0</v>
      </c>
      <c r="L326" s="54">
        <v>25800</v>
      </c>
      <c r="M326" s="54">
        <v>3094</v>
      </c>
    </row>
    <row r="327" spans="1:13" x14ac:dyDescent="0.2">
      <c r="A327" s="52" t="s">
        <v>253</v>
      </c>
      <c r="B327" s="67" t="s">
        <v>252</v>
      </c>
      <c r="C327" s="52" t="s">
        <v>45</v>
      </c>
      <c r="D327" s="53" t="s">
        <v>27</v>
      </c>
      <c r="E327" s="53" t="s">
        <v>28</v>
      </c>
      <c r="F327" s="54">
        <v>1</v>
      </c>
      <c r="G327" s="54">
        <v>0</v>
      </c>
      <c r="H327" s="54">
        <v>0</v>
      </c>
      <c r="I327" s="54">
        <v>1</v>
      </c>
      <c r="J327" s="54">
        <v>13000</v>
      </c>
      <c r="K327" s="54">
        <v>0</v>
      </c>
      <c r="L327" s="54">
        <v>13000</v>
      </c>
      <c r="M327" s="54">
        <v>2455</v>
      </c>
    </row>
    <row r="328" spans="1:13" x14ac:dyDescent="0.2">
      <c r="A328" s="52" t="s">
        <v>313</v>
      </c>
      <c r="B328" s="67" t="s">
        <v>312</v>
      </c>
      <c r="C328" s="52" t="s">
        <v>45</v>
      </c>
      <c r="D328" s="53" t="s">
        <v>27</v>
      </c>
      <c r="E328" s="53" t="s">
        <v>28</v>
      </c>
      <c r="F328" s="54">
        <v>1</v>
      </c>
      <c r="G328" s="54">
        <v>0</v>
      </c>
      <c r="H328" s="54">
        <v>0</v>
      </c>
      <c r="I328" s="54">
        <v>1</v>
      </c>
      <c r="J328" s="54">
        <v>6246</v>
      </c>
      <c r="K328" s="56">
        <v>0</v>
      </c>
      <c r="L328" s="54">
        <v>6246</v>
      </c>
      <c r="M328" s="54">
        <v>2485</v>
      </c>
    </row>
    <row r="329" spans="1:13" x14ac:dyDescent="0.2">
      <c r="A329" s="52" t="s">
        <v>321</v>
      </c>
      <c r="B329" s="67" t="s">
        <v>320</v>
      </c>
      <c r="C329" s="52" t="s">
        <v>45</v>
      </c>
      <c r="D329" s="53" t="s">
        <v>22</v>
      </c>
      <c r="E329" s="53" t="s">
        <v>23</v>
      </c>
      <c r="F329" s="54">
        <v>1</v>
      </c>
      <c r="G329" s="54">
        <v>0</v>
      </c>
      <c r="H329" s="54">
        <v>0</v>
      </c>
      <c r="I329" s="54">
        <v>1</v>
      </c>
      <c r="J329" s="54">
        <v>15543</v>
      </c>
      <c r="K329" s="54">
        <v>0</v>
      </c>
      <c r="L329" s="54">
        <v>15543</v>
      </c>
      <c r="M329" s="54">
        <v>2888</v>
      </c>
    </row>
    <row r="330" spans="1:13" x14ac:dyDescent="0.2">
      <c r="A330" s="52" t="s">
        <v>341</v>
      </c>
      <c r="B330" s="67" t="s">
        <v>340</v>
      </c>
      <c r="C330" s="52" t="s">
        <v>45</v>
      </c>
      <c r="D330" s="53" t="s">
        <v>27</v>
      </c>
      <c r="E330" s="53" t="s">
        <v>28</v>
      </c>
      <c r="F330" s="54">
        <v>1</v>
      </c>
      <c r="G330" s="54">
        <v>0</v>
      </c>
      <c r="H330" s="54">
        <v>0</v>
      </c>
      <c r="I330" s="54">
        <v>1</v>
      </c>
      <c r="J330" s="54">
        <v>43053</v>
      </c>
      <c r="K330" s="54">
        <v>0</v>
      </c>
      <c r="L330" s="54">
        <v>43053</v>
      </c>
      <c r="M330" s="54">
        <v>2288</v>
      </c>
    </row>
    <row r="331" spans="1:13" x14ac:dyDescent="0.2">
      <c r="A331" s="52" t="s">
        <v>401</v>
      </c>
      <c r="B331" s="67" t="s">
        <v>400</v>
      </c>
      <c r="C331" s="52" t="s">
        <v>45</v>
      </c>
      <c r="D331" s="53" t="s">
        <v>22</v>
      </c>
      <c r="E331" s="53" t="s">
        <v>23</v>
      </c>
      <c r="F331" s="54">
        <v>0</v>
      </c>
      <c r="G331" s="54">
        <v>8</v>
      </c>
      <c r="H331" s="54">
        <v>0</v>
      </c>
      <c r="I331" s="54">
        <v>8</v>
      </c>
      <c r="J331" s="54">
        <v>3500</v>
      </c>
      <c r="K331" s="54">
        <v>26484</v>
      </c>
      <c r="L331" s="54">
        <v>29984</v>
      </c>
      <c r="M331" s="54">
        <v>16895</v>
      </c>
    </row>
    <row r="332" spans="1:13" x14ac:dyDescent="0.2">
      <c r="A332" s="52" t="s">
        <v>445</v>
      </c>
      <c r="B332" s="67" t="s">
        <v>444</v>
      </c>
      <c r="C332" s="52" t="s">
        <v>45</v>
      </c>
      <c r="D332" s="53" t="s">
        <v>22</v>
      </c>
      <c r="E332" s="53" t="s">
        <v>23</v>
      </c>
      <c r="F332" s="54">
        <v>1</v>
      </c>
      <c r="G332" s="54">
        <v>5</v>
      </c>
      <c r="H332" s="54">
        <v>1</v>
      </c>
      <c r="I332" s="54">
        <v>7</v>
      </c>
      <c r="J332" s="54">
        <v>13000</v>
      </c>
      <c r="K332" s="54">
        <v>10500</v>
      </c>
      <c r="L332" s="54">
        <v>23500</v>
      </c>
      <c r="M332" s="54">
        <v>9403</v>
      </c>
    </row>
    <row r="333" spans="1:13" x14ac:dyDescent="0.2">
      <c r="A333" s="52" t="s">
        <v>451</v>
      </c>
      <c r="B333" s="67" t="s">
        <v>450</v>
      </c>
      <c r="C333" s="52" t="s">
        <v>45</v>
      </c>
      <c r="D333" s="53" t="s">
        <v>27</v>
      </c>
      <c r="E333" s="53" t="s">
        <v>28</v>
      </c>
      <c r="F333" s="54">
        <v>1</v>
      </c>
      <c r="G333" s="54">
        <v>0</v>
      </c>
      <c r="H333" s="54">
        <v>0</v>
      </c>
      <c r="I333" s="54">
        <v>1</v>
      </c>
      <c r="J333" s="54">
        <v>3000</v>
      </c>
      <c r="K333" s="54">
        <v>0</v>
      </c>
      <c r="L333" s="54">
        <v>3000</v>
      </c>
      <c r="M333" s="54">
        <v>2500</v>
      </c>
    </row>
    <row r="334" spans="1:13" x14ac:dyDescent="0.2">
      <c r="A334" s="52" t="s">
        <v>463</v>
      </c>
      <c r="B334" s="67" t="s">
        <v>462</v>
      </c>
      <c r="C334" s="52" t="s">
        <v>45</v>
      </c>
      <c r="D334" s="53" t="s">
        <v>27</v>
      </c>
      <c r="E334" s="53" t="s">
        <v>28</v>
      </c>
      <c r="F334" s="54">
        <v>1</v>
      </c>
      <c r="G334" s="54">
        <v>0</v>
      </c>
      <c r="H334" s="54">
        <v>0</v>
      </c>
      <c r="I334" s="54">
        <v>1</v>
      </c>
      <c r="J334" s="54">
        <v>49793</v>
      </c>
      <c r="K334" s="54">
        <v>0</v>
      </c>
      <c r="L334" s="54">
        <v>49793</v>
      </c>
      <c r="M334" s="54">
        <v>3429</v>
      </c>
    </row>
    <row r="335" spans="1:13" x14ac:dyDescent="0.2">
      <c r="A335" s="52" t="s">
        <v>480</v>
      </c>
      <c r="B335" s="67" t="s">
        <v>479</v>
      </c>
      <c r="C335" s="52" t="s">
        <v>45</v>
      </c>
      <c r="D335" s="53" t="s">
        <v>27</v>
      </c>
      <c r="E335" s="53" t="s">
        <v>28</v>
      </c>
      <c r="F335" s="54">
        <v>1</v>
      </c>
      <c r="G335" s="54">
        <v>0</v>
      </c>
      <c r="H335" s="54">
        <v>0</v>
      </c>
      <c r="I335" s="54">
        <v>1</v>
      </c>
      <c r="J335" s="54">
        <v>16885</v>
      </c>
      <c r="K335" s="54">
        <v>0</v>
      </c>
      <c r="L335" s="54">
        <v>16885</v>
      </c>
      <c r="M335" s="54">
        <v>2747</v>
      </c>
    </row>
    <row r="336" spans="1:13" x14ac:dyDescent="0.2">
      <c r="A336" s="52" t="s">
        <v>500</v>
      </c>
      <c r="B336" s="67" t="s">
        <v>499</v>
      </c>
      <c r="C336" s="52" t="s">
        <v>45</v>
      </c>
      <c r="D336" s="53" t="s">
        <v>22</v>
      </c>
      <c r="E336" s="53" t="s">
        <v>23</v>
      </c>
      <c r="F336" s="54">
        <v>1</v>
      </c>
      <c r="G336" s="54">
        <v>1</v>
      </c>
      <c r="H336" s="54">
        <v>0</v>
      </c>
      <c r="I336" s="54">
        <v>2</v>
      </c>
      <c r="J336" s="54">
        <v>14548</v>
      </c>
      <c r="K336" s="54">
        <v>6680</v>
      </c>
      <c r="L336" s="54">
        <v>21228</v>
      </c>
      <c r="M336" s="54">
        <v>6286</v>
      </c>
    </row>
    <row r="337" spans="1:13" x14ac:dyDescent="0.2">
      <c r="A337" s="52" t="s">
        <v>556</v>
      </c>
      <c r="B337" s="67" t="s">
        <v>555</v>
      </c>
      <c r="C337" s="52" t="s">
        <v>45</v>
      </c>
      <c r="D337" s="53" t="s">
        <v>52</v>
      </c>
      <c r="E337" s="53" t="s">
        <v>53</v>
      </c>
      <c r="F337" s="54">
        <v>1</v>
      </c>
      <c r="G337" s="54">
        <v>0</v>
      </c>
      <c r="H337" s="54">
        <v>0</v>
      </c>
      <c r="I337" s="54">
        <v>1</v>
      </c>
      <c r="J337" s="54">
        <v>25800</v>
      </c>
      <c r="K337" s="54">
        <v>0</v>
      </c>
      <c r="L337" s="54">
        <v>25800</v>
      </c>
      <c r="M337" s="54">
        <v>3224</v>
      </c>
    </row>
    <row r="338" spans="1:13" x14ac:dyDescent="0.2">
      <c r="A338" s="52" t="s">
        <v>562</v>
      </c>
      <c r="B338" s="67" t="s">
        <v>561</v>
      </c>
      <c r="C338" s="52" t="s">
        <v>45</v>
      </c>
      <c r="D338" s="53" t="s">
        <v>27</v>
      </c>
      <c r="E338" s="53" t="s">
        <v>28</v>
      </c>
      <c r="F338" s="54">
        <v>1</v>
      </c>
      <c r="G338" s="54">
        <v>0</v>
      </c>
      <c r="H338" s="54">
        <v>0</v>
      </c>
      <c r="I338" s="54">
        <v>1</v>
      </c>
      <c r="J338" s="54">
        <v>16800</v>
      </c>
      <c r="K338" s="54">
        <v>0</v>
      </c>
      <c r="L338" s="54">
        <v>16800</v>
      </c>
      <c r="M338" s="54">
        <v>2704</v>
      </c>
    </row>
    <row r="339" spans="1:13" x14ac:dyDescent="0.2">
      <c r="A339" s="52" t="s">
        <v>568</v>
      </c>
      <c r="B339" s="67" t="s">
        <v>567</v>
      </c>
      <c r="C339" s="52" t="s">
        <v>45</v>
      </c>
      <c r="D339" s="53" t="s">
        <v>22</v>
      </c>
      <c r="E339" s="53" t="s">
        <v>23</v>
      </c>
      <c r="F339" s="54">
        <v>1</v>
      </c>
      <c r="G339" s="54">
        <v>0</v>
      </c>
      <c r="H339" s="54">
        <v>0</v>
      </c>
      <c r="I339" s="54">
        <v>1</v>
      </c>
      <c r="J339" s="54">
        <v>30842</v>
      </c>
      <c r="K339" s="54">
        <v>0</v>
      </c>
      <c r="L339" s="54">
        <v>30842</v>
      </c>
      <c r="M339" s="54">
        <v>3020</v>
      </c>
    </row>
    <row r="340" spans="1:13" x14ac:dyDescent="0.2">
      <c r="A340" s="52" t="s">
        <v>598</v>
      </c>
      <c r="B340" s="67" t="s">
        <v>597</v>
      </c>
      <c r="C340" s="52" t="s">
        <v>45</v>
      </c>
      <c r="D340" s="53" t="s">
        <v>17</v>
      </c>
      <c r="E340" s="53" t="s">
        <v>18</v>
      </c>
      <c r="F340" s="54">
        <v>1</v>
      </c>
      <c r="G340" s="54">
        <v>0</v>
      </c>
      <c r="H340" s="54">
        <v>0</v>
      </c>
      <c r="I340" s="54">
        <v>1</v>
      </c>
      <c r="J340" s="54">
        <v>63000</v>
      </c>
      <c r="K340" s="54">
        <v>0</v>
      </c>
      <c r="L340" s="54">
        <v>63000</v>
      </c>
      <c r="M340" s="54">
        <v>2968</v>
      </c>
    </row>
    <row r="341" spans="1:13" x14ac:dyDescent="0.2">
      <c r="A341" s="52" t="s">
        <v>608</v>
      </c>
      <c r="B341" s="67" t="s">
        <v>607</v>
      </c>
      <c r="C341" s="52" t="s">
        <v>45</v>
      </c>
      <c r="D341" s="53" t="s">
        <v>22</v>
      </c>
      <c r="E341" s="53" t="s">
        <v>23</v>
      </c>
      <c r="F341" s="54">
        <v>1</v>
      </c>
      <c r="G341" s="54">
        <v>0</v>
      </c>
      <c r="H341" s="54">
        <v>0</v>
      </c>
      <c r="I341" s="54">
        <v>1</v>
      </c>
      <c r="J341" s="54">
        <v>52000</v>
      </c>
      <c r="K341" s="54">
        <v>0</v>
      </c>
      <c r="L341" s="54">
        <v>52000</v>
      </c>
      <c r="M341" s="54">
        <v>3301</v>
      </c>
    </row>
    <row r="342" spans="1:13" x14ac:dyDescent="0.2">
      <c r="A342" s="52" t="s">
        <v>636</v>
      </c>
      <c r="B342" s="67" t="s">
        <v>635</v>
      </c>
      <c r="C342" s="52" t="s">
        <v>45</v>
      </c>
      <c r="D342" s="53" t="s">
        <v>67</v>
      </c>
      <c r="E342" s="53" t="s">
        <v>68</v>
      </c>
      <c r="F342" s="54">
        <v>1</v>
      </c>
      <c r="G342" s="54">
        <v>0</v>
      </c>
      <c r="H342" s="54">
        <v>0</v>
      </c>
      <c r="I342" s="54">
        <v>1</v>
      </c>
      <c r="J342" s="54">
        <v>65000</v>
      </c>
      <c r="K342" s="54">
        <v>0</v>
      </c>
      <c r="L342" s="54">
        <v>65000</v>
      </c>
      <c r="M342" s="54">
        <v>2904</v>
      </c>
    </row>
    <row r="343" spans="1:13" x14ac:dyDescent="0.2">
      <c r="A343" s="52" t="s">
        <v>662</v>
      </c>
      <c r="B343" s="67" t="s">
        <v>661</v>
      </c>
      <c r="C343" s="52" t="s">
        <v>45</v>
      </c>
      <c r="D343" s="53" t="s">
        <v>27</v>
      </c>
      <c r="E343" s="53" t="s">
        <v>28</v>
      </c>
      <c r="F343" s="54">
        <v>1</v>
      </c>
      <c r="G343" s="54">
        <v>1</v>
      </c>
      <c r="H343" s="54">
        <v>0</v>
      </c>
      <c r="I343" s="54">
        <v>2</v>
      </c>
      <c r="J343" s="54">
        <v>24100</v>
      </c>
      <c r="K343" s="54">
        <v>7500</v>
      </c>
      <c r="L343" s="54">
        <v>31600</v>
      </c>
      <c r="M343" s="54">
        <v>5972</v>
      </c>
    </row>
    <row r="344" spans="1:13" x14ac:dyDescent="0.2">
      <c r="A344" s="52" t="s">
        <v>664</v>
      </c>
      <c r="B344" s="67" t="s">
        <v>663</v>
      </c>
      <c r="C344" s="52" t="s">
        <v>45</v>
      </c>
      <c r="D344" s="53" t="s">
        <v>27</v>
      </c>
      <c r="E344" s="53" t="s">
        <v>28</v>
      </c>
      <c r="F344" s="54">
        <v>1</v>
      </c>
      <c r="G344" s="54">
        <v>0</v>
      </c>
      <c r="H344" s="54">
        <v>0</v>
      </c>
      <c r="I344" s="54">
        <v>1</v>
      </c>
      <c r="J344" s="54">
        <v>11100</v>
      </c>
      <c r="K344" s="54">
        <v>0</v>
      </c>
      <c r="L344" s="54">
        <v>11100</v>
      </c>
      <c r="M344" s="54">
        <v>2697</v>
      </c>
    </row>
    <row r="345" spans="1:13" x14ac:dyDescent="0.2">
      <c r="A345" s="52" t="s">
        <v>668</v>
      </c>
      <c r="B345" s="67" t="s">
        <v>667</v>
      </c>
      <c r="C345" s="52" t="s">
        <v>45</v>
      </c>
      <c r="D345" s="53" t="s">
        <v>27</v>
      </c>
      <c r="E345" s="53" t="s">
        <v>28</v>
      </c>
      <c r="F345" s="54">
        <v>1</v>
      </c>
      <c r="G345" s="54">
        <v>0</v>
      </c>
      <c r="H345" s="54">
        <v>0</v>
      </c>
      <c r="I345" s="54">
        <v>1</v>
      </c>
      <c r="J345" s="54">
        <v>29151</v>
      </c>
      <c r="K345" s="54">
        <v>0</v>
      </c>
      <c r="L345" s="54">
        <v>29151</v>
      </c>
      <c r="M345" s="54">
        <v>2740</v>
      </c>
    </row>
    <row r="346" spans="1:13" x14ac:dyDescent="0.2">
      <c r="A346" s="52" t="s">
        <v>688</v>
      </c>
      <c r="B346" s="67" t="s">
        <v>687</v>
      </c>
      <c r="C346" s="52" t="s">
        <v>45</v>
      </c>
      <c r="D346" s="53" t="s">
        <v>52</v>
      </c>
      <c r="E346" s="53" t="s">
        <v>53</v>
      </c>
      <c r="F346" s="54">
        <v>1</v>
      </c>
      <c r="G346" s="54">
        <v>0</v>
      </c>
      <c r="H346" s="54">
        <v>0</v>
      </c>
      <c r="I346" s="54">
        <v>1</v>
      </c>
      <c r="J346" s="54">
        <v>33000</v>
      </c>
      <c r="K346" s="54">
        <v>0</v>
      </c>
      <c r="L346" s="54">
        <v>33000</v>
      </c>
      <c r="M346" s="54">
        <v>3275</v>
      </c>
    </row>
    <row r="347" spans="1:13" x14ac:dyDescent="0.2">
      <c r="A347" s="52" t="s">
        <v>712</v>
      </c>
      <c r="B347" s="67" t="s">
        <v>711</v>
      </c>
      <c r="C347" s="52" t="s">
        <v>45</v>
      </c>
      <c r="D347" s="53" t="s">
        <v>52</v>
      </c>
      <c r="E347" s="53" t="s">
        <v>53</v>
      </c>
      <c r="F347" s="54">
        <v>1</v>
      </c>
      <c r="G347" s="54">
        <v>1</v>
      </c>
      <c r="H347" s="54">
        <v>0</v>
      </c>
      <c r="I347" s="54">
        <v>2</v>
      </c>
      <c r="J347" s="54">
        <v>8400</v>
      </c>
      <c r="K347" s="54">
        <v>3300</v>
      </c>
      <c r="L347" s="54">
        <v>11700</v>
      </c>
      <c r="M347" s="54">
        <v>6554</v>
      </c>
    </row>
    <row r="348" spans="1:13" x14ac:dyDescent="0.2">
      <c r="A348" s="52" t="s">
        <v>722</v>
      </c>
      <c r="B348" s="67" t="s">
        <v>721</v>
      </c>
      <c r="C348" s="52" t="s">
        <v>45</v>
      </c>
      <c r="D348" s="53" t="s">
        <v>27</v>
      </c>
      <c r="E348" s="53" t="s">
        <v>28</v>
      </c>
      <c r="F348" s="54">
        <v>1</v>
      </c>
      <c r="G348" s="54">
        <v>0</v>
      </c>
      <c r="H348" s="54">
        <v>0</v>
      </c>
      <c r="I348" s="54">
        <v>1</v>
      </c>
      <c r="J348" s="54">
        <v>21000</v>
      </c>
      <c r="K348" s="56">
        <v>0</v>
      </c>
      <c r="L348" s="54">
        <v>21000</v>
      </c>
      <c r="M348" s="54">
        <v>2507</v>
      </c>
    </row>
    <row r="349" spans="1:13" x14ac:dyDescent="0.2">
      <c r="A349" s="52" t="s">
        <v>740</v>
      </c>
      <c r="B349" s="67" t="s">
        <v>739</v>
      </c>
      <c r="C349" s="52" t="s">
        <v>45</v>
      </c>
      <c r="D349" s="53" t="s">
        <v>27</v>
      </c>
      <c r="E349" s="53" t="s">
        <v>28</v>
      </c>
      <c r="F349" s="54">
        <v>1</v>
      </c>
      <c r="G349" s="54">
        <v>7</v>
      </c>
      <c r="H349" s="54">
        <v>0</v>
      </c>
      <c r="I349" s="54">
        <v>8</v>
      </c>
      <c r="J349" s="54">
        <v>17200</v>
      </c>
      <c r="K349" s="54">
        <v>19653</v>
      </c>
      <c r="L349" s="54">
        <v>36853</v>
      </c>
      <c r="M349" s="54">
        <v>12785</v>
      </c>
    </row>
    <row r="350" spans="1:13" x14ac:dyDescent="0.2">
      <c r="A350" s="52" t="s">
        <v>785</v>
      </c>
      <c r="B350" s="67" t="s">
        <v>784</v>
      </c>
      <c r="C350" s="52" t="s">
        <v>45</v>
      </c>
      <c r="D350" s="53" t="s">
        <v>22</v>
      </c>
      <c r="E350" s="53" t="s">
        <v>23</v>
      </c>
      <c r="F350" s="54">
        <v>1</v>
      </c>
      <c r="G350" s="54">
        <v>6</v>
      </c>
      <c r="H350" s="54">
        <v>0</v>
      </c>
      <c r="I350" s="54">
        <v>7</v>
      </c>
      <c r="J350" s="54">
        <v>15000</v>
      </c>
      <c r="K350" s="54">
        <v>22205</v>
      </c>
      <c r="L350" s="54">
        <v>37205</v>
      </c>
      <c r="M350" s="54">
        <v>16862</v>
      </c>
    </row>
    <row r="351" spans="1:13" x14ac:dyDescent="0.2">
      <c r="A351" s="52" t="s">
        <v>827</v>
      </c>
      <c r="B351" s="67" t="s">
        <v>826</v>
      </c>
      <c r="C351" s="52" t="s">
        <v>45</v>
      </c>
      <c r="D351" s="53" t="s">
        <v>22</v>
      </c>
      <c r="E351" s="53" t="s">
        <v>23</v>
      </c>
      <c r="F351" s="54">
        <v>1</v>
      </c>
      <c r="G351" s="54">
        <v>0</v>
      </c>
      <c r="H351" s="54">
        <v>0</v>
      </c>
      <c r="I351" s="54">
        <v>1</v>
      </c>
      <c r="J351" s="54">
        <v>10000</v>
      </c>
      <c r="K351" s="54">
        <v>0</v>
      </c>
      <c r="L351" s="54">
        <v>10000</v>
      </c>
      <c r="M351" s="54">
        <v>2808</v>
      </c>
    </row>
    <row r="352" spans="1:13" x14ac:dyDescent="0.2">
      <c r="A352" s="52" t="s">
        <v>59</v>
      </c>
      <c r="B352" s="67" t="s">
        <v>58</v>
      </c>
      <c r="C352" s="52" t="s">
        <v>60</v>
      </c>
      <c r="D352" s="53" t="s">
        <v>27</v>
      </c>
      <c r="E352" s="53" t="s">
        <v>28</v>
      </c>
      <c r="F352" s="54">
        <v>1</v>
      </c>
      <c r="G352" s="54">
        <v>4</v>
      </c>
      <c r="H352" s="54">
        <v>0</v>
      </c>
      <c r="I352" s="54">
        <v>5</v>
      </c>
      <c r="J352" s="54">
        <v>110000</v>
      </c>
      <c r="K352" s="54">
        <v>70000</v>
      </c>
      <c r="L352" s="54">
        <v>180000</v>
      </c>
      <c r="M352" s="54">
        <v>18997</v>
      </c>
    </row>
    <row r="353" spans="1:13" x14ac:dyDescent="0.2">
      <c r="A353" s="52" t="s">
        <v>86</v>
      </c>
      <c r="B353" s="67" t="s">
        <v>85</v>
      </c>
      <c r="C353" s="52" t="s">
        <v>60</v>
      </c>
      <c r="D353" s="53" t="s">
        <v>22</v>
      </c>
      <c r="E353" s="53" t="s">
        <v>23</v>
      </c>
      <c r="F353" s="54">
        <v>1</v>
      </c>
      <c r="G353" s="54">
        <v>3</v>
      </c>
      <c r="H353" s="54">
        <v>1</v>
      </c>
      <c r="I353" s="54">
        <v>5</v>
      </c>
      <c r="J353" s="54">
        <v>62000</v>
      </c>
      <c r="K353" s="54">
        <v>44817</v>
      </c>
      <c r="L353" s="54">
        <v>106817</v>
      </c>
      <c r="M353" s="54">
        <v>10636</v>
      </c>
    </row>
    <row r="354" spans="1:13" x14ac:dyDescent="0.2">
      <c r="A354" s="52" t="s">
        <v>148</v>
      </c>
      <c r="B354" s="67" t="s">
        <v>147</v>
      </c>
      <c r="C354" s="52" t="s">
        <v>60</v>
      </c>
      <c r="D354" s="53" t="s">
        <v>22</v>
      </c>
      <c r="E354" s="53" t="s">
        <v>23</v>
      </c>
      <c r="F354" s="54">
        <v>1</v>
      </c>
      <c r="G354" s="54">
        <v>0</v>
      </c>
      <c r="H354" s="54">
        <v>0</v>
      </c>
      <c r="I354" s="54">
        <v>1</v>
      </c>
      <c r="J354" s="54">
        <v>53000</v>
      </c>
      <c r="K354" s="54">
        <v>0</v>
      </c>
      <c r="L354" s="54">
        <v>53000</v>
      </c>
      <c r="M354" s="54">
        <v>3594</v>
      </c>
    </row>
    <row r="355" spans="1:13" x14ac:dyDescent="0.2">
      <c r="A355" s="52" t="s">
        <v>150</v>
      </c>
      <c r="B355" s="67" t="s">
        <v>149</v>
      </c>
      <c r="C355" s="52" t="s">
        <v>60</v>
      </c>
      <c r="D355" s="53" t="s">
        <v>22</v>
      </c>
      <c r="E355" s="53" t="s">
        <v>23</v>
      </c>
      <c r="F355" s="54">
        <v>1</v>
      </c>
      <c r="G355" s="54">
        <v>12</v>
      </c>
      <c r="H355" s="54">
        <v>1</v>
      </c>
      <c r="I355" s="54">
        <v>14</v>
      </c>
      <c r="J355" s="54">
        <v>75000</v>
      </c>
      <c r="K355" s="54">
        <v>63808</v>
      </c>
      <c r="L355" s="54">
        <v>138808</v>
      </c>
      <c r="M355" s="54">
        <v>34534</v>
      </c>
    </row>
    <row r="356" spans="1:13" x14ac:dyDescent="0.2">
      <c r="A356" s="52" t="s">
        <v>180</v>
      </c>
      <c r="B356" s="67" t="s">
        <v>179</v>
      </c>
      <c r="C356" s="52" t="s">
        <v>60</v>
      </c>
      <c r="D356" s="53" t="s">
        <v>22</v>
      </c>
      <c r="E356" s="53" t="s">
        <v>23</v>
      </c>
      <c r="F356" s="54">
        <v>1</v>
      </c>
      <c r="G356" s="54">
        <v>4</v>
      </c>
      <c r="H356" s="54">
        <v>0</v>
      </c>
      <c r="I356" s="54">
        <v>5</v>
      </c>
      <c r="J356" s="54">
        <v>30000</v>
      </c>
      <c r="K356" s="54">
        <v>11300</v>
      </c>
      <c r="L356" s="54">
        <v>41300</v>
      </c>
      <c r="M356" s="54">
        <v>10552</v>
      </c>
    </row>
    <row r="357" spans="1:13" x14ac:dyDescent="0.2">
      <c r="A357" s="52" t="s">
        <v>186</v>
      </c>
      <c r="B357" s="67" t="s">
        <v>185</v>
      </c>
      <c r="C357" s="52" t="s">
        <v>60</v>
      </c>
      <c r="D357" s="53" t="s">
        <v>52</v>
      </c>
      <c r="E357" s="53" t="s">
        <v>53</v>
      </c>
      <c r="F357" s="54">
        <v>1</v>
      </c>
      <c r="G357" s="54">
        <v>2</v>
      </c>
      <c r="H357" s="54">
        <v>0</v>
      </c>
      <c r="I357" s="54">
        <v>3</v>
      </c>
      <c r="J357" s="54">
        <v>84000</v>
      </c>
      <c r="K357" s="54">
        <v>33599</v>
      </c>
      <c r="L357" s="54">
        <v>117599</v>
      </c>
      <c r="M357" s="54">
        <v>10608</v>
      </c>
    </row>
    <row r="358" spans="1:13" x14ac:dyDescent="0.2">
      <c r="A358" s="52" t="s">
        <v>221</v>
      </c>
      <c r="B358" s="67" t="s">
        <v>220</v>
      </c>
      <c r="C358" s="52" t="s">
        <v>60</v>
      </c>
      <c r="D358" s="53" t="s">
        <v>27</v>
      </c>
      <c r="E358" s="53" t="s">
        <v>28</v>
      </c>
      <c r="F358" s="54">
        <v>1</v>
      </c>
      <c r="G358" s="54">
        <v>1</v>
      </c>
      <c r="H358" s="54">
        <v>0</v>
      </c>
      <c r="I358" s="54">
        <v>2</v>
      </c>
      <c r="J358" s="54">
        <v>32000</v>
      </c>
      <c r="K358" s="54">
        <v>12000</v>
      </c>
      <c r="L358" s="54">
        <v>44000</v>
      </c>
      <c r="M358" s="54">
        <v>5167</v>
      </c>
    </row>
    <row r="359" spans="1:13" x14ac:dyDescent="0.2">
      <c r="A359" s="52" t="s">
        <v>223</v>
      </c>
      <c r="B359" s="67" t="s">
        <v>222</v>
      </c>
      <c r="C359" s="52" t="s">
        <v>60</v>
      </c>
      <c r="D359" s="53" t="s">
        <v>27</v>
      </c>
      <c r="E359" s="53" t="s">
        <v>28</v>
      </c>
      <c r="F359" s="54">
        <v>1</v>
      </c>
      <c r="G359" s="54">
        <v>2</v>
      </c>
      <c r="H359" s="54">
        <v>0</v>
      </c>
      <c r="I359" s="54">
        <v>3</v>
      </c>
      <c r="J359" s="54">
        <v>85643</v>
      </c>
      <c r="K359" s="54">
        <v>20134</v>
      </c>
      <c r="L359" s="54">
        <v>105777</v>
      </c>
      <c r="M359" s="54">
        <v>6972</v>
      </c>
    </row>
    <row r="360" spans="1:13" x14ac:dyDescent="0.2">
      <c r="A360" s="52" t="s">
        <v>233</v>
      </c>
      <c r="B360" s="67" t="s">
        <v>232</v>
      </c>
      <c r="C360" s="52" t="s">
        <v>60</v>
      </c>
      <c r="D360" s="53" t="s">
        <v>27</v>
      </c>
      <c r="E360" s="53" t="s">
        <v>28</v>
      </c>
      <c r="F360" s="54">
        <v>1</v>
      </c>
      <c r="G360" s="54">
        <v>20</v>
      </c>
      <c r="H360" s="54">
        <v>1</v>
      </c>
      <c r="I360" s="54">
        <v>22</v>
      </c>
      <c r="J360" s="54">
        <v>420000</v>
      </c>
      <c r="K360" s="54">
        <v>211059</v>
      </c>
      <c r="L360" s="54">
        <v>631059</v>
      </c>
      <c r="M360" s="54">
        <v>37664</v>
      </c>
    </row>
    <row r="361" spans="1:13" x14ac:dyDescent="0.2">
      <c r="A361" s="52" t="s">
        <v>277</v>
      </c>
      <c r="B361" s="67" t="s">
        <v>276</v>
      </c>
      <c r="C361" s="52" t="s">
        <v>60</v>
      </c>
      <c r="D361" s="53" t="s">
        <v>27</v>
      </c>
      <c r="E361" s="53" t="s">
        <v>28</v>
      </c>
      <c r="F361" s="54">
        <v>1</v>
      </c>
      <c r="G361" s="54">
        <v>1</v>
      </c>
      <c r="H361" s="54">
        <v>0</v>
      </c>
      <c r="I361" s="54">
        <v>2</v>
      </c>
      <c r="J361" s="54">
        <v>72000</v>
      </c>
      <c r="K361" s="54">
        <v>18000</v>
      </c>
      <c r="L361" s="54">
        <v>90000</v>
      </c>
      <c r="M361" s="54">
        <v>6816</v>
      </c>
    </row>
    <row r="362" spans="1:13" x14ac:dyDescent="0.2">
      <c r="A362" s="52" t="s">
        <v>291</v>
      </c>
      <c r="B362" s="67" t="s">
        <v>290</v>
      </c>
      <c r="C362" s="52" t="s">
        <v>60</v>
      </c>
      <c r="D362" s="53" t="s">
        <v>27</v>
      </c>
      <c r="E362" s="53" t="s">
        <v>28</v>
      </c>
      <c r="F362" s="54">
        <v>1</v>
      </c>
      <c r="G362" s="54">
        <v>0</v>
      </c>
      <c r="H362" s="54">
        <v>0</v>
      </c>
      <c r="I362" s="54">
        <v>1</v>
      </c>
      <c r="J362" s="54">
        <v>82166</v>
      </c>
      <c r="K362" s="54">
        <v>0</v>
      </c>
      <c r="L362" s="54">
        <v>82166</v>
      </c>
      <c r="M362" s="54">
        <v>2223</v>
      </c>
    </row>
    <row r="363" spans="1:13" x14ac:dyDescent="0.2">
      <c r="A363" s="52" t="s">
        <v>317</v>
      </c>
      <c r="B363" s="67" t="s">
        <v>316</v>
      </c>
      <c r="C363" s="52" t="s">
        <v>60</v>
      </c>
      <c r="D363" s="53" t="s">
        <v>22</v>
      </c>
      <c r="E363" s="53" t="s">
        <v>23</v>
      </c>
      <c r="F363" s="54">
        <v>1</v>
      </c>
      <c r="G363" s="54">
        <v>18</v>
      </c>
      <c r="H363" s="54">
        <v>0</v>
      </c>
      <c r="I363" s="54">
        <v>19</v>
      </c>
      <c r="J363" s="54">
        <v>12800</v>
      </c>
      <c r="K363" s="54">
        <v>74915</v>
      </c>
      <c r="L363" s="54">
        <v>87715</v>
      </c>
      <c r="M363" s="54">
        <v>46198</v>
      </c>
    </row>
    <row r="364" spans="1:13" x14ac:dyDescent="0.2">
      <c r="A364" s="52" t="s">
        <v>331</v>
      </c>
      <c r="B364" s="67" t="s">
        <v>330</v>
      </c>
      <c r="C364" s="52" t="s">
        <v>60</v>
      </c>
      <c r="D364" s="53" t="s">
        <v>27</v>
      </c>
      <c r="E364" s="53" t="s">
        <v>28</v>
      </c>
      <c r="F364" s="54">
        <v>1</v>
      </c>
      <c r="G364" s="54">
        <v>0</v>
      </c>
      <c r="H364" s="54">
        <v>0</v>
      </c>
      <c r="I364" s="54">
        <v>1</v>
      </c>
      <c r="J364" s="54">
        <v>105000</v>
      </c>
      <c r="K364" s="54">
        <v>0</v>
      </c>
      <c r="L364" s="54">
        <v>105000</v>
      </c>
      <c r="M364" s="54">
        <v>3262</v>
      </c>
    </row>
    <row r="365" spans="1:13" x14ac:dyDescent="0.2">
      <c r="A365" s="52" t="s">
        <v>335</v>
      </c>
      <c r="B365" s="67" t="s">
        <v>334</v>
      </c>
      <c r="C365" s="52" t="s">
        <v>60</v>
      </c>
      <c r="D365" s="53" t="s">
        <v>27</v>
      </c>
      <c r="E365" s="53" t="s">
        <v>28</v>
      </c>
      <c r="F365" s="54">
        <v>1</v>
      </c>
      <c r="G365" s="54">
        <v>7</v>
      </c>
      <c r="H365" s="54">
        <v>0</v>
      </c>
      <c r="I365" s="54">
        <v>8</v>
      </c>
      <c r="J365" s="54">
        <v>153000</v>
      </c>
      <c r="K365" s="54">
        <v>58426</v>
      </c>
      <c r="L365" s="54">
        <v>211426</v>
      </c>
      <c r="M365" s="54">
        <v>18140</v>
      </c>
    </row>
    <row r="366" spans="1:13" x14ac:dyDescent="0.2">
      <c r="A366" s="52" t="s">
        <v>339</v>
      </c>
      <c r="B366" s="67" t="s">
        <v>338</v>
      </c>
      <c r="C366" s="52" t="s">
        <v>60</v>
      </c>
      <c r="D366" s="53" t="s">
        <v>27</v>
      </c>
      <c r="E366" s="53" t="s">
        <v>28</v>
      </c>
      <c r="F366" s="54">
        <v>1</v>
      </c>
      <c r="G366" s="54">
        <v>2</v>
      </c>
      <c r="H366" s="54">
        <v>0</v>
      </c>
      <c r="I366" s="54">
        <v>3</v>
      </c>
      <c r="J366" s="54">
        <v>18500</v>
      </c>
      <c r="K366" s="54">
        <v>42500</v>
      </c>
      <c r="L366" s="54">
        <v>61000</v>
      </c>
      <c r="M366" s="54">
        <v>9836</v>
      </c>
    </row>
    <row r="367" spans="1:13" x14ac:dyDescent="0.2">
      <c r="A367" s="52" t="s">
        <v>367</v>
      </c>
      <c r="B367" s="67" t="s">
        <v>366</v>
      </c>
      <c r="C367" s="52" t="s">
        <v>60</v>
      </c>
      <c r="D367" s="53" t="s">
        <v>27</v>
      </c>
      <c r="E367" s="53" t="s">
        <v>28</v>
      </c>
      <c r="F367" s="54">
        <v>1</v>
      </c>
      <c r="G367" s="54">
        <v>1</v>
      </c>
      <c r="H367" s="54">
        <v>0</v>
      </c>
      <c r="I367" s="54">
        <v>2</v>
      </c>
      <c r="J367" s="54">
        <v>72291</v>
      </c>
      <c r="K367" s="54">
        <v>5000</v>
      </c>
      <c r="L367" s="54">
        <v>77291</v>
      </c>
      <c r="M367" s="54">
        <v>5837</v>
      </c>
    </row>
    <row r="368" spans="1:13" x14ac:dyDescent="0.2">
      <c r="A368" s="52" t="s">
        <v>389</v>
      </c>
      <c r="B368" s="67" t="s">
        <v>388</v>
      </c>
      <c r="C368" s="52" t="s">
        <v>60</v>
      </c>
      <c r="D368" s="53" t="s">
        <v>27</v>
      </c>
      <c r="E368" s="53" t="s">
        <v>28</v>
      </c>
      <c r="F368" s="54">
        <v>1</v>
      </c>
      <c r="G368" s="54">
        <v>0</v>
      </c>
      <c r="H368" s="54">
        <v>0</v>
      </c>
      <c r="I368" s="54">
        <v>1</v>
      </c>
      <c r="J368" s="54">
        <v>30100</v>
      </c>
      <c r="K368" s="54">
        <v>0</v>
      </c>
      <c r="L368" s="54">
        <v>30100</v>
      </c>
      <c r="M368" s="54">
        <v>2840</v>
      </c>
    </row>
    <row r="369" spans="1:13" x14ac:dyDescent="0.2">
      <c r="A369" s="52" t="s">
        <v>409</v>
      </c>
      <c r="B369" s="67" t="s">
        <v>408</v>
      </c>
      <c r="C369" s="52" t="s">
        <v>60</v>
      </c>
      <c r="D369" s="53" t="s">
        <v>22</v>
      </c>
      <c r="E369" s="53" t="s">
        <v>23</v>
      </c>
      <c r="F369" s="54">
        <v>1</v>
      </c>
      <c r="G369" s="54">
        <v>12</v>
      </c>
      <c r="H369" s="54">
        <v>0</v>
      </c>
      <c r="I369" s="54">
        <v>13</v>
      </c>
      <c r="J369" s="54">
        <v>33250</v>
      </c>
      <c r="K369" s="54">
        <v>45091</v>
      </c>
      <c r="L369" s="54">
        <v>78341</v>
      </c>
      <c r="M369" s="54">
        <v>24323</v>
      </c>
    </row>
    <row r="370" spans="1:13" x14ac:dyDescent="0.2">
      <c r="A370" s="52" t="s">
        <v>417</v>
      </c>
      <c r="B370" s="67" t="s">
        <v>416</v>
      </c>
      <c r="C370" s="52" t="s">
        <v>60</v>
      </c>
      <c r="D370" s="53" t="s">
        <v>27</v>
      </c>
      <c r="E370" s="53" t="s">
        <v>28</v>
      </c>
      <c r="F370" s="54">
        <v>1</v>
      </c>
      <c r="G370" s="54">
        <v>4</v>
      </c>
      <c r="H370" s="54">
        <v>0</v>
      </c>
      <c r="I370" s="54">
        <v>5</v>
      </c>
      <c r="J370" s="54">
        <v>98000</v>
      </c>
      <c r="K370" s="54">
        <v>39800</v>
      </c>
      <c r="L370" s="54">
        <v>137800</v>
      </c>
      <c r="M370" s="54">
        <v>11491</v>
      </c>
    </row>
    <row r="371" spans="1:13" x14ac:dyDescent="0.2">
      <c r="A371" s="52" t="s">
        <v>421</v>
      </c>
      <c r="B371" s="67" t="s">
        <v>420</v>
      </c>
      <c r="C371" s="52" t="s">
        <v>60</v>
      </c>
      <c r="D371" s="53" t="s">
        <v>22</v>
      </c>
      <c r="E371" s="53" t="s">
        <v>23</v>
      </c>
      <c r="F371" s="54">
        <v>0</v>
      </c>
      <c r="G371" s="54">
        <v>18</v>
      </c>
      <c r="H371" s="54">
        <v>0</v>
      </c>
      <c r="I371" s="54">
        <v>18</v>
      </c>
      <c r="J371" s="54">
        <v>0</v>
      </c>
      <c r="K371" s="54">
        <v>292343</v>
      </c>
      <c r="L371" s="54">
        <v>292343</v>
      </c>
      <c r="M371" s="54">
        <v>46574</v>
      </c>
    </row>
    <row r="372" spans="1:13" x14ac:dyDescent="0.2">
      <c r="A372" s="52" t="s">
        <v>431</v>
      </c>
      <c r="B372" s="67" t="s">
        <v>430</v>
      </c>
      <c r="C372" s="52" t="s">
        <v>60</v>
      </c>
      <c r="D372" s="53" t="s">
        <v>22</v>
      </c>
      <c r="E372" s="53" t="s">
        <v>23</v>
      </c>
      <c r="F372" s="54">
        <v>1</v>
      </c>
      <c r="G372" s="54">
        <v>6</v>
      </c>
      <c r="H372" s="54">
        <v>0</v>
      </c>
      <c r="I372" s="54">
        <v>7</v>
      </c>
      <c r="J372" s="54">
        <v>8100</v>
      </c>
      <c r="K372" s="54">
        <v>7615</v>
      </c>
      <c r="L372" s="54">
        <v>15715</v>
      </c>
      <c r="M372" s="54">
        <v>9810</v>
      </c>
    </row>
    <row r="373" spans="1:13" x14ac:dyDescent="0.2">
      <c r="A373" s="52" t="s">
        <v>459</v>
      </c>
      <c r="B373" s="67" t="s">
        <v>458</v>
      </c>
      <c r="C373" s="52" t="s">
        <v>60</v>
      </c>
      <c r="D373" s="53" t="s">
        <v>22</v>
      </c>
      <c r="E373" s="53" t="s">
        <v>23</v>
      </c>
      <c r="F373" s="54">
        <v>1</v>
      </c>
      <c r="G373" s="54">
        <v>3</v>
      </c>
      <c r="H373" s="54">
        <v>0</v>
      </c>
      <c r="I373" s="54">
        <v>4</v>
      </c>
      <c r="J373" s="54">
        <v>64500</v>
      </c>
      <c r="K373" s="54">
        <v>21115</v>
      </c>
      <c r="L373" s="54">
        <v>85615</v>
      </c>
      <c r="M373" s="54">
        <v>6403</v>
      </c>
    </row>
    <row r="374" spans="1:13" x14ac:dyDescent="0.2">
      <c r="A374" s="52" t="s">
        <v>526</v>
      </c>
      <c r="B374" s="67" t="s">
        <v>525</v>
      </c>
      <c r="C374" s="52" t="s">
        <v>60</v>
      </c>
      <c r="D374" s="53" t="s">
        <v>22</v>
      </c>
      <c r="E374" s="53" t="s">
        <v>23</v>
      </c>
      <c r="F374" s="54">
        <v>1</v>
      </c>
      <c r="G374" s="54">
        <v>15</v>
      </c>
      <c r="H374" s="54">
        <v>0</v>
      </c>
      <c r="I374" s="54">
        <v>16</v>
      </c>
      <c r="J374" s="54">
        <v>33380</v>
      </c>
      <c r="K374" s="54">
        <v>119091</v>
      </c>
      <c r="L374" s="54">
        <v>152471</v>
      </c>
      <c r="M374" s="54">
        <v>34022</v>
      </c>
    </row>
    <row r="375" spans="1:13" x14ac:dyDescent="0.2">
      <c r="A375" s="52" t="s">
        <v>540</v>
      </c>
      <c r="B375" s="67" t="s">
        <v>539</v>
      </c>
      <c r="C375" s="52" t="s">
        <v>60</v>
      </c>
      <c r="D375" s="53" t="s">
        <v>22</v>
      </c>
      <c r="E375" s="53" t="s">
        <v>23</v>
      </c>
      <c r="F375" s="54">
        <v>1</v>
      </c>
      <c r="G375" s="54">
        <v>10</v>
      </c>
      <c r="H375" s="54">
        <v>0</v>
      </c>
      <c r="I375" s="54">
        <v>11</v>
      </c>
      <c r="J375" s="54">
        <v>12117</v>
      </c>
      <c r="K375" s="54">
        <v>43592</v>
      </c>
      <c r="L375" s="54">
        <v>55709</v>
      </c>
      <c r="M375" s="54">
        <v>23509</v>
      </c>
    </row>
    <row r="376" spans="1:13" x14ac:dyDescent="0.2">
      <c r="A376" s="52" t="s">
        <v>560</v>
      </c>
      <c r="B376" s="67" t="s">
        <v>559</v>
      </c>
      <c r="C376" s="52" t="s">
        <v>60</v>
      </c>
      <c r="D376" s="53" t="s">
        <v>27</v>
      </c>
      <c r="E376" s="53" t="s">
        <v>28</v>
      </c>
      <c r="F376" s="54">
        <v>1</v>
      </c>
      <c r="G376" s="54">
        <v>0</v>
      </c>
      <c r="H376" s="54">
        <v>0</v>
      </c>
      <c r="I376" s="54">
        <v>1</v>
      </c>
      <c r="J376" s="54">
        <v>59314</v>
      </c>
      <c r="K376" s="54">
        <v>0</v>
      </c>
      <c r="L376" s="54">
        <v>59314</v>
      </c>
      <c r="M376" s="54">
        <v>3285</v>
      </c>
    </row>
    <row r="377" spans="1:13" x14ac:dyDescent="0.2">
      <c r="A377" s="52" t="s">
        <v>610</v>
      </c>
      <c r="B377" s="67" t="s">
        <v>609</v>
      </c>
      <c r="C377" s="52" t="s">
        <v>60</v>
      </c>
      <c r="D377" s="53" t="s">
        <v>27</v>
      </c>
      <c r="E377" s="53" t="s">
        <v>28</v>
      </c>
      <c r="F377" s="54">
        <v>1</v>
      </c>
      <c r="G377" s="54">
        <v>0</v>
      </c>
      <c r="H377" s="54">
        <v>0</v>
      </c>
      <c r="I377" s="54">
        <v>1</v>
      </c>
      <c r="J377" s="54">
        <v>20250</v>
      </c>
      <c r="K377" s="54">
        <v>0</v>
      </c>
      <c r="L377" s="54">
        <v>20250</v>
      </c>
      <c r="M377" s="54">
        <v>2700</v>
      </c>
    </row>
    <row r="378" spans="1:13" x14ac:dyDescent="0.2">
      <c r="A378" s="52" t="s">
        <v>614</v>
      </c>
      <c r="B378" s="67" t="s">
        <v>613</v>
      </c>
      <c r="C378" s="52" t="s">
        <v>60</v>
      </c>
      <c r="D378" s="53" t="s">
        <v>22</v>
      </c>
      <c r="E378" s="53" t="s">
        <v>23</v>
      </c>
      <c r="F378" s="54">
        <v>1</v>
      </c>
      <c r="G378" s="54">
        <v>0</v>
      </c>
      <c r="H378" s="54">
        <v>0</v>
      </c>
      <c r="I378" s="54">
        <v>1</v>
      </c>
      <c r="J378" s="54">
        <v>49000</v>
      </c>
      <c r="K378" s="54">
        <v>0</v>
      </c>
      <c r="L378" s="54">
        <v>49000</v>
      </c>
      <c r="M378" s="54">
        <v>3415</v>
      </c>
    </row>
    <row r="379" spans="1:13" x14ac:dyDescent="0.2">
      <c r="A379" s="52" t="s">
        <v>624</v>
      </c>
      <c r="B379" s="67" t="s">
        <v>623</v>
      </c>
      <c r="C379" s="52" t="s">
        <v>60</v>
      </c>
      <c r="D379" s="53" t="s">
        <v>27</v>
      </c>
      <c r="E379" s="53" t="s">
        <v>28</v>
      </c>
      <c r="F379" s="54">
        <v>1</v>
      </c>
      <c r="G379" s="54">
        <v>3</v>
      </c>
      <c r="H379" s="54">
        <v>0</v>
      </c>
      <c r="I379" s="54">
        <v>4</v>
      </c>
      <c r="J379" s="54">
        <v>32553</v>
      </c>
      <c r="K379" s="54">
        <v>42922</v>
      </c>
      <c r="L379" s="54">
        <v>75475</v>
      </c>
      <c r="M379" s="54">
        <v>9600</v>
      </c>
    </row>
    <row r="380" spans="1:13" x14ac:dyDescent="0.2">
      <c r="A380" s="52" t="s">
        <v>660</v>
      </c>
      <c r="B380" s="67" t="s">
        <v>659</v>
      </c>
      <c r="C380" s="52" t="s">
        <v>60</v>
      </c>
      <c r="D380" s="53" t="s">
        <v>22</v>
      </c>
      <c r="E380" s="53" t="s">
        <v>23</v>
      </c>
      <c r="F380" s="54">
        <v>1</v>
      </c>
      <c r="G380" s="54">
        <v>0</v>
      </c>
      <c r="H380" s="54">
        <v>2</v>
      </c>
      <c r="I380" s="54">
        <v>3</v>
      </c>
      <c r="J380" s="54">
        <v>76600</v>
      </c>
      <c r="K380" s="54">
        <v>310</v>
      </c>
      <c r="L380" s="54">
        <v>76910</v>
      </c>
      <c r="M380" s="54">
        <v>5876</v>
      </c>
    </row>
    <row r="381" spans="1:13" x14ac:dyDescent="0.2">
      <c r="A381" s="52" t="s">
        <v>670</v>
      </c>
      <c r="B381" s="67" t="s">
        <v>669</v>
      </c>
      <c r="C381" s="52" t="s">
        <v>60</v>
      </c>
      <c r="D381" s="53" t="s">
        <v>27</v>
      </c>
      <c r="E381" s="53" t="s">
        <v>28</v>
      </c>
      <c r="F381" s="54">
        <v>1</v>
      </c>
      <c r="G381" s="54">
        <v>0</v>
      </c>
      <c r="H381" s="54">
        <v>0</v>
      </c>
      <c r="I381" s="54">
        <v>1</v>
      </c>
      <c r="J381" s="54">
        <v>42000</v>
      </c>
      <c r="K381" s="54">
        <v>0</v>
      </c>
      <c r="L381" s="54">
        <v>42000</v>
      </c>
      <c r="M381" s="54">
        <v>3044</v>
      </c>
    </row>
    <row r="382" spans="1:13" x14ac:dyDescent="0.2">
      <c r="A382" s="52" t="s">
        <v>678</v>
      </c>
      <c r="B382" s="67" t="s">
        <v>677</v>
      </c>
      <c r="C382" s="52" t="s">
        <v>60</v>
      </c>
      <c r="D382" s="53" t="s">
        <v>22</v>
      </c>
      <c r="E382" s="53" t="s">
        <v>23</v>
      </c>
      <c r="F382" s="54">
        <v>1</v>
      </c>
      <c r="G382" s="54">
        <v>10</v>
      </c>
      <c r="H382" s="54">
        <v>0</v>
      </c>
      <c r="I382" s="54">
        <v>11</v>
      </c>
      <c r="J382" s="54">
        <v>29765</v>
      </c>
      <c r="K382" s="54">
        <v>44790</v>
      </c>
      <c r="L382" s="54">
        <v>74555</v>
      </c>
      <c r="M382" s="54">
        <v>29668</v>
      </c>
    </row>
    <row r="383" spans="1:13" x14ac:dyDescent="0.2">
      <c r="A383" s="52" t="s">
        <v>680</v>
      </c>
      <c r="B383" s="67" t="s">
        <v>679</v>
      </c>
      <c r="C383" s="52" t="s">
        <v>60</v>
      </c>
      <c r="D383" s="53" t="s">
        <v>27</v>
      </c>
      <c r="E383" s="53" t="s">
        <v>28</v>
      </c>
      <c r="F383" s="54">
        <v>1</v>
      </c>
      <c r="G383" s="54">
        <v>0</v>
      </c>
      <c r="H383" s="54">
        <v>0</v>
      </c>
      <c r="I383" s="54">
        <v>1</v>
      </c>
      <c r="J383" s="54">
        <v>30000</v>
      </c>
      <c r="K383" s="54">
        <v>0</v>
      </c>
      <c r="L383" s="54">
        <v>30000</v>
      </c>
      <c r="M383" s="54">
        <v>3048</v>
      </c>
    </row>
    <row r="384" spans="1:13" x14ac:dyDescent="0.2">
      <c r="A384" s="52" t="s">
        <v>708</v>
      </c>
      <c r="B384" s="67" t="s">
        <v>707</v>
      </c>
      <c r="C384" s="52" t="s">
        <v>60</v>
      </c>
      <c r="D384" s="53" t="s">
        <v>22</v>
      </c>
      <c r="E384" s="53" t="s">
        <v>23</v>
      </c>
      <c r="F384" s="54">
        <v>1</v>
      </c>
      <c r="G384" s="54">
        <v>0</v>
      </c>
      <c r="H384" s="54">
        <v>0</v>
      </c>
      <c r="I384" s="54">
        <v>1</v>
      </c>
      <c r="J384" s="54">
        <v>12400</v>
      </c>
      <c r="K384" s="54">
        <v>0</v>
      </c>
      <c r="L384" s="54">
        <v>12400</v>
      </c>
      <c r="M384" s="54">
        <v>2937</v>
      </c>
    </row>
    <row r="385" spans="1:13" x14ac:dyDescent="0.2">
      <c r="A385" s="52" t="s">
        <v>720</v>
      </c>
      <c r="B385" s="67" t="s">
        <v>719</v>
      </c>
      <c r="C385" s="52" t="s">
        <v>60</v>
      </c>
      <c r="D385" s="53" t="s">
        <v>27</v>
      </c>
      <c r="E385" s="53" t="s">
        <v>28</v>
      </c>
      <c r="F385" s="54">
        <v>1</v>
      </c>
      <c r="G385" s="54">
        <v>0</v>
      </c>
      <c r="H385" s="54">
        <v>0</v>
      </c>
      <c r="I385" s="54">
        <v>1</v>
      </c>
      <c r="J385" s="54">
        <v>124000</v>
      </c>
      <c r="K385" s="54">
        <v>0</v>
      </c>
      <c r="L385" s="54">
        <v>124000</v>
      </c>
      <c r="M385" s="54">
        <v>2496</v>
      </c>
    </row>
    <row r="386" spans="1:13" x14ac:dyDescent="0.2">
      <c r="A386" s="52" t="s">
        <v>734</v>
      </c>
      <c r="B386" s="67" t="s">
        <v>733</v>
      </c>
      <c r="C386" s="52" t="s">
        <v>60</v>
      </c>
      <c r="D386" s="53" t="s">
        <v>27</v>
      </c>
      <c r="E386" s="53" t="s">
        <v>28</v>
      </c>
      <c r="F386" s="54">
        <v>1</v>
      </c>
      <c r="G386" s="54">
        <v>0</v>
      </c>
      <c r="H386" s="54">
        <v>0</v>
      </c>
      <c r="I386" s="54">
        <v>1</v>
      </c>
      <c r="J386" s="54">
        <v>42556</v>
      </c>
      <c r="K386" s="54">
        <v>0</v>
      </c>
      <c r="L386" s="54">
        <v>42556</v>
      </c>
      <c r="M386" s="54">
        <v>2969</v>
      </c>
    </row>
    <row r="387" spans="1:13" x14ac:dyDescent="0.2">
      <c r="A387" s="52" t="s">
        <v>751</v>
      </c>
      <c r="B387" s="67" t="s">
        <v>750</v>
      </c>
      <c r="C387" s="52" t="s">
        <v>60</v>
      </c>
      <c r="D387" s="53" t="s">
        <v>27</v>
      </c>
      <c r="E387" s="53" t="s">
        <v>28</v>
      </c>
      <c r="F387" s="54">
        <v>1</v>
      </c>
      <c r="G387" s="54">
        <v>0</v>
      </c>
      <c r="H387" s="54">
        <v>0</v>
      </c>
      <c r="I387" s="54">
        <v>1</v>
      </c>
      <c r="J387" s="54">
        <v>24950</v>
      </c>
      <c r="K387" s="54">
        <v>0</v>
      </c>
      <c r="L387" s="54">
        <v>24950</v>
      </c>
      <c r="M387" s="54">
        <v>2847</v>
      </c>
    </row>
    <row r="388" spans="1:13" x14ac:dyDescent="0.2">
      <c r="A388" s="52" t="s">
        <v>777</v>
      </c>
      <c r="B388" s="67" t="s">
        <v>776</v>
      </c>
      <c r="C388" s="52" t="s">
        <v>60</v>
      </c>
      <c r="D388" s="53" t="s">
        <v>22</v>
      </c>
      <c r="E388" s="53" t="s">
        <v>23</v>
      </c>
      <c r="F388" s="54">
        <v>1</v>
      </c>
      <c r="G388" s="54">
        <v>2</v>
      </c>
      <c r="H388" s="54">
        <v>0</v>
      </c>
      <c r="I388" s="54">
        <v>3</v>
      </c>
      <c r="J388" s="54">
        <v>58000</v>
      </c>
      <c r="K388" s="54">
        <v>7300</v>
      </c>
      <c r="L388" s="54">
        <v>65300</v>
      </c>
      <c r="M388" s="54">
        <v>8135</v>
      </c>
    </row>
    <row r="389" spans="1:13" x14ac:dyDescent="0.2">
      <c r="A389" s="52" t="s">
        <v>779</v>
      </c>
      <c r="B389" s="67" t="s">
        <v>778</v>
      </c>
      <c r="C389" s="52" t="s">
        <v>60</v>
      </c>
      <c r="D389" s="53" t="s">
        <v>27</v>
      </c>
      <c r="E389" s="53" t="s">
        <v>28</v>
      </c>
      <c r="F389" s="54">
        <v>1</v>
      </c>
      <c r="G389" s="54">
        <v>0</v>
      </c>
      <c r="H389" s="54">
        <v>0</v>
      </c>
      <c r="I389" s="54">
        <v>1</v>
      </c>
      <c r="J389" s="54">
        <v>21500</v>
      </c>
      <c r="K389" s="54">
        <v>0</v>
      </c>
      <c r="L389" s="54">
        <v>21500</v>
      </c>
      <c r="M389" s="54">
        <v>3182</v>
      </c>
    </row>
    <row r="390" spans="1:13" x14ac:dyDescent="0.2">
      <c r="A390" s="52" t="s">
        <v>781</v>
      </c>
      <c r="B390" s="67" t="s">
        <v>780</v>
      </c>
      <c r="C390" s="52" t="s">
        <v>60</v>
      </c>
      <c r="D390" s="53" t="s">
        <v>27</v>
      </c>
      <c r="E390" s="53" t="s">
        <v>28</v>
      </c>
      <c r="F390" s="54">
        <v>1</v>
      </c>
      <c r="G390" s="54">
        <v>0</v>
      </c>
      <c r="H390" s="54">
        <v>0</v>
      </c>
      <c r="I390" s="54">
        <v>1</v>
      </c>
      <c r="J390" s="54">
        <v>50000</v>
      </c>
      <c r="K390" s="54">
        <v>0</v>
      </c>
      <c r="L390" s="54">
        <v>50000</v>
      </c>
      <c r="M390" s="54">
        <v>2860</v>
      </c>
    </row>
    <row r="391" spans="1:13" x14ac:dyDescent="0.2">
      <c r="A391" s="52" t="s">
        <v>805</v>
      </c>
      <c r="B391" s="67" t="s">
        <v>804</v>
      </c>
      <c r="C391" s="52" t="s">
        <v>60</v>
      </c>
      <c r="D391" s="53" t="s">
        <v>27</v>
      </c>
      <c r="E391" s="53" t="s">
        <v>28</v>
      </c>
      <c r="F391" s="54">
        <v>1</v>
      </c>
      <c r="G391" s="54">
        <v>3</v>
      </c>
      <c r="H391" s="54">
        <v>0</v>
      </c>
      <c r="I391" s="54">
        <v>4</v>
      </c>
      <c r="J391" s="54">
        <v>35000</v>
      </c>
      <c r="K391" s="54">
        <v>29709</v>
      </c>
      <c r="L391" s="54">
        <v>64709</v>
      </c>
      <c r="M391" s="54">
        <v>9799</v>
      </c>
    </row>
    <row r="392" spans="1:13" x14ac:dyDescent="0.2">
      <c r="A392" s="52" t="s">
        <v>807</v>
      </c>
      <c r="B392" s="67" t="s">
        <v>806</v>
      </c>
      <c r="C392" s="52" t="s">
        <v>60</v>
      </c>
      <c r="D392" s="53" t="s">
        <v>22</v>
      </c>
      <c r="E392" s="53" t="s">
        <v>23</v>
      </c>
      <c r="F392" s="54">
        <v>1</v>
      </c>
      <c r="G392" s="54">
        <v>0</v>
      </c>
      <c r="H392" s="54">
        <v>0</v>
      </c>
      <c r="I392" s="54">
        <v>1</v>
      </c>
      <c r="J392" s="54">
        <v>27300</v>
      </c>
      <c r="K392" s="54">
        <v>0</v>
      </c>
      <c r="L392" s="54">
        <v>27300</v>
      </c>
      <c r="M392" s="54">
        <v>2898</v>
      </c>
    </row>
    <row r="393" spans="1:13" x14ac:dyDescent="0.2">
      <c r="A393" s="52" t="s">
        <v>815</v>
      </c>
      <c r="B393" s="67" t="s">
        <v>814</v>
      </c>
      <c r="C393" s="52" t="s">
        <v>60</v>
      </c>
      <c r="D393" s="53" t="s">
        <v>67</v>
      </c>
      <c r="E393" s="53" t="s">
        <v>68</v>
      </c>
      <c r="F393" s="54">
        <v>1</v>
      </c>
      <c r="G393" s="54">
        <v>1</v>
      </c>
      <c r="H393" s="54">
        <v>0</v>
      </c>
      <c r="I393" s="54">
        <v>2</v>
      </c>
      <c r="J393" s="54">
        <v>64000</v>
      </c>
      <c r="K393" s="54">
        <v>12000</v>
      </c>
      <c r="L393" s="54">
        <v>76000</v>
      </c>
      <c r="M393" s="54">
        <v>7393</v>
      </c>
    </row>
    <row r="394" spans="1:13" x14ac:dyDescent="0.2">
      <c r="A394" s="52" t="s">
        <v>835</v>
      </c>
      <c r="B394" s="67" t="s">
        <v>834</v>
      </c>
      <c r="C394" s="52" t="s">
        <v>60</v>
      </c>
      <c r="D394" s="53" t="s">
        <v>27</v>
      </c>
      <c r="E394" s="53" t="s">
        <v>28</v>
      </c>
      <c r="F394" s="54">
        <v>1</v>
      </c>
      <c r="G394" s="54">
        <v>1</v>
      </c>
      <c r="H394" s="54">
        <v>0</v>
      </c>
      <c r="I394" s="54">
        <v>2</v>
      </c>
      <c r="J394" s="54">
        <v>55000</v>
      </c>
      <c r="K394" s="54">
        <v>12000</v>
      </c>
      <c r="L394" s="54">
        <v>67000</v>
      </c>
      <c r="M394" s="54">
        <v>6311</v>
      </c>
    </row>
    <row r="395" spans="1:13" x14ac:dyDescent="0.2">
      <c r="A395" s="52" t="s">
        <v>837</v>
      </c>
      <c r="B395" s="67" t="s">
        <v>836</v>
      </c>
      <c r="C395" s="52" t="s">
        <v>60</v>
      </c>
      <c r="D395" s="53" t="s">
        <v>27</v>
      </c>
      <c r="E395" s="53" t="s">
        <v>28</v>
      </c>
      <c r="F395" s="54">
        <v>1</v>
      </c>
      <c r="G395" s="54">
        <v>0</v>
      </c>
      <c r="H395" s="54">
        <v>0</v>
      </c>
      <c r="I395" s="54">
        <v>1</v>
      </c>
      <c r="J395" s="54">
        <v>33450</v>
      </c>
      <c r="K395" s="56">
        <v>0</v>
      </c>
      <c r="L395" s="54">
        <v>33450</v>
      </c>
      <c r="M395" s="54">
        <v>3458</v>
      </c>
    </row>
    <row r="396" spans="1:13" ht="13.5" thickBot="1" x14ac:dyDescent="0.25">
      <c r="A396" s="52" t="s">
        <v>843</v>
      </c>
      <c r="B396" s="68" t="s">
        <v>842</v>
      </c>
      <c r="C396" s="52" t="s">
        <v>60</v>
      </c>
      <c r="D396" s="53" t="s">
        <v>52</v>
      </c>
      <c r="E396" s="53" t="s">
        <v>53</v>
      </c>
      <c r="F396" s="54">
        <v>1</v>
      </c>
      <c r="G396" s="54">
        <v>2</v>
      </c>
      <c r="H396" s="54">
        <v>1</v>
      </c>
      <c r="I396" s="54">
        <v>4</v>
      </c>
      <c r="J396" s="54">
        <v>60000</v>
      </c>
      <c r="K396" s="54">
        <v>12100</v>
      </c>
      <c r="L396" s="54">
        <v>72100</v>
      </c>
      <c r="M396" s="54">
        <v>9256</v>
      </c>
    </row>
    <row r="397" spans="1:13" ht="18.75" thickBot="1" x14ac:dyDescent="0.3">
      <c r="A397" s="61"/>
      <c r="B397" s="62" t="s">
        <v>2623</v>
      </c>
      <c r="C397" s="63">
        <f>SUBTOTAL(103,Table1[Library Class])</f>
        <v>393</v>
      </c>
      <c r="D397" s="60"/>
      <c r="E397" s="89" t="s">
        <v>2622</v>
      </c>
      <c r="F397" s="85">
        <f>SUBTOTAL(109,Table1[Number of Central Libraries])</f>
        <v>390</v>
      </c>
      <c r="G397" s="85">
        <f>SUBTOTAL(109,Table1[Number of Branch Libraries])</f>
        <v>250</v>
      </c>
      <c r="H397" s="85">
        <f>SUBTOTAL(109,Table1[Number of Bookmobiles])</f>
        <v>8</v>
      </c>
      <c r="I397" s="85">
        <f>SUBTOTAL(109,Table1[Total Number of Outlets])</f>
        <v>648</v>
      </c>
      <c r="J397" s="86">
        <f>SUBTOTAL(109,Table1[Central Library(ies) Square Feet])</f>
        <v>6354352</v>
      </c>
      <c r="K397" s="86">
        <f>SUBTOTAL(109,Table1[Branch(es) Square Feet])</f>
        <v>1594124</v>
      </c>
      <c r="L397" s="86">
        <f>SUBTOTAL(109,Table1[Total Square Feet])</f>
        <v>7948476</v>
      </c>
      <c r="M397" s="87">
        <f>SUBTOTAL(109,Table1[Total Annual Public Service Hours])</f>
        <v>1445765</v>
      </c>
    </row>
    <row r="398" spans="1:13" ht="19.5" thickTop="1" thickBot="1" x14ac:dyDescent="0.3">
      <c r="A398" s="59"/>
      <c r="E398" s="90" t="s">
        <v>2621</v>
      </c>
      <c r="F398" s="88"/>
      <c r="G398" s="88"/>
      <c r="H398" s="88"/>
      <c r="I398" s="88"/>
      <c r="J398" s="86">
        <f>SUBTOTAL(101,Table1[Central Library(ies) Square Feet])</f>
        <v>16168.834605597964</v>
      </c>
      <c r="K398" s="86"/>
      <c r="L398" s="86">
        <f>SUBTOTAL(101,Table1[Total Square Feet])</f>
        <v>20225.129770992367</v>
      </c>
      <c r="M398" s="87">
        <f>SUBTOTAL(101,Table1[Total Annual Public Service Hours])</f>
        <v>3678.7913486005091</v>
      </c>
    </row>
  </sheetData>
  <sortState xmlns:xlrd2="http://schemas.microsoft.com/office/spreadsheetml/2017/richdata2" ref="A4:M396">
    <sortCondition ref="C4:C396"/>
    <sortCondition ref="B4:B396"/>
  </sortState>
  <phoneticPr fontId="34" type="noConversion"/>
  <hyperlinks>
    <hyperlink ref="G1" location="'Table of Contents'!A1" display="Return to Table of Contents" xr:uid="{99387E1E-D8FB-40BE-ACB0-932A01D926C6}"/>
  </hyperlinks>
  <printOptions horizontalCentered="1" verticalCentered="1"/>
  <pageMargins left="0.75" right="0.75" top="1" bottom="1" header="0.5" footer="0.5"/>
  <pageSetup orientation="landscape" horizontalDpi="0" verticalDpi="0"/>
  <headerFooter>
    <oddHeader xml:space="preserve">LM_Statistics Outlets, Hours, and SqFt </oddHeader>
    <oddFooter>Counting Opinions (SQUIRE) Ltd.</oddFooter>
  </headerFooter>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568D2"/>
  </sheetPr>
  <dimension ref="A1:P402"/>
  <sheetViews>
    <sheetView zoomScaleNormal="100" workbookViewId="0">
      <pane ySplit="3" topLeftCell="A4" activePane="bottomLeft" state="frozen"/>
      <selection activeCell="N42" sqref="N42"/>
      <selection pane="bottomLeft" activeCell="G1" sqref="G1"/>
    </sheetView>
  </sheetViews>
  <sheetFormatPr defaultRowHeight="12.75" x14ac:dyDescent="0.2"/>
  <cols>
    <col min="2" max="2" width="46.5703125" bestFit="1" customWidth="1"/>
    <col min="3" max="3" width="26.7109375" bestFit="1" customWidth="1"/>
    <col min="4" max="16" width="20.7109375" customWidth="1"/>
  </cols>
  <sheetData>
    <row r="1" spans="1:16" ht="18.75" x14ac:dyDescent="0.3">
      <c r="B1" s="312" t="s">
        <v>3576</v>
      </c>
      <c r="D1" s="310" t="s">
        <v>2609</v>
      </c>
      <c r="G1" s="8" t="s">
        <v>1844</v>
      </c>
      <c r="J1" s="311"/>
    </row>
    <row r="3" spans="1:16" s="5" customFormat="1" ht="81" customHeight="1" thickBot="1" x14ac:dyDescent="0.25">
      <c r="A3" s="50" t="s">
        <v>1</v>
      </c>
      <c r="B3" s="73" t="s">
        <v>0</v>
      </c>
      <c r="C3" s="50" t="s">
        <v>4</v>
      </c>
      <c r="D3" s="50" t="s">
        <v>844</v>
      </c>
      <c r="E3" s="50" t="s">
        <v>845</v>
      </c>
      <c r="F3" s="50" t="s">
        <v>846</v>
      </c>
      <c r="G3" s="50" t="s">
        <v>847</v>
      </c>
      <c r="H3" s="50" t="s">
        <v>848</v>
      </c>
      <c r="I3" s="50" t="s">
        <v>849</v>
      </c>
      <c r="J3" s="50" t="s">
        <v>850</v>
      </c>
      <c r="K3" s="50" t="s">
        <v>851</v>
      </c>
      <c r="L3" s="50" t="s">
        <v>852</v>
      </c>
      <c r="M3" s="50" t="s">
        <v>853</v>
      </c>
      <c r="N3" s="74" t="s">
        <v>874</v>
      </c>
      <c r="O3" s="75" t="s">
        <v>875</v>
      </c>
      <c r="P3" s="74" t="s">
        <v>876</v>
      </c>
    </row>
    <row r="4" spans="1:16" ht="13.5" thickBot="1" x14ac:dyDescent="0.25">
      <c r="A4" s="2" t="s">
        <v>21</v>
      </c>
      <c r="B4" s="72" t="s">
        <v>39</v>
      </c>
      <c r="C4" s="2" t="s">
        <v>19</v>
      </c>
      <c r="D4" s="4">
        <v>1285</v>
      </c>
      <c r="E4" s="4">
        <v>13005</v>
      </c>
      <c r="F4" s="4">
        <v>966</v>
      </c>
      <c r="G4" s="4">
        <v>1560</v>
      </c>
      <c r="H4" s="4">
        <v>41</v>
      </c>
      <c r="I4" s="4">
        <v>3</v>
      </c>
      <c r="J4" s="4">
        <v>15754</v>
      </c>
      <c r="K4" s="4">
        <v>38672</v>
      </c>
      <c r="L4" s="4">
        <v>199</v>
      </c>
      <c r="M4" s="4">
        <f t="shared" ref="M4:M67" si="0">SUM(E4:L4)</f>
        <v>70200</v>
      </c>
      <c r="N4" s="71">
        <f t="shared" ref="N4:N67" si="1">(J4+K4+L4+I4)/D4</f>
        <v>42.512062256809337</v>
      </c>
      <c r="O4" s="71">
        <f t="shared" ref="O4:O67" si="2">(E4+F4+G4)/D4</f>
        <v>12.086381322957198</v>
      </c>
      <c r="P4" s="71">
        <f t="shared" ref="P4:P67" si="3">M4/D4</f>
        <v>54.630350194552527</v>
      </c>
    </row>
    <row r="5" spans="1:16" ht="13.5" thickBot="1" x14ac:dyDescent="0.25">
      <c r="A5" s="2" t="s">
        <v>26</v>
      </c>
      <c r="B5" s="72" t="s">
        <v>63</v>
      </c>
      <c r="C5" s="2" t="s">
        <v>19</v>
      </c>
      <c r="D5" s="4">
        <v>3248</v>
      </c>
      <c r="E5" s="4">
        <v>10187</v>
      </c>
      <c r="F5" s="4">
        <v>44</v>
      </c>
      <c r="G5" s="4">
        <v>425</v>
      </c>
      <c r="H5" s="4">
        <v>19</v>
      </c>
      <c r="I5" s="4">
        <v>2</v>
      </c>
      <c r="J5" s="4">
        <v>13523</v>
      </c>
      <c r="K5" s="4">
        <v>3236</v>
      </c>
      <c r="L5" s="4">
        <v>0</v>
      </c>
      <c r="M5" s="4">
        <f t="shared" si="0"/>
        <v>27436</v>
      </c>
      <c r="N5" s="71">
        <f t="shared" si="1"/>
        <v>5.160406403940887</v>
      </c>
      <c r="O5" s="71">
        <f t="shared" si="2"/>
        <v>3.2807881773399017</v>
      </c>
      <c r="P5" s="71">
        <f t="shared" si="3"/>
        <v>8.4470443349753701</v>
      </c>
    </row>
    <row r="6" spans="1:16" ht="13.5" thickBot="1" x14ac:dyDescent="0.25">
      <c r="A6" s="2" t="s">
        <v>31</v>
      </c>
      <c r="B6" s="72" t="s">
        <v>87</v>
      </c>
      <c r="C6" s="2" t="s">
        <v>19</v>
      </c>
      <c r="D6" s="4">
        <v>657</v>
      </c>
      <c r="E6" s="4">
        <v>14897</v>
      </c>
      <c r="F6" s="4">
        <v>499</v>
      </c>
      <c r="G6" s="4">
        <v>1822</v>
      </c>
      <c r="H6" s="4">
        <v>14</v>
      </c>
      <c r="I6" s="4">
        <v>0</v>
      </c>
      <c r="J6" s="4">
        <v>21568</v>
      </c>
      <c r="K6" s="4">
        <v>3201</v>
      </c>
      <c r="L6" s="4">
        <v>105</v>
      </c>
      <c r="M6" s="4">
        <f t="shared" si="0"/>
        <v>42106</v>
      </c>
      <c r="N6" s="71">
        <f t="shared" si="1"/>
        <v>37.859969558599694</v>
      </c>
      <c r="O6" s="71">
        <f t="shared" si="2"/>
        <v>26.207001522070016</v>
      </c>
      <c r="P6" s="71">
        <f t="shared" si="3"/>
        <v>64.088280060882795</v>
      </c>
    </row>
    <row r="7" spans="1:16" ht="13.5" thickBot="1" x14ac:dyDescent="0.25">
      <c r="A7" s="2" t="s">
        <v>34</v>
      </c>
      <c r="B7" s="72" t="s">
        <v>89</v>
      </c>
      <c r="C7" s="2" t="s">
        <v>19</v>
      </c>
      <c r="D7" s="4">
        <v>3769</v>
      </c>
      <c r="E7" s="4">
        <v>18581</v>
      </c>
      <c r="F7" s="4">
        <v>1294</v>
      </c>
      <c r="G7" s="4">
        <v>1318</v>
      </c>
      <c r="H7" s="4">
        <v>50</v>
      </c>
      <c r="I7" s="4">
        <v>0</v>
      </c>
      <c r="J7" s="4">
        <v>21000</v>
      </c>
      <c r="K7" s="4">
        <v>7000</v>
      </c>
      <c r="L7" s="4">
        <v>0</v>
      </c>
      <c r="M7" s="4">
        <f t="shared" si="0"/>
        <v>49243</v>
      </c>
      <c r="N7" s="71">
        <f t="shared" si="1"/>
        <v>7.4290262669143008</v>
      </c>
      <c r="O7" s="71">
        <f t="shared" si="2"/>
        <v>5.6229769169540988</v>
      </c>
      <c r="P7" s="71">
        <f t="shared" si="3"/>
        <v>13.065269302202175</v>
      </c>
    </row>
    <row r="8" spans="1:16" ht="13.5" thickBot="1" x14ac:dyDescent="0.25">
      <c r="A8" s="2" t="s">
        <v>36</v>
      </c>
      <c r="B8" s="72" t="s">
        <v>93</v>
      </c>
      <c r="C8" s="2" t="s">
        <v>19</v>
      </c>
      <c r="D8" s="4">
        <v>3150</v>
      </c>
      <c r="E8" s="4">
        <v>15376</v>
      </c>
      <c r="F8" s="4">
        <v>252</v>
      </c>
      <c r="G8" s="4">
        <v>76</v>
      </c>
      <c r="H8" s="4">
        <v>1</v>
      </c>
      <c r="I8" s="4">
        <v>0</v>
      </c>
      <c r="J8" s="4">
        <v>14002</v>
      </c>
      <c r="K8" s="4">
        <v>3103</v>
      </c>
      <c r="L8" s="4">
        <v>0</v>
      </c>
      <c r="M8" s="4">
        <f t="shared" si="0"/>
        <v>32810</v>
      </c>
      <c r="N8" s="71">
        <f t="shared" si="1"/>
        <v>5.4301587301587304</v>
      </c>
      <c r="O8" s="71">
        <f t="shared" si="2"/>
        <v>4.9853968253968253</v>
      </c>
      <c r="P8" s="71">
        <f t="shared" si="3"/>
        <v>10.415873015873016</v>
      </c>
    </row>
    <row r="9" spans="1:16" ht="13.5" thickBot="1" x14ac:dyDescent="0.25">
      <c r="A9" s="2" t="s">
        <v>38</v>
      </c>
      <c r="B9" s="72" t="s">
        <v>97</v>
      </c>
      <c r="C9" s="2" t="s">
        <v>19</v>
      </c>
      <c r="D9" s="4">
        <v>3811</v>
      </c>
      <c r="E9" s="4">
        <v>22708</v>
      </c>
      <c r="F9" s="4">
        <v>538</v>
      </c>
      <c r="G9" s="4">
        <v>2049</v>
      </c>
      <c r="H9" s="4">
        <v>58</v>
      </c>
      <c r="I9" s="4">
        <v>1</v>
      </c>
      <c r="J9" s="4">
        <v>15721</v>
      </c>
      <c r="K9" s="4">
        <v>3381</v>
      </c>
      <c r="L9" s="4">
        <v>137</v>
      </c>
      <c r="M9" s="4">
        <f t="shared" si="0"/>
        <v>44593</v>
      </c>
      <c r="N9" s="71">
        <f t="shared" si="1"/>
        <v>5.0485436893203888</v>
      </c>
      <c r="O9" s="71">
        <f t="shared" si="2"/>
        <v>6.6373655208606666</v>
      </c>
      <c r="P9" s="71">
        <f t="shared" si="3"/>
        <v>11.701128312778799</v>
      </c>
    </row>
    <row r="10" spans="1:16" ht="13.5" thickBot="1" x14ac:dyDescent="0.25">
      <c r="A10" s="2" t="s">
        <v>40</v>
      </c>
      <c r="B10" s="72" t="s">
        <v>99</v>
      </c>
      <c r="C10" s="2" t="s">
        <v>19</v>
      </c>
      <c r="D10" s="4">
        <v>3623</v>
      </c>
      <c r="E10" s="4">
        <v>14011</v>
      </c>
      <c r="F10" s="4">
        <v>376</v>
      </c>
      <c r="G10" s="4">
        <v>1475</v>
      </c>
      <c r="H10" s="4">
        <v>11</v>
      </c>
      <c r="I10" s="4">
        <v>0</v>
      </c>
      <c r="J10" s="4">
        <v>15696</v>
      </c>
      <c r="K10" s="4">
        <v>3370</v>
      </c>
      <c r="L10" s="4">
        <v>137</v>
      </c>
      <c r="M10" s="4">
        <f t="shared" si="0"/>
        <v>35076</v>
      </c>
      <c r="N10" s="71">
        <f t="shared" si="1"/>
        <v>5.300303615788021</v>
      </c>
      <c r="O10" s="71">
        <f t="shared" si="2"/>
        <v>4.3781396632624894</v>
      </c>
      <c r="P10" s="71">
        <f t="shared" si="3"/>
        <v>9.6814794369307204</v>
      </c>
    </row>
    <row r="11" spans="1:16" ht="13.5" thickBot="1" x14ac:dyDescent="0.25">
      <c r="A11" s="2" t="s">
        <v>42</v>
      </c>
      <c r="B11" s="72" t="s">
        <v>107</v>
      </c>
      <c r="C11" s="2" t="s">
        <v>19</v>
      </c>
      <c r="D11" s="4">
        <v>2937</v>
      </c>
      <c r="E11" s="4">
        <v>6464</v>
      </c>
      <c r="F11" s="4">
        <v>293</v>
      </c>
      <c r="G11" s="4">
        <v>712</v>
      </c>
      <c r="H11" s="4">
        <v>13</v>
      </c>
      <c r="I11" s="4">
        <v>0</v>
      </c>
      <c r="J11" s="4">
        <v>22984</v>
      </c>
      <c r="K11" s="4">
        <v>11134</v>
      </c>
      <c r="L11" s="4">
        <v>137</v>
      </c>
      <c r="M11" s="4">
        <f t="shared" si="0"/>
        <v>41737</v>
      </c>
      <c r="N11" s="71">
        <f t="shared" si="1"/>
        <v>11.663261831801158</v>
      </c>
      <c r="O11" s="71">
        <f t="shared" si="2"/>
        <v>2.5430711610486894</v>
      </c>
      <c r="P11" s="71">
        <f t="shared" si="3"/>
        <v>14.210759278175008</v>
      </c>
    </row>
    <row r="12" spans="1:16" ht="13.5" thickBot="1" x14ac:dyDescent="0.25">
      <c r="A12" s="2" t="s">
        <v>44</v>
      </c>
      <c r="B12" s="72" t="s">
        <v>137</v>
      </c>
      <c r="C12" s="2" t="s">
        <v>19</v>
      </c>
      <c r="D12" s="4">
        <v>2611</v>
      </c>
      <c r="E12" s="4">
        <v>16787</v>
      </c>
      <c r="F12" s="4">
        <v>200</v>
      </c>
      <c r="G12" s="4">
        <v>370</v>
      </c>
      <c r="H12" s="4">
        <v>34</v>
      </c>
      <c r="I12" s="4">
        <v>0</v>
      </c>
      <c r="J12" s="4">
        <v>0</v>
      </c>
      <c r="K12" s="4">
        <v>0</v>
      </c>
      <c r="L12" s="4">
        <v>0</v>
      </c>
      <c r="M12" s="4">
        <f t="shared" si="0"/>
        <v>17391</v>
      </c>
      <c r="N12" s="71">
        <f t="shared" si="1"/>
        <v>0</v>
      </c>
      <c r="O12" s="71">
        <f t="shared" si="2"/>
        <v>6.6476445806204518</v>
      </c>
      <c r="P12" s="71">
        <f t="shared" si="3"/>
        <v>6.6606664113366527</v>
      </c>
    </row>
    <row r="13" spans="1:16" ht="13.5" thickBot="1" x14ac:dyDescent="0.25">
      <c r="A13" s="2" t="s">
        <v>47</v>
      </c>
      <c r="B13" s="72" t="s">
        <v>153</v>
      </c>
      <c r="C13" s="2" t="s">
        <v>19</v>
      </c>
      <c r="D13" s="4">
        <v>722</v>
      </c>
      <c r="E13" s="4">
        <v>12993</v>
      </c>
      <c r="F13" s="4">
        <v>79</v>
      </c>
      <c r="G13" s="4">
        <v>790</v>
      </c>
      <c r="H13" s="4">
        <v>10</v>
      </c>
      <c r="I13" s="4">
        <v>0</v>
      </c>
      <c r="J13" s="4">
        <v>8331</v>
      </c>
      <c r="K13" s="4">
        <v>3341</v>
      </c>
      <c r="L13" s="4">
        <v>285</v>
      </c>
      <c r="M13" s="4">
        <f t="shared" si="0"/>
        <v>25829</v>
      </c>
      <c r="N13" s="71">
        <f t="shared" si="1"/>
        <v>16.560941828254848</v>
      </c>
      <c r="O13" s="71">
        <f t="shared" si="2"/>
        <v>19.199445983379501</v>
      </c>
      <c r="P13" s="71">
        <f t="shared" si="3"/>
        <v>35.774238227146817</v>
      </c>
    </row>
    <row r="14" spans="1:16" ht="13.5" thickBot="1" x14ac:dyDescent="0.25">
      <c r="A14" s="2" t="s">
        <v>49</v>
      </c>
      <c r="B14" s="72" t="s">
        <v>163</v>
      </c>
      <c r="C14" s="2" t="s">
        <v>19</v>
      </c>
      <c r="D14" s="4">
        <v>3995</v>
      </c>
      <c r="E14" s="4">
        <v>19503</v>
      </c>
      <c r="F14" s="4">
        <v>1586</v>
      </c>
      <c r="G14" s="4">
        <v>1239</v>
      </c>
      <c r="H14" s="4">
        <v>203</v>
      </c>
      <c r="I14" s="4">
        <v>0</v>
      </c>
      <c r="J14" s="4">
        <v>21646</v>
      </c>
      <c r="K14" s="4">
        <v>2753</v>
      </c>
      <c r="L14" s="4">
        <v>134</v>
      </c>
      <c r="M14" s="4">
        <f t="shared" si="0"/>
        <v>47064</v>
      </c>
      <c r="N14" s="71">
        <f t="shared" si="1"/>
        <v>6.1409261576971215</v>
      </c>
      <c r="O14" s="71">
        <f t="shared" si="2"/>
        <v>5.5889862327909885</v>
      </c>
      <c r="P14" s="71">
        <f t="shared" si="3"/>
        <v>11.78072590738423</v>
      </c>
    </row>
    <row r="15" spans="1:16" ht="13.5" thickBot="1" x14ac:dyDescent="0.25">
      <c r="A15" s="2" t="s">
        <v>51</v>
      </c>
      <c r="B15" s="72" t="s">
        <v>171</v>
      </c>
      <c r="C15" s="2" t="s">
        <v>19</v>
      </c>
      <c r="D15" s="4">
        <v>1854</v>
      </c>
      <c r="E15" s="4">
        <v>35466</v>
      </c>
      <c r="F15" s="4">
        <v>348</v>
      </c>
      <c r="G15" s="4">
        <v>821</v>
      </c>
      <c r="H15" s="4">
        <v>0</v>
      </c>
      <c r="I15" s="4">
        <v>0</v>
      </c>
      <c r="J15" s="4">
        <v>0</v>
      </c>
      <c r="K15" s="4">
        <v>0</v>
      </c>
      <c r="L15" s="4">
        <v>0</v>
      </c>
      <c r="M15" s="4">
        <f t="shared" si="0"/>
        <v>36635</v>
      </c>
      <c r="N15" s="71">
        <f t="shared" si="1"/>
        <v>0</v>
      </c>
      <c r="O15" s="71">
        <f t="shared" si="2"/>
        <v>19.759978425026969</v>
      </c>
      <c r="P15" s="71">
        <f t="shared" si="3"/>
        <v>19.759978425026969</v>
      </c>
    </row>
    <row r="16" spans="1:16" ht="13.5" thickBot="1" x14ac:dyDescent="0.25">
      <c r="A16" s="2" t="s">
        <v>55</v>
      </c>
      <c r="B16" s="72" t="s">
        <v>183</v>
      </c>
      <c r="C16" s="2" t="s">
        <v>19</v>
      </c>
      <c r="D16" s="4">
        <v>3604</v>
      </c>
      <c r="E16" s="4">
        <v>33902</v>
      </c>
      <c r="F16" s="4">
        <v>1048</v>
      </c>
      <c r="G16" s="4">
        <v>2541</v>
      </c>
      <c r="H16" s="4">
        <v>60</v>
      </c>
      <c r="I16" s="4">
        <v>3</v>
      </c>
      <c r="J16" s="4">
        <v>9999</v>
      </c>
      <c r="K16" s="4">
        <v>2761</v>
      </c>
      <c r="L16" s="4">
        <v>0</v>
      </c>
      <c r="M16" s="4">
        <f t="shared" si="0"/>
        <v>50314</v>
      </c>
      <c r="N16" s="71">
        <f t="shared" si="1"/>
        <v>3.5413429522752495</v>
      </c>
      <c r="O16" s="71">
        <f t="shared" si="2"/>
        <v>10.40260821309656</v>
      </c>
      <c r="P16" s="71">
        <f t="shared" si="3"/>
        <v>13.960599334073253</v>
      </c>
    </row>
    <row r="17" spans="1:16" ht="13.5" thickBot="1" x14ac:dyDescent="0.25">
      <c r="A17" s="2" t="s">
        <v>57</v>
      </c>
      <c r="B17" s="72" t="s">
        <v>191</v>
      </c>
      <c r="C17" s="2" t="s">
        <v>19</v>
      </c>
      <c r="D17" s="4">
        <v>3803</v>
      </c>
      <c r="E17" s="4">
        <v>26762</v>
      </c>
      <c r="F17" s="4">
        <v>942</v>
      </c>
      <c r="G17" s="4">
        <v>1314</v>
      </c>
      <c r="H17" s="4">
        <v>13</v>
      </c>
      <c r="I17" s="4">
        <v>0</v>
      </c>
      <c r="J17" s="4">
        <v>282321</v>
      </c>
      <c r="K17" s="4">
        <v>65091</v>
      </c>
      <c r="L17" s="4">
        <v>14344</v>
      </c>
      <c r="M17" s="4">
        <f t="shared" si="0"/>
        <v>390787</v>
      </c>
      <c r="N17" s="71">
        <f t="shared" si="1"/>
        <v>95.123849592427035</v>
      </c>
      <c r="O17" s="71">
        <f t="shared" si="2"/>
        <v>7.6302918748356561</v>
      </c>
      <c r="P17" s="71">
        <f t="shared" si="3"/>
        <v>102.75755982119379</v>
      </c>
    </row>
    <row r="18" spans="1:16" ht="13.5" thickBot="1" x14ac:dyDescent="0.25">
      <c r="A18" s="2" t="s">
        <v>59</v>
      </c>
      <c r="B18" s="72" t="s">
        <v>193</v>
      </c>
      <c r="C18" s="2" t="s">
        <v>19</v>
      </c>
      <c r="D18" s="4">
        <v>2373</v>
      </c>
      <c r="E18" s="4">
        <v>14811</v>
      </c>
      <c r="F18" s="4">
        <v>199</v>
      </c>
      <c r="G18" s="4">
        <v>2117</v>
      </c>
      <c r="H18" s="4">
        <v>9</v>
      </c>
      <c r="I18" s="4">
        <v>0</v>
      </c>
      <c r="J18" s="4">
        <v>7557</v>
      </c>
      <c r="K18" s="4">
        <v>3121</v>
      </c>
      <c r="L18" s="4">
        <v>0</v>
      </c>
      <c r="M18" s="4">
        <f t="shared" si="0"/>
        <v>27814</v>
      </c>
      <c r="N18" s="71">
        <f t="shared" si="1"/>
        <v>4.4997892962494737</v>
      </c>
      <c r="O18" s="71">
        <f t="shared" si="2"/>
        <v>7.2174462705436158</v>
      </c>
      <c r="P18" s="71">
        <f t="shared" si="3"/>
        <v>11.721028234302571</v>
      </c>
    </row>
    <row r="19" spans="1:16" ht="13.5" thickBot="1" x14ac:dyDescent="0.25">
      <c r="A19" s="2" t="s">
        <v>62</v>
      </c>
      <c r="B19" s="72" t="s">
        <v>209</v>
      </c>
      <c r="C19" s="2" t="s">
        <v>19</v>
      </c>
      <c r="D19" s="4">
        <v>3953</v>
      </c>
      <c r="E19" s="4">
        <v>19894</v>
      </c>
      <c r="F19" s="4">
        <v>1154</v>
      </c>
      <c r="G19" s="4">
        <v>1595</v>
      </c>
      <c r="H19" s="4">
        <v>20</v>
      </c>
      <c r="I19" s="4">
        <v>0</v>
      </c>
      <c r="J19" s="4">
        <v>14929</v>
      </c>
      <c r="K19" s="4">
        <v>2538</v>
      </c>
      <c r="L19" s="4">
        <v>133</v>
      </c>
      <c r="M19" s="4">
        <f t="shared" si="0"/>
        <v>40263</v>
      </c>
      <c r="N19" s="71">
        <f t="shared" si="1"/>
        <v>4.4523146976979513</v>
      </c>
      <c r="O19" s="71">
        <f t="shared" si="2"/>
        <v>5.7280546420440173</v>
      </c>
      <c r="P19" s="71">
        <f t="shared" si="3"/>
        <v>10.18542878826208</v>
      </c>
    </row>
    <row r="20" spans="1:16" ht="13.5" thickBot="1" x14ac:dyDescent="0.25">
      <c r="A20" s="2" t="s">
        <v>64</v>
      </c>
      <c r="B20" s="72" t="s">
        <v>211</v>
      </c>
      <c r="C20" s="2" t="s">
        <v>19</v>
      </c>
      <c r="D20" s="4">
        <v>3228</v>
      </c>
      <c r="E20" s="4">
        <v>11787</v>
      </c>
      <c r="F20" s="4">
        <v>1002</v>
      </c>
      <c r="G20" s="4">
        <v>1605</v>
      </c>
      <c r="H20" s="4">
        <v>550</v>
      </c>
      <c r="I20" s="4">
        <v>0</v>
      </c>
      <c r="J20" s="4">
        <v>7725</v>
      </c>
      <c r="K20" s="4">
        <v>3050</v>
      </c>
      <c r="L20" s="4">
        <v>0</v>
      </c>
      <c r="M20" s="4">
        <f t="shared" si="0"/>
        <v>25719</v>
      </c>
      <c r="N20" s="71">
        <f t="shared" si="1"/>
        <v>3.3379801734820322</v>
      </c>
      <c r="O20" s="71">
        <f t="shared" si="2"/>
        <v>4.45910780669145</v>
      </c>
      <c r="P20" s="71">
        <f t="shared" si="3"/>
        <v>7.9674721189591082</v>
      </c>
    </row>
    <row r="21" spans="1:16" ht="13.5" thickBot="1" x14ac:dyDescent="0.25">
      <c r="A21" s="2" t="s">
        <v>66</v>
      </c>
      <c r="B21" s="72" t="s">
        <v>213</v>
      </c>
      <c r="C21" s="2" t="s">
        <v>19</v>
      </c>
      <c r="D21" s="4">
        <v>3453</v>
      </c>
      <c r="E21" s="4">
        <v>13204</v>
      </c>
      <c r="F21" s="4">
        <v>2001</v>
      </c>
      <c r="G21" s="4">
        <v>3177</v>
      </c>
      <c r="H21" s="4">
        <v>97</v>
      </c>
      <c r="I21" s="4">
        <v>0</v>
      </c>
      <c r="J21" s="4">
        <v>8065</v>
      </c>
      <c r="K21" s="4">
        <v>2957</v>
      </c>
      <c r="L21" s="4">
        <v>284</v>
      </c>
      <c r="M21" s="4">
        <f t="shared" si="0"/>
        <v>29785</v>
      </c>
      <c r="N21" s="71">
        <f t="shared" si="1"/>
        <v>3.2742542716478424</v>
      </c>
      <c r="O21" s="71">
        <f t="shared" si="2"/>
        <v>5.3234868230524182</v>
      </c>
      <c r="P21" s="71">
        <f t="shared" si="3"/>
        <v>8.625832609325224</v>
      </c>
    </row>
    <row r="22" spans="1:16" ht="13.5" thickBot="1" x14ac:dyDescent="0.25">
      <c r="A22" s="2" t="s">
        <v>70</v>
      </c>
      <c r="B22" s="72" t="s">
        <v>215</v>
      </c>
      <c r="C22" s="2" t="s">
        <v>19</v>
      </c>
      <c r="D22" s="4">
        <v>1236</v>
      </c>
      <c r="E22" s="4">
        <v>12109</v>
      </c>
      <c r="F22" s="4">
        <v>591</v>
      </c>
      <c r="G22" s="4">
        <v>1842</v>
      </c>
      <c r="H22" s="4">
        <v>4</v>
      </c>
      <c r="I22" s="4">
        <v>0</v>
      </c>
      <c r="J22" s="4">
        <v>6589</v>
      </c>
      <c r="K22" s="4">
        <v>2612</v>
      </c>
      <c r="L22" s="4">
        <v>244</v>
      </c>
      <c r="M22" s="4">
        <f t="shared" si="0"/>
        <v>23991</v>
      </c>
      <c r="N22" s="71">
        <f t="shared" si="1"/>
        <v>7.641585760517799</v>
      </c>
      <c r="O22" s="71">
        <f t="shared" si="2"/>
        <v>11.76537216828479</v>
      </c>
      <c r="P22" s="71">
        <f t="shared" si="3"/>
        <v>19.410194174757283</v>
      </c>
    </row>
    <row r="23" spans="1:16" ht="13.5" thickBot="1" x14ac:dyDescent="0.25">
      <c r="A23" s="2" t="s">
        <v>74</v>
      </c>
      <c r="B23" s="72" t="s">
        <v>218</v>
      </c>
      <c r="C23" s="2" t="s">
        <v>19</v>
      </c>
      <c r="D23" s="4">
        <v>3179</v>
      </c>
      <c r="E23" s="4">
        <v>11151</v>
      </c>
      <c r="F23" s="4">
        <v>1029</v>
      </c>
      <c r="G23" s="4">
        <v>3276</v>
      </c>
      <c r="H23" s="4">
        <v>16</v>
      </c>
      <c r="I23" s="4">
        <v>0</v>
      </c>
      <c r="J23" s="4">
        <v>0</v>
      </c>
      <c r="K23" s="4">
        <v>0</v>
      </c>
      <c r="L23" s="4">
        <v>5</v>
      </c>
      <c r="M23" s="4">
        <f t="shared" si="0"/>
        <v>15477</v>
      </c>
      <c r="N23" s="71">
        <f t="shared" si="1"/>
        <v>1.5728216420257944E-3</v>
      </c>
      <c r="O23" s="71">
        <f t="shared" si="2"/>
        <v>4.8619062598301355</v>
      </c>
      <c r="P23" s="71">
        <f t="shared" si="3"/>
        <v>4.8685121107266438</v>
      </c>
    </row>
    <row r="24" spans="1:16" ht="13.5" thickBot="1" x14ac:dyDescent="0.25">
      <c r="A24" s="2" t="s">
        <v>76</v>
      </c>
      <c r="B24" s="72" t="s">
        <v>230</v>
      </c>
      <c r="C24" s="2" t="s">
        <v>19</v>
      </c>
      <c r="D24" s="4">
        <v>2190</v>
      </c>
      <c r="E24" s="4">
        <v>15565</v>
      </c>
      <c r="F24" s="4">
        <v>256</v>
      </c>
      <c r="G24" s="4">
        <v>237</v>
      </c>
      <c r="H24" s="4">
        <v>23</v>
      </c>
      <c r="I24" s="4">
        <v>0</v>
      </c>
      <c r="J24" s="4">
        <v>8012</v>
      </c>
      <c r="K24" s="4">
        <v>3347</v>
      </c>
      <c r="L24" s="4">
        <v>285</v>
      </c>
      <c r="M24" s="4">
        <f t="shared" si="0"/>
        <v>27725</v>
      </c>
      <c r="N24" s="71">
        <f t="shared" si="1"/>
        <v>5.3168949771689498</v>
      </c>
      <c r="O24" s="71">
        <f t="shared" si="2"/>
        <v>7.3324200913242006</v>
      </c>
      <c r="P24" s="71">
        <f t="shared" si="3"/>
        <v>12.659817351598173</v>
      </c>
    </row>
    <row r="25" spans="1:16" ht="13.5" thickBot="1" x14ac:dyDescent="0.25">
      <c r="A25" s="2" t="s">
        <v>78</v>
      </c>
      <c r="B25" s="72" t="s">
        <v>266</v>
      </c>
      <c r="C25" s="2" t="s">
        <v>19</v>
      </c>
      <c r="D25" s="4">
        <v>2769</v>
      </c>
      <c r="E25" s="4">
        <v>15964</v>
      </c>
      <c r="F25" s="4">
        <v>150</v>
      </c>
      <c r="G25" s="4">
        <v>155</v>
      </c>
      <c r="H25" s="4">
        <v>15</v>
      </c>
      <c r="I25" s="4">
        <v>0</v>
      </c>
      <c r="J25" s="4">
        <v>0</v>
      </c>
      <c r="K25" s="4">
        <v>0</v>
      </c>
      <c r="L25" s="4">
        <v>0</v>
      </c>
      <c r="M25" s="4">
        <f t="shared" si="0"/>
        <v>16284</v>
      </c>
      <c r="N25" s="71">
        <f t="shared" si="1"/>
        <v>0</v>
      </c>
      <c r="O25" s="71">
        <f t="shared" si="2"/>
        <v>5.8754062838569885</v>
      </c>
      <c r="P25" s="71">
        <f t="shared" si="3"/>
        <v>5.8808234019501624</v>
      </c>
    </row>
    <row r="26" spans="1:16" ht="13.5" thickBot="1" x14ac:dyDescent="0.25">
      <c r="A26" s="2" t="s">
        <v>80</v>
      </c>
      <c r="B26" s="72" t="s">
        <v>268</v>
      </c>
      <c r="C26" s="2" t="s">
        <v>19</v>
      </c>
      <c r="D26" s="4">
        <v>3738</v>
      </c>
      <c r="E26" s="4">
        <v>24066</v>
      </c>
      <c r="F26" s="4">
        <v>67</v>
      </c>
      <c r="G26" s="4">
        <v>2445</v>
      </c>
      <c r="H26" s="4">
        <v>82</v>
      </c>
      <c r="I26" s="4">
        <v>0</v>
      </c>
      <c r="J26" s="4">
        <v>45</v>
      </c>
      <c r="K26" s="4">
        <v>0</v>
      </c>
      <c r="L26" s="4">
        <v>0</v>
      </c>
      <c r="M26" s="4">
        <f t="shared" si="0"/>
        <v>26705</v>
      </c>
      <c r="N26" s="71">
        <f t="shared" si="1"/>
        <v>1.2038523274478331E-2</v>
      </c>
      <c r="O26" s="71">
        <f t="shared" si="2"/>
        <v>7.1102193686463346</v>
      </c>
      <c r="P26" s="71">
        <f t="shared" si="3"/>
        <v>7.1441947565543069</v>
      </c>
    </row>
    <row r="27" spans="1:16" ht="13.5" thickBot="1" x14ac:dyDescent="0.25">
      <c r="A27" s="2" t="s">
        <v>82</v>
      </c>
      <c r="B27" s="72" t="s">
        <v>274</v>
      </c>
      <c r="C27" s="2" t="s">
        <v>19</v>
      </c>
      <c r="D27" s="4">
        <v>3112</v>
      </c>
      <c r="E27" s="4">
        <v>16923</v>
      </c>
      <c r="F27" s="4">
        <v>0</v>
      </c>
      <c r="G27" s="4">
        <v>3785</v>
      </c>
      <c r="H27" s="4">
        <v>6</v>
      </c>
      <c r="I27" s="4">
        <v>0</v>
      </c>
      <c r="J27" s="4">
        <v>0</v>
      </c>
      <c r="K27" s="4">
        <v>0</v>
      </c>
      <c r="L27" s="4">
        <v>0</v>
      </c>
      <c r="M27" s="4">
        <f t="shared" si="0"/>
        <v>20714</v>
      </c>
      <c r="N27" s="71">
        <f t="shared" si="1"/>
        <v>0</v>
      </c>
      <c r="O27" s="71">
        <f t="shared" si="2"/>
        <v>6.6542416452442161</v>
      </c>
      <c r="P27" s="71">
        <f t="shared" si="3"/>
        <v>6.6561696658097684</v>
      </c>
    </row>
    <row r="28" spans="1:16" ht="13.5" thickBot="1" x14ac:dyDescent="0.25">
      <c r="A28" s="2" t="s">
        <v>84</v>
      </c>
      <c r="B28" s="72" t="s">
        <v>282</v>
      </c>
      <c r="C28" s="2" t="s">
        <v>19</v>
      </c>
      <c r="D28" s="4">
        <v>2791</v>
      </c>
      <c r="E28" s="4">
        <v>15821</v>
      </c>
      <c r="F28" s="4">
        <v>463</v>
      </c>
      <c r="G28" s="4">
        <v>2088</v>
      </c>
      <c r="H28" s="4">
        <v>22</v>
      </c>
      <c r="I28" s="4">
        <v>0</v>
      </c>
      <c r="J28" s="4">
        <v>0</v>
      </c>
      <c r="K28" s="4">
        <v>0</v>
      </c>
      <c r="L28" s="4">
        <v>0</v>
      </c>
      <c r="M28" s="4">
        <f t="shared" si="0"/>
        <v>18394</v>
      </c>
      <c r="N28" s="71">
        <f t="shared" si="1"/>
        <v>0</v>
      </c>
      <c r="O28" s="71">
        <f t="shared" si="2"/>
        <v>6.5825868864206374</v>
      </c>
      <c r="P28" s="71">
        <f t="shared" si="3"/>
        <v>6.590469365818703</v>
      </c>
    </row>
    <row r="29" spans="1:16" ht="13.5" thickBot="1" x14ac:dyDescent="0.25">
      <c r="A29" s="2" t="s">
        <v>86</v>
      </c>
      <c r="B29" s="72" t="s">
        <v>298</v>
      </c>
      <c r="C29" s="2" t="s">
        <v>19</v>
      </c>
      <c r="D29" s="4">
        <v>3150</v>
      </c>
      <c r="E29" s="4">
        <v>12330</v>
      </c>
      <c r="F29" s="4">
        <v>789</v>
      </c>
      <c r="G29" s="4">
        <v>1533</v>
      </c>
      <c r="H29" s="4">
        <v>51</v>
      </c>
      <c r="I29" s="4">
        <v>0</v>
      </c>
      <c r="J29" s="4">
        <v>43703</v>
      </c>
      <c r="K29" s="4">
        <v>11429</v>
      </c>
      <c r="L29" s="4">
        <v>761</v>
      </c>
      <c r="M29" s="4">
        <f t="shared" si="0"/>
        <v>70596</v>
      </c>
      <c r="N29" s="71">
        <f t="shared" si="1"/>
        <v>17.743809523809524</v>
      </c>
      <c r="O29" s="71">
        <f t="shared" si="2"/>
        <v>4.6514285714285712</v>
      </c>
      <c r="P29" s="71">
        <f t="shared" si="3"/>
        <v>22.411428571428573</v>
      </c>
    </row>
    <row r="30" spans="1:16" ht="13.5" thickBot="1" x14ac:dyDescent="0.25">
      <c r="A30" s="2" t="s">
        <v>88</v>
      </c>
      <c r="B30" s="72" t="s">
        <v>310</v>
      </c>
      <c r="C30" s="2" t="s">
        <v>19</v>
      </c>
      <c r="D30" s="4">
        <v>3043</v>
      </c>
      <c r="E30" s="4">
        <v>37088</v>
      </c>
      <c r="F30" s="4">
        <v>818</v>
      </c>
      <c r="G30" s="4">
        <v>1913</v>
      </c>
      <c r="H30" s="4">
        <v>42</v>
      </c>
      <c r="I30" s="4">
        <v>1</v>
      </c>
      <c r="J30" s="4">
        <v>14439</v>
      </c>
      <c r="K30" s="4">
        <v>2834</v>
      </c>
      <c r="L30" s="4">
        <v>279</v>
      </c>
      <c r="M30" s="4">
        <f t="shared" si="0"/>
        <v>57414</v>
      </c>
      <c r="N30" s="71">
        <f t="shared" si="1"/>
        <v>5.7683207361156752</v>
      </c>
      <c r="O30" s="71">
        <f t="shared" si="2"/>
        <v>13.085441998028262</v>
      </c>
      <c r="P30" s="71">
        <f t="shared" si="3"/>
        <v>18.867564903056195</v>
      </c>
    </row>
    <row r="31" spans="1:16" ht="13.5" thickBot="1" x14ac:dyDescent="0.25">
      <c r="A31" s="2" t="s">
        <v>90</v>
      </c>
      <c r="B31" s="72" t="s">
        <v>318</v>
      </c>
      <c r="C31" s="2" t="s">
        <v>19</v>
      </c>
      <c r="D31" s="4">
        <v>2047</v>
      </c>
      <c r="E31" s="4">
        <v>11730</v>
      </c>
      <c r="F31" s="4">
        <v>147</v>
      </c>
      <c r="G31" s="4">
        <v>666</v>
      </c>
      <c r="H31" s="4">
        <v>5</v>
      </c>
      <c r="I31" s="4">
        <v>0</v>
      </c>
      <c r="J31" s="4">
        <v>0</v>
      </c>
      <c r="K31" s="4">
        <v>0</v>
      </c>
      <c r="L31" s="4">
        <v>0</v>
      </c>
      <c r="M31" s="4">
        <f t="shared" si="0"/>
        <v>12548</v>
      </c>
      <c r="N31" s="71">
        <f t="shared" si="1"/>
        <v>0</v>
      </c>
      <c r="O31" s="71">
        <f t="shared" si="2"/>
        <v>6.1275036638983877</v>
      </c>
      <c r="P31" s="71">
        <f t="shared" si="3"/>
        <v>6.1299462628236441</v>
      </c>
    </row>
    <row r="32" spans="1:16" ht="13.5" thickBot="1" x14ac:dyDescent="0.25">
      <c r="A32" s="2" t="s">
        <v>92</v>
      </c>
      <c r="B32" s="72" t="s">
        <v>326</v>
      </c>
      <c r="C32" s="2" t="s">
        <v>19</v>
      </c>
      <c r="D32" s="4">
        <v>3650</v>
      </c>
      <c r="E32" s="4">
        <v>22000</v>
      </c>
      <c r="F32" s="4">
        <v>3600</v>
      </c>
      <c r="G32" s="4">
        <v>4400</v>
      </c>
      <c r="H32" s="4">
        <v>50</v>
      </c>
      <c r="I32" s="4">
        <v>4</v>
      </c>
      <c r="J32" s="4">
        <v>33000</v>
      </c>
      <c r="K32" s="4">
        <v>3500</v>
      </c>
      <c r="L32" s="4">
        <v>195</v>
      </c>
      <c r="M32" s="4">
        <f t="shared" si="0"/>
        <v>66749</v>
      </c>
      <c r="N32" s="71">
        <f t="shared" si="1"/>
        <v>10.054520547945206</v>
      </c>
      <c r="O32" s="71">
        <f t="shared" si="2"/>
        <v>8.2191780821917817</v>
      </c>
      <c r="P32" s="71">
        <f t="shared" si="3"/>
        <v>18.287397260273973</v>
      </c>
    </row>
    <row r="33" spans="1:16" ht="13.5" thickBot="1" x14ac:dyDescent="0.25">
      <c r="A33" s="2" t="s">
        <v>94</v>
      </c>
      <c r="B33" s="72" t="s">
        <v>328</v>
      </c>
      <c r="C33" s="2" t="s">
        <v>19</v>
      </c>
      <c r="D33" s="4">
        <v>1828</v>
      </c>
      <c r="E33" s="4">
        <v>6057</v>
      </c>
      <c r="F33" s="4">
        <v>51</v>
      </c>
      <c r="G33" s="4">
        <v>784</v>
      </c>
      <c r="H33" s="4">
        <v>2</v>
      </c>
      <c r="I33" s="4">
        <v>1</v>
      </c>
      <c r="J33" s="4">
        <v>1</v>
      </c>
      <c r="K33" s="4">
        <v>0</v>
      </c>
      <c r="L33" s="4">
        <v>0</v>
      </c>
      <c r="M33" s="4">
        <f t="shared" si="0"/>
        <v>6896</v>
      </c>
      <c r="N33" s="71">
        <f t="shared" si="1"/>
        <v>1.0940919037199124E-3</v>
      </c>
      <c r="O33" s="71">
        <f t="shared" si="2"/>
        <v>3.7702407002188183</v>
      </c>
      <c r="P33" s="71">
        <f t="shared" si="3"/>
        <v>3.7724288840262581</v>
      </c>
    </row>
    <row r="34" spans="1:16" ht="13.5" thickBot="1" x14ac:dyDescent="0.25">
      <c r="A34" s="2" t="s">
        <v>96</v>
      </c>
      <c r="B34" s="72" t="s">
        <v>378</v>
      </c>
      <c r="C34" s="2" t="s">
        <v>19</v>
      </c>
      <c r="D34" s="4">
        <v>3926</v>
      </c>
      <c r="E34" s="4">
        <v>32137</v>
      </c>
      <c r="F34" s="4">
        <v>1122</v>
      </c>
      <c r="G34" s="4">
        <v>871</v>
      </c>
      <c r="H34" s="4">
        <v>20</v>
      </c>
      <c r="I34" s="4">
        <v>3</v>
      </c>
      <c r="J34" s="4">
        <v>12474</v>
      </c>
      <c r="K34" s="4">
        <v>0</v>
      </c>
      <c r="L34" s="4">
        <v>0</v>
      </c>
      <c r="M34" s="4">
        <f t="shared" si="0"/>
        <v>46627</v>
      </c>
      <c r="N34" s="71">
        <f t="shared" si="1"/>
        <v>3.1780438104941418</v>
      </c>
      <c r="O34" s="71">
        <f t="shared" si="2"/>
        <v>8.6933265410086609</v>
      </c>
      <c r="P34" s="71">
        <f t="shared" si="3"/>
        <v>11.876464595007642</v>
      </c>
    </row>
    <row r="35" spans="1:16" ht="13.5" thickBot="1" x14ac:dyDescent="0.25">
      <c r="A35" s="2" t="s">
        <v>98</v>
      </c>
      <c r="B35" s="72" t="s">
        <v>394</v>
      </c>
      <c r="C35" s="2" t="s">
        <v>19</v>
      </c>
      <c r="D35" s="4">
        <v>3038</v>
      </c>
      <c r="E35" s="4">
        <v>34337</v>
      </c>
      <c r="F35" s="4">
        <v>1033</v>
      </c>
      <c r="G35" s="4">
        <v>2391</v>
      </c>
      <c r="H35" s="4">
        <v>41</v>
      </c>
      <c r="I35" s="4">
        <v>0</v>
      </c>
      <c r="J35" s="4">
        <v>24970</v>
      </c>
      <c r="K35" s="4">
        <v>0</v>
      </c>
      <c r="L35" s="4">
        <v>0</v>
      </c>
      <c r="M35" s="4">
        <f t="shared" si="0"/>
        <v>62772</v>
      </c>
      <c r="N35" s="71">
        <f t="shared" si="1"/>
        <v>8.2192231731402234</v>
      </c>
      <c r="O35" s="71">
        <f t="shared" si="2"/>
        <v>12.42955892034233</v>
      </c>
      <c r="P35" s="71">
        <f t="shared" si="3"/>
        <v>20.662277814351548</v>
      </c>
    </row>
    <row r="36" spans="1:16" ht="13.5" thickBot="1" x14ac:dyDescent="0.25">
      <c r="A36" s="2" t="s">
        <v>100</v>
      </c>
      <c r="B36" s="72" t="s">
        <v>426</v>
      </c>
      <c r="C36" s="2" t="s">
        <v>19</v>
      </c>
      <c r="D36" s="4">
        <v>3730</v>
      </c>
      <c r="E36" s="4">
        <v>17966</v>
      </c>
      <c r="F36" s="4">
        <v>48</v>
      </c>
      <c r="G36" s="4">
        <v>195</v>
      </c>
      <c r="H36" s="4">
        <v>24</v>
      </c>
      <c r="I36" s="4">
        <v>0</v>
      </c>
      <c r="J36" s="4">
        <v>8012</v>
      </c>
      <c r="K36" s="4">
        <v>3347</v>
      </c>
      <c r="L36" s="4">
        <v>285</v>
      </c>
      <c r="M36" s="4">
        <f t="shared" si="0"/>
        <v>29877</v>
      </c>
      <c r="N36" s="71">
        <f t="shared" si="1"/>
        <v>3.12171581769437</v>
      </c>
      <c r="O36" s="71">
        <f t="shared" si="2"/>
        <v>4.8817694369973195</v>
      </c>
      <c r="P36" s="71">
        <f t="shared" si="3"/>
        <v>8.0099195710455771</v>
      </c>
    </row>
    <row r="37" spans="1:16" ht="13.5" thickBot="1" x14ac:dyDescent="0.25">
      <c r="A37" s="2" t="s">
        <v>102</v>
      </c>
      <c r="B37" s="72" t="s">
        <v>432</v>
      </c>
      <c r="C37" s="2" t="s">
        <v>19</v>
      </c>
      <c r="D37" s="4">
        <v>2735</v>
      </c>
      <c r="E37" s="4">
        <v>13310</v>
      </c>
      <c r="F37" s="4">
        <v>621</v>
      </c>
      <c r="G37" s="4">
        <v>2444</v>
      </c>
      <c r="H37" s="4">
        <v>11</v>
      </c>
      <c r="I37" s="4">
        <v>0</v>
      </c>
      <c r="J37" s="4">
        <v>0</v>
      </c>
      <c r="K37" s="4">
        <v>0</v>
      </c>
      <c r="L37" s="4">
        <v>0</v>
      </c>
      <c r="M37" s="4">
        <f t="shared" si="0"/>
        <v>16386</v>
      </c>
      <c r="N37" s="71">
        <f t="shared" si="1"/>
        <v>0</v>
      </c>
      <c r="O37" s="71">
        <f t="shared" si="2"/>
        <v>5.9872029250457039</v>
      </c>
      <c r="P37" s="71">
        <f t="shared" si="3"/>
        <v>5.9912248628884823</v>
      </c>
    </row>
    <row r="38" spans="1:16" ht="13.5" thickBot="1" x14ac:dyDescent="0.25">
      <c r="A38" s="2" t="s">
        <v>104</v>
      </c>
      <c r="B38" s="72" t="s">
        <v>434</v>
      </c>
      <c r="C38" s="2" t="s">
        <v>19</v>
      </c>
      <c r="D38" s="4">
        <v>1900</v>
      </c>
      <c r="E38" s="4">
        <v>29108</v>
      </c>
      <c r="F38" s="4">
        <v>385</v>
      </c>
      <c r="G38" s="4">
        <v>1358</v>
      </c>
      <c r="H38" s="4">
        <v>35</v>
      </c>
      <c r="I38" s="4">
        <v>1</v>
      </c>
      <c r="J38" s="4">
        <v>9589</v>
      </c>
      <c r="K38" s="4">
        <v>2150</v>
      </c>
      <c r="L38" s="4">
        <v>298</v>
      </c>
      <c r="M38" s="4">
        <f t="shared" si="0"/>
        <v>42924</v>
      </c>
      <c r="N38" s="71">
        <f t="shared" si="1"/>
        <v>6.3357894736842102</v>
      </c>
      <c r="O38" s="71">
        <f t="shared" si="2"/>
        <v>16.237368421052633</v>
      </c>
      <c r="P38" s="71">
        <f t="shared" si="3"/>
        <v>22.591578947368422</v>
      </c>
    </row>
    <row r="39" spans="1:16" ht="13.5" thickBot="1" x14ac:dyDescent="0.25">
      <c r="A39" s="2" t="s">
        <v>106</v>
      </c>
      <c r="B39" s="72" t="s">
        <v>438</v>
      </c>
      <c r="C39" s="2" t="s">
        <v>19</v>
      </c>
      <c r="D39" s="4">
        <v>2027</v>
      </c>
      <c r="E39" s="4">
        <v>16265</v>
      </c>
      <c r="F39" s="4">
        <v>2128</v>
      </c>
      <c r="G39" s="4">
        <v>2800</v>
      </c>
      <c r="H39" s="4">
        <v>73</v>
      </c>
      <c r="I39" s="4">
        <v>2</v>
      </c>
      <c r="J39" s="4">
        <v>22984</v>
      </c>
      <c r="K39" s="4">
        <v>11134</v>
      </c>
      <c r="L39" s="4">
        <v>137</v>
      </c>
      <c r="M39" s="4">
        <f t="shared" si="0"/>
        <v>55523</v>
      </c>
      <c r="N39" s="71">
        <f t="shared" si="1"/>
        <v>16.900345337937839</v>
      </c>
      <c r="O39" s="71">
        <f t="shared" si="2"/>
        <v>10.455352738036508</v>
      </c>
      <c r="P39" s="71">
        <f t="shared" si="3"/>
        <v>27.391711889491859</v>
      </c>
    </row>
    <row r="40" spans="1:16" ht="13.5" thickBot="1" x14ac:dyDescent="0.25">
      <c r="A40" s="2" t="s">
        <v>108</v>
      </c>
      <c r="B40" s="72" t="s">
        <v>448</v>
      </c>
      <c r="C40" s="2" t="s">
        <v>19</v>
      </c>
      <c r="D40" s="4">
        <v>2835</v>
      </c>
      <c r="E40" s="4">
        <v>21688</v>
      </c>
      <c r="F40" s="4">
        <v>26</v>
      </c>
      <c r="G40" s="4">
        <v>210</v>
      </c>
      <c r="H40" s="4">
        <v>18</v>
      </c>
      <c r="I40" s="4">
        <v>25</v>
      </c>
      <c r="J40" s="4">
        <v>25</v>
      </c>
      <c r="K40" s="4">
        <v>7672</v>
      </c>
      <c r="L40" s="4">
        <v>0</v>
      </c>
      <c r="M40" s="4">
        <f t="shared" si="0"/>
        <v>29664</v>
      </c>
      <c r="N40" s="71">
        <f t="shared" si="1"/>
        <v>2.7238095238095239</v>
      </c>
      <c r="O40" s="71">
        <f t="shared" si="2"/>
        <v>7.7333333333333334</v>
      </c>
      <c r="P40" s="71">
        <f t="shared" si="3"/>
        <v>10.463492063492064</v>
      </c>
    </row>
    <row r="41" spans="1:16" ht="13.5" thickBot="1" x14ac:dyDescent="0.25">
      <c r="A41" s="2" t="s">
        <v>110</v>
      </c>
      <c r="B41" s="72" t="s">
        <v>454</v>
      </c>
      <c r="C41" s="2" t="s">
        <v>19</v>
      </c>
      <c r="D41" s="4">
        <v>2372</v>
      </c>
      <c r="E41" s="4">
        <v>15704</v>
      </c>
      <c r="F41" s="4">
        <v>737</v>
      </c>
      <c r="G41" s="4">
        <v>1919</v>
      </c>
      <c r="H41" s="4">
        <v>0</v>
      </c>
      <c r="I41" s="4">
        <v>0</v>
      </c>
      <c r="J41" s="4">
        <v>0</v>
      </c>
      <c r="K41" s="4">
        <v>12484</v>
      </c>
      <c r="L41" s="4">
        <v>0</v>
      </c>
      <c r="M41" s="4">
        <f t="shared" si="0"/>
        <v>30844</v>
      </c>
      <c r="N41" s="71">
        <f t="shared" si="1"/>
        <v>5.263069139966273</v>
      </c>
      <c r="O41" s="71">
        <f t="shared" si="2"/>
        <v>7.7403035413153454</v>
      </c>
      <c r="P41" s="71">
        <f t="shared" si="3"/>
        <v>13.003372681281618</v>
      </c>
    </row>
    <row r="42" spans="1:16" ht="13.5" thickBot="1" x14ac:dyDescent="0.25">
      <c r="A42" s="2" t="s">
        <v>112</v>
      </c>
      <c r="B42" s="72" t="s">
        <v>468</v>
      </c>
      <c r="C42" s="2" t="s">
        <v>19</v>
      </c>
      <c r="D42" s="4">
        <v>3667</v>
      </c>
      <c r="E42" s="4">
        <v>16872</v>
      </c>
      <c r="F42" s="4">
        <v>408</v>
      </c>
      <c r="G42" s="4">
        <v>1898</v>
      </c>
      <c r="H42" s="4">
        <v>27</v>
      </c>
      <c r="I42" s="4">
        <v>1</v>
      </c>
      <c r="J42" s="4">
        <v>0</v>
      </c>
      <c r="K42" s="4">
        <v>0</v>
      </c>
      <c r="L42" s="4">
        <v>0</v>
      </c>
      <c r="M42" s="4">
        <f t="shared" si="0"/>
        <v>19206</v>
      </c>
      <c r="N42" s="71">
        <f t="shared" si="1"/>
        <v>2.7270248159258248E-4</v>
      </c>
      <c r="O42" s="71">
        <f t="shared" si="2"/>
        <v>5.2298881919825471</v>
      </c>
      <c r="P42" s="71">
        <f t="shared" si="3"/>
        <v>5.2375238614671398</v>
      </c>
    </row>
    <row r="43" spans="1:16" ht="13.5" thickBot="1" x14ac:dyDescent="0.25">
      <c r="A43" s="2" t="s">
        <v>114</v>
      </c>
      <c r="B43" s="72" t="s">
        <v>475</v>
      </c>
      <c r="C43" s="2" t="s">
        <v>19</v>
      </c>
      <c r="D43" s="4">
        <v>492</v>
      </c>
      <c r="E43" s="4">
        <v>13430</v>
      </c>
      <c r="F43" s="4">
        <v>265</v>
      </c>
      <c r="G43" s="4">
        <v>721</v>
      </c>
      <c r="H43" s="4">
        <v>27</v>
      </c>
      <c r="I43" s="4">
        <v>0</v>
      </c>
      <c r="J43" s="4">
        <v>8012</v>
      </c>
      <c r="K43" s="4">
        <v>3347</v>
      </c>
      <c r="L43" s="4">
        <v>285</v>
      </c>
      <c r="M43" s="4">
        <f t="shared" si="0"/>
        <v>26087</v>
      </c>
      <c r="N43" s="71">
        <f t="shared" si="1"/>
        <v>23.666666666666668</v>
      </c>
      <c r="O43" s="71">
        <f t="shared" si="2"/>
        <v>29.300813008130081</v>
      </c>
      <c r="P43" s="71">
        <f t="shared" si="3"/>
        <v>53.022357723577237</v>
      </c>
    </row>
    <row r="44" spans="1:16" ht="13.5" thickBot="1" x14ac:dyDescent="0.25">
      <c r="A44" s="2" t="s">
        <v>116</v>
      </c>
      <c r="B44" s="72" t="s">
        <v>491</v>
      </c>
      <c r="C44" s="2" t="s">
        <v>19</v>
      </c>
      <c r="D44" s="4">
        <v>3115</v>
      </c>
      <c r="E44" s="4">
        <v>10875</v>
      </c>
      <c r="F44" s="4">
        <v>116</v>
      </c>
      <c r="G44" s="4">
        <v>1068</v>
      </c>
      <c r="H44" s="4">
        <v>28</v>
      </c>
      <c r="I44" s="4">
        <v>0</v>
      </c>
      <c r="J44" s="4">
        <v>0</v>
      </c>
      <c r="K44" s="4">
        <v>0</v>
      </c>
      <c r="L44" s="4">
        <v>0</v>
      </c>
      <c r="M44" s="4">
        <f t="shared" si="0"/>
        <v>12087</v>
      </c>
      <c r="N44" s="71">
        <f t="shared" si="1"/>
        <v>0</v>
      </c>
      <c r="O44" s="71">
        <f t="shared" si="2"/>
        <v>3.8712680577849117</v>
      </c>
      <c r="P44" s="71">
        <f t="shared" si="3"/>
        <v>3.8802568218298554</v>
      </c>
    </row>
    <row r="45" spans="1:16" ht="13.5" thickBot="1" x14ac:dyDescent="0.25">
      <c r="A45" s="2" t="s">
        <v>120</v>
      </c>
      <c r="B45" s="72" t="s">
        <v>507</v>
      </c>
      <c r="C45" s="2" t="s">
        <v>19</v>
      </c>
      <c r="D45" s="4">
        <v>2440</v>
      </c>
      <c r="E45" s="4">
        <v>16621</v>
      </c>
      <c r="F45" s="4">
        <v>518</v>
      </c>
      <c r="G45" s="4">
        <v>0</v>
      </c>
      <c r="H45" s="4">
        <v>10</v>
      </c>
      <c r="I45" s="4">
        <v>0</v>
      </c>
      <c r="J45" s="4">
        <v>8012</v>
      </c>
      <c r="K45" s="4">
        <v>3347</v>
      </c>
      <c r="L45" s="4">
        <v>285</v>
      </c>
      <c r="M45" s="4">
        <f t="shared" si="0"/>
        <v>28793</v>
      </c>
      <c r="N45" s="71">
        <f t="shared" si="1"/>
        <v>4.7721311475409838</v>
      </c>
      <c r="O45" s="71">
        <f t="shared" si="2"/>
        <v>7.0241803278688524</v>
      </c>
      <c r="P45" s="71">
        <f t="shared" si="3"/>
        <v>11.800409836065574</v>
      </c>
    </row>
    <row r="46" spans="1:16" ht="13.5" thickBot="1" x14ac:dyDescent="0.25">
      <c r="A46" s="2" t="s">
        <v>122</v>
      </c>
      <c r="B46" s="72" t="s">
        <v>515</v>
      </c>
      <c r="C46" s="2" t="s">
        <v>19</v>
      </c>
      <c r="D46" s="4">
        <v>3433</v>
      </c>
      <c r="E46" s="4">
        <v>18767</v>
      </c>
      <c r="F46" s="4">
        <v>50</v>
      </c>
      <c r="G46" s="4">
        <v>305</v>
      </c>
      <c r="H46" s="4">
        <v>18</v>
      </c>
      <c r="I46" s="4">
        <v>0</v>
      </c>
      <c r="J46" s="4">
        <v>0</v>
      </c>
      <c r="K46" s="4">
        <v>0</v>
      </c>
      <c r="L46" s="4">
        <v>0</v>
      </c>
      <c r="M46" s="4">
        <f t="shared" si="0"/>
        <v>19140</v>
      </c>
      <c r="N46" s="71">
        <f t="shared" si="1"/>
        <v>0</v>
      </c>
      <c r="O46" s="71">
        <f t="shared" si="2"/>
        <v>5.5700553451791439</v>
      </c>
      <c r="P46" s="71">
        <f t="shared" si="3"/>
        <v>5.5752985726769593</v>
      </c>
    </row>
    <row r="47" spans="1:16" ht="13.5" thickBot="1" x14ac:dyDescent="0.25">
      <c r="A47" s="2" t="s">
        <v>124</v>
      </c>
      <c r="B47" s="72" t="s">
        <v>535</v>
      </c>
      <c r="C47" s="2" t="s">
        <v>19</v>
      </c>
      <c r="D47" s="4">
        <v>1848</v>
      </c>
      <c r="E47" s="4">
        <v>9097</v>
      </c>
      <c r="F47" s="4">
        <v>155</v>
      </c>
      <c r="G47" s="4">
        <v>2442</v>
      </c>
      <c r="H47" s="4">
        <v>20</v>
      </c>
      <c r="I47" s="4">
        <v>0</v>
      </c>
      <c r="J47" s="4">
        <v>0</v>
      </c>
      <c r="K47" s="4">
        <v>0</v>
      </c>
      <c r="L47" s="4">
        <v>0</v>
      </c>
      <c r="M47" s="4">
        <f t="shared" si="0"/>
        <v>11714</v>
      </c>
      <c r="N47" s="71">
        <f t="shared" si="1"/>
        <v>0</v>
      </c>
      <c r="O47" s="71">
        <f t="shared" si="2"/>
        <v>6.3279220779220777</v>
      </c>
      <c r="P47" s="71">
        <f t="shared" si="3"/>
        <v>6.3387445887445883</v>
      </c>
    </row>
    <row r="48" spans="1:16" ht="13.5" thickBot="1" x14ac:dyDescent="0.25">
      <c r="A48" s="2" t="s">
        <v>126</v>
      </c>
      <c r="B48" s="72" t="s">
        <v>551</v>
      </c>
      <c r="C48" s="2" t="s">
        <v>19</v>
      </c>
      <c r="D48" s="4">
        <v>3645</v>
      </c>
      <c r="E48" s="4">
        <v>36256</v>
      </c>
      <c r="F48" s="4">
        <v>1071</v>
      </c>
      <c r="G48" s="4">
        <v>2736</v>
      </c>
      <c r="H48" s="4">
        <v>85</v>
      </c>
      <c r="I48" s="4">
        <v>1</v>
      </c>
      <c r="J48" s="4">
        <v>12811</v>
      </c>
      <c r="K48" s="4">
        <v>1614</v>
      </c>
      <c r="L48" s="4">
        <v>0</v>
      </c>
      <c r="M48" s="4">
        <f t="shared" si="0"/>
        <v>54574</v>
      </c>
      <c r="N48" s="71">
        <f t="shared" si="1"/>
        <v>3.9577503429355283</v>
      </c>
      <c r="O48" s="71">
        <f t="shared" si="2"/>
        <v>10.99122085048011</v>
      </c>
      <c r="P48" s="71">
        <f t="shared" si="3"/>
        <v>14.972290809327847</v>
      </c>
    </row>
    <row r="49" spans="1:16" ht="13.5" thickBot="1" x14ac:dyDescent="0.25">
      <c r="A49" s="2" t="s">
        <v>128</v>
      </c>
      <c r="B49" s="72" t="s">
        <v>565</v>
      </c>
      <c r="C49" s="2" t="s">
        <v>19</v>
      </c>
      <c r="D49" s="4">
        <v>3679</v>
      </c>
      <c r="E49" s="4">
        <v>30056</v>
      </c>
      <c r="F49" s="4">
        <v>528</v>
      </c>
      <c r="G49" s="4">
        <v>1457</v>
      </c>
      <c r="H49" s="4">
        <v>20</v>
      </c>
      <c r="I49" s="4">
        <v>1</v>
      </c>
      <c r="J49" s="4">
        <v>7039</v>
      </c>
      <c r="K49" s="4">
        <v>2706</v>
      </c>
      <c r="L49" s="4">
        <v>285</v>
      </c>
      <c r="M49" s="4">
        <f t="shared" si="0"/>
        <v>42092</v>
      </c>
      <c r="N49" s="71">
        <f t="shared" si="1"/>
        <v>2.7265561293829843</v>
      </c>
      <c r="O49" s="71">
        <f t="shared" si="2"/>
        <v>8.7091600978526778</v>
      </c>
      <c r="P49" s="71">
        <f t="shared" si="3"/>
        <v>11.441152487088884</v>
      </c>
    </row>
    <row r="50" spans="1:16" ht="13.5" thickBot="1" x14ac:dyDescent="0.25">
      <c r="A50" s="2" t="s">
        <v>130</v>
      </c>
      <c r="B50" s="72" t="s">
        <v>569</v>
      </c>
      <c r="C50" s="2" t="s">
        <v>19</v>
      </c>
      <c r="D50" s="4">
        <v>1830</v>
      </c>
      <c r="E50" s="4">
        <v>8846</v>
      </c>
      <c r="F50" s="4">
        <v>83</v>
      </c>
      <c r="G50" s="4">
        <v>8</v>
      </c>
      <c r="H50" s="4">
        <v>3</v>
      </c>
      <c r="I50" s="4">
        <v>0</v>
      </c>
      <c r="J50" s="4">
        <v>0</v>
      </c>
      <c r="K50" s="4">
        <v>0</v>
      </c>
      <c r="L50" s="4">
        <v>0</v>
      </c>
      <c r="M50" s="4">
        <f t="shared" si="0"/>
        <v>8940</v>
      </c>
      <c r="N50" s="71">
        <f t="shared" si="1"/>
        <v>0</v>
      </c>
      <c r="O50" s="71">
        <f t="shared" si="2"/>
        <v>4.8836065573770489</v>
      </c>
      <c r="P50" s="71">
        <f t="shared" si="3"/>
        <v>4.8852459016393439</v>
      </c>
    </row>
    <row r="51" spans="1:16" ht="13.5" thickBot="1" x14ac:dyDescent="0.25">
      <c r="A51" s="2" t="s">
        <v>132</v>
      </c>
      <c r="B51" s="72" t="s">
        <v>591</v>
      </c>
      <c r="C51" s="2" t="s">
        <v>19</v>
      </c>
      <c r="D51" s="4">
        <v>1939</v>
      </c>
      <c r="E51" s="4">
        <v>13893</v>
      </c>
      <c r="F51" s="4">
        <v>694</v>
      </c>
      <c r="G51" s="4">
        <v>2017</v>
      </c>
      <c r="H51" s="4">
        <v>52</v>
      </c>
      <c r="I51" s="4">
        <v>0</v>
      </c>
      <c r="J51" s="4">
        <v>22984</v>
      </c>
      <c r="K51" s="4">
        <v>7672</v>
      </c>
      <c r="L51" s="4">
        <v>137</v>
      </c>
      <c r="M51" s="4">
        <f t="shared" si="0"/>
        <v>47449</v>
      </c>
      <c r="N51" s="71">
        <f t="shared" si="1"/>
        <v>15.88086642599278</v>
      </c>
      <c r="O51" s="71">
        <f t="shared" si="2"/>
        <v>8.5631768953068583</v>
      </c>
      <c r="P51" s="71">
        <f t="shared" si="3"/>
        <v>24.470861268695202</v>
      </c>
    </row>
    <row r="52" spans="1:16" ht="13.5" thickBot="1" x14ac:dyDescent="0.25">
      <c r="A52" s="2" t="s">
        <v>134</v>
      </c>
      <c r="B52" s="72" t="s">
        <v>611</v>
      </c>
      <c r="C52" s="2" t="s">
        <v>19</v>
      </c>
      <c r="D52" s="4">
        <v>5033</v>
      </c>
      <c r="E52" s="4">
        <v>18000</v>
      </c>
      <c r="F52" s="4">
        <v>450</v>
      </c>
      <c r="G52" s="4">
        <v>3200</v>
      </c>
      <c r="H52" s="4">
        <v>65</v>
      </c>
      <c r="I52" s="4">
        <v>700</v>
      </c>
      <c r="J52" s="4">
        <v>8900</v>
      </c>
      <c r="K52" s="4">
        <v>2000</v>
      </c>
      <c r="L52" s="4">
        <v>0</v>
      </c>
      <c r="M52" s="4">
        <f t="shared" si="0"/>
        <v>33315</v>
      </c>
      <c r="N52" s="71">
        <f t="shared" si="1"/>
        <v>2.3047883965825551</v>
      </c>
      <c r="O52" s="71">
        <f t="shared" si="2"/>
        <v>4.3016093781045104</v>
      </c>
      <c r="P52" s="71">
        <f t="shared" si="3"/>
        <v>6.6193125372541228</v>
      </c>
    </row>
    <row r="53" spans="1:16" ht="13.5" thickBot="1" x14ac:dyDescent="0.25">
      <c r="A53" s="2" t="s">
        <v>136</v>
      </c>
      <c r="B53" s="72" t="s">
        <v>631</v>
      </c>
      <c r="C53" s="2" t="s">
        <v>19</v>
      </c>
      <c r="D53" s="4">
        <v>3739</v>
      </c>
      <c r="E53" s="4">
        <v>9876</v>
      </c>
      <c r="F53" s="4">
        <v>423</v>
      </c>
      <c r="G53" s="4">
        <v>1016</v>
      </c>
      <c r="H53" s="4">
        <v>0</v>
      </c>
      <c r="I53" s="4">
        <v>3</v>
      </c>
      <c r="J53" s="4">
        <v>3387</v>
      </c>
      <c r="K53" s="4">
        <v>579</v>
      </c>
      <c r="L53" s="4">
        <v>110</v>
      </c>
      <c r="M53" s="4">
        <f t="shared" si="0"/>
        <v>15394</v>
      </c>
      <c r="N53" s="71">
        <f t="shared" si="1"/>
        <v>1.0909334046536507</v>
      </c>
      <c r="O53" s="71">
        <f t="shared" si="2"/>
        <v>3.0262102166354641</v>
      </c>
      <c r="P53" s="71">
        <f t="shared" si="3"/>
        <v>4.1171436212891148</v>
      </c>
    </row>
    <row r="54" spans="1:16" ht="13.5" thickBot="1" x14ac:dyDescent="0.25">
      <c r="A54" s="2" t="s">
        <v>138</v>
      </c>
      <c r="B54" s="72" t="s">
        <v>641</v>
      </c>
      <c r="C54" s="2" t="s">
        <v>19</v>
      </c>
      <c r="D54" s="4">
        <v>1508</v>
      </c>
      <c r="E54" s="4">
        <v>13480</v>
      </c>
      <c r="F54" s="4">
        <v>90</v>
      </c>
      <c r="G54" s="4">
        <v>166</v>
      </c>
      <c r="H54" s="4">
        <v>23</v>
      </c>
      <c r="I54" s="4">
        <v>0</v>
      </c>
      <c r="J54" s="4">
        <v>0</v>
      </c>
      <c r="K54" s="4">
        <v>0</v>
      </c>
      <c r="L54" s="4">
        <v>0</v>
      </c>
      <c r="M54" s="4">
        <f t="shared" si="0"/>
        <v>13759</v>
      </c>
      <c r="N54" s="71">
        <f t="shared" si="1"/>
        <v>0</v>
      </c>
      <c r="O54" s="71">
        <f t="shared" si="2"/>
        <v>9.1087533156498672</v>
      </c>
      <c r="P54" s="71">
        <f t="shared" si="3"/>
        <v>9.1240053050397876</v>
      </c>
    </row>
    <row r="55" spans="1:16" ht="13.5" thickBot="1" x14ac:dyDescent="0.25">
      <c r="A55" s="2" t="s">
        <v>142</v>
      </c>
      <c r="B55" s="72" t="s">
        <v>643</v>
      </c>
      <c r="C55" s="2" t="s">
        <v>19</v>
      </c>
      <c r="D55" s="4">
        <v>3731</v>
      </c>
      <c r="E55" s="4">
        <v>17362</v>
      </c>
      <c r="F55" s="4">
        <v>211</v>
      </c>
      <c r="G55" s="4">
        <v>1617</v>
      </c>
      <c r="H55" s="4">
        <v>17</v>
      </c>
      <c r="I55" s="4">
        <v>0</v>
      </c>
      <c r="J55" s="4">
        <v>0</v>
      </c>
      <c r="K55" s="4">
        <v>0</v>
      </c>
      <c r="L55" s="4">
        <v>0</v>
      </c>
      <c r="M55" s="4">
        <f t="shared" si="0"/>
        <v>19207</v>
      </c>
      <c r="N55" s="71">
        <f t="shared" si="1"/>
        <v>0</v>
      </c>
      <c r="O55" s="71">
        <f t="shared" si="2"/>
        <v>5.1433931921736802</v>
      </c>
      <c r="P55" s="71">
        <f t="shared" si="3"/>
        <v>5.1479496113642451</v>
      </c>
    </row>
    <row r="56" spans="1:16" ht="13.5" thickBot="1" x14ac:dyDescent="0.25">
      <c r="A56" s="2" t="s">
        <v>144</v>
      </c>
      <c r="B56" s="72" t="s">
        <v>649</v>
      </c>
      <c r="C56" s="2" t="s">
        <v>19</v>
      </c>
      <c r="D56" s="4">
        <v>3674</v>
      </c>
      <c r="E56" s="4">
        <v>15891</v>
      </c>
      <c r="F56" s="4">
        <v>358</v>
      </c>
      <c r="G56" s="4">
        <v>2403</v>
      </c>
      <c r="H56" s="4">
        <v>48</v>
      </c>
      <c r="I56" s="4">
        <v>0</v>
      </c>
      <c r="J56" s="4">
        <v>0</v>
      </c>
      <c r="K56" s="4">
        <v>25</v>
      </c>
      <c r="L56" s="4">
        <v>0</v>
      </c>
      <c r="M56" s="4">
        <f t="shared" si="0"/>
        <v>18725</v>
      </c>
      <c r="N56" s="71">
        <f t="shared" si="1"/>
        <v>6.8045726728361462E-3</v>
      </c>
      <c r="O56" s="71">
        <f t="shared" si="2"/>
        <v>5.0767555797495918</v>
      </c>
      <c r="P56" s="71">
        <f t="shared" si="3"/>
        <v>5.0966249319542731</v>
      </c>
    </row>
    <row r="57" spans="1:16" ht="13.5" thickBot="1" x14ac:dyDescent="0.25">
      <c r="A57" s="2" t="s">
        <v>146</v>
      </c>
      <c r="B57" s="72" t="s">
        <v>651</v>
      </c>
      <c r="C57" s="2" t="s">
        <v>19</v>
      </c>
      <c r="D57" s="4">
        <v>882</v>
      </c>
      <c r="E57" s="4">
        <v>14682</v>
      </c>
      <c r="F57" s="4">
        <v>109</v>
      </c>
      <c r="G57" s="4">
        <v>263</v>
      </c>
      <c r="H57" s="4">
        <v>24</v>
      </c>
      <c r="I57" s="4">
        <v>0</v>
      </c>
      <c r="J57" s="4">
        <v>8331</v>
      </c>
      <c r="K57" s="4">
        <v>3341</v>
      </c>
      <c r="L57" s="4">
        <v>285</v>
      </c>
      <c r="M57" s="4">
        <f t="shared" si="0"/>
        <v>27035</v>
      </c>
      <c r="N57" s="71">
        <f t="shared" si="1"/>
        <v>13.556689342403628</v>
      </c>
      <c r="O57" s="71">
        <f t="shared" si="2"/>
        <v>17.068027210884352</v>
      </c>
      <c r="P57" s="71">
        <f t="shared" si="3"/>
        <v>30.651927437641724</v>
      </c>
    </row>
    <row r="58" spans="1:16" ht="13.5" thickBot="1" x14ac:dyDescent="0.25">
      <c r="A58" s="2" t="s">
        <v>148</v>
      </c>
      <c r="B58" s="72" t="s">
        <v>671</v>
      </c>
      <c r="C58" s="2" t="s">
        <v>19</v>
      </c>
      <c r="D58" s="4">
        <v>2419</v>
      </c>
      <c r="E58" s="4">
        <v>14112</v>
      </c>
      <c r="F58" s="4">
        <v>20</v>
      </c>
      <c r="G58" s="4">
        <v>350</v>
      </c>
      <c r="H58" s="4">
        <v>1</v>
      </c>
      <c r="I58" s="4">
        <v>0</v>
      </c>
      <c r="J58" s="4">
        <v>0</v>
      </c>
      <c r="K58" s="4">
        <v>0</v>
      </c>
      <c r="L58" s="4">
        <v>0</v>
      </c>
      <c r="M58" s="4">
        <f t="shared" si="0"/>
        <v>14483</v>
      </c>
      <c r="N58" s="71">
        <f t="shared" si="1"/>
        <v>0</v>
      </c>
      <c r="O58" s="71">
        <f t="shared" si="2"/>
        <v>5.9867713931376603</v>
      </c>
      <c r="P58" s="71">
        <f t="shared" si="3"/>
        <v>5.987184787102108</v>
      </c>
    </row>
    <row r="59" spans="1:16" ht="13.5" thickBot="1" x14ac:dyDescent="0.25">
      <c r="A59" s="2" t="s">
        <v>150</v>
      </c>
      <c r="B59" s="72" t="s">
        <v>697</v>
      </c>
      <c r="C59" s="2" t="s">
        <v>19</v>
      </c>
      <c r="D59" s="4">
        <v>3775</v>
      </c>
      <c r="E59" s="4">
        <v>29493</v>
      </c>
      <c r="F59" s="4">
        <v>907</v>
      </c>
      <c r="G59" s="4">
        <v>762</v>
      </c>
      <c r="H59" s="4">
        <v>34</v>
      </c>
      <c r="I59" s="4">
        <v>6</v>
      </c>
      <c r="J59" s="4">
        <v>13893</v>
      </c>
      <c r="K59" s="4">
        <v>3070</v>
      </c>
      <c r="L59" s="4">
        <v>0</v>
      </c>
      <c r="M59" s="4">
        <f t="shared" si="0"/>
        <v>48165</v>
      </c>
      <c r="N59" s="71">
        <f t="shared" si="1"/>
        <v>4.4950993377483446</v>
      </c>
      <c r="O59" s="71">
        <f t="shared" si="2"/>
        <v>8.2548344370860924</v>
      </c>
      <c r="P59" s="71">
        <f t="shared" si="3"/>
        <v>12.758940397350994</v>
      </c>
    </row>
    <row r="60" spans="1:16" ht="13.5" thickBot="1" x14ac:dyDescent="0.25">
      <c r="A60" s="2" t="s">
        <v>152</v>
      </c>
      <c r="B60" s="72" t="s">
        <v>703</v>
      </c>
      <c r="C60" s="2" t="s">
        <v>19</v>
      </c>
      <c r="D60" s="4">
        <v>3138</v>
      </c>
      <c r="E60" s="4">
        <v>13449</v>
      </c>
      <c r="F60" s="4">
        <v>582</v>
      </c>
      <c r="G60" s="4">
        <v>712</v>
      </c>
      <c r="H60" s="4">
        <v>15</v>
      </c>
      <c r="I60" s="4">
        <v>1</v>
      </c>
      <c r="J60" s="4">
        <v>0</v>
      </c>
      <c r="K60" s="4">
        <v>7672</v>
      </c>
      <c r="L60" s="4">
        <v>0</v>
      </c>
      <c r="M60" s="4">
        <f t="shared" si="0"/>
        <v>22431</v>
      </c>
      <c r="N60" s="71">
        <f t="shared" si="1"/>
        <v>2.4451880178457617</v>
      </c>
      <c r="O60" s="71">
        <f t="shared" si="2"/>
        <v>4.6982154238368388</v>
      </c>
      <c r="P60" s="71">
        <f t="shared" si="3"/>
        <v>7.1481835564053533</v>
      </c>
    </row>
    <row r="61" spans="1:16" ht="13.5" thickBot="1" x14ac:dyDescent="0.25">
      <c r="A61" s="2" t="s">
        <v>154</v>
      </c>
      <c r="B61" s="72" t="s">
        <v>713</v>
      </c>
      <c r="C61" s="2" t="s">
        <v>19</v>
      </c>
      <c r="D61" s="4">
        <v>3428</v>
      </c>
      <c r="E61" s="4">
        <v>13234</v>
      </c>
      <c r="F61" s="4">
        <v>121</v>
      </c>
      <c r="G61" s="4">
        <v>847</v>
      </c>
      <c r="H61" s="4">
        <v>51</v>
      </c>
      <c r="I61" s="4">
        <v>0</v>
      </c>
      <c r="J61" s="4">
        <v>3916</v>
      </c>
      <c r="K61" s="4">
        <v>2516</v>
      </c>
      <c r="L61" s="4">
        <v>0</v>
      </c>
      <c r="M61" s="4">
        <f t="shared" si="0"/>
        <v>20685</v>
      </c>
      <c r="N61" s="71">
        <f t="shared" si="1"/>
        <v>1.8763127187864643</v>
      </c>
      <c r="O61" s="71">
        <f t="shared" si="2"/>
        <v>4.1429404900816804</v>
      </c>
      <c r="P61" s="71">
        <f t="shared" si="3"/>
        <v>6.0341306884480748</v>
      </c>
    </row>
    <row r="62" spans="1:16" ht="13.5" thickBot="1" x14ac:dyDescent="0.25">
      <c r="A62" s="2" t="s">
        <v>156</v>
      </c>
      <c r="B62" s="72" t="s">
        <v>715</v>
      </c>
      <c r="C62" s="2" t="s">
        <v>19</v>
      </c>
      <c r="D62" s="4">
        <v>1932</v>
      </c>
      <c r="E62" s="4">
        <v>14262</v>
      </c>
      <c r="F62" s="4">
        <v>165</v>
      </c>
      <c r="G62" s="4">
        <v>676</v>
      </c>
      <c r="H62" s="4">
        <v>22</v>
      </c>
      <c r="I62" s="4">
        <v>0</v>
      </c>
      <c r="J62" s="4">
        <v>0</v>
      </c>
      <c r="K62" s="4">
        <v>0</v>
      </c>
      <c r="L62" s="4">
        <v>0</v>
      </c>
      <c r="M62" s="4">
        <f t="shared" si="0"/>
        <v>15125</v>
      </c>
      <c r="N62" s="71">
        <f t="shared" si="1"/>
        <v>0</v>
      </c>
      <c r="O62" s="71">
        <f t="shared" si="2"/>
        <v>7.8172877846790891</v>
      </c>
      <c r="P62" s="71">
        <f t="shared" si="3"/>
        <v>7.8286749482401659</v>
      </c>
    </row>
    <row r="63" spans="1:16" ht="13.5" thickBot="1" x14ac:dyDescent="0.25">
      <c r="A63" s="2" t="s">
        <v>158</v>
      </c>
      <c r="B63" s="72" t="s">
        <v>737</v>
      </c>
      <c r="C63" s="2" t="s">
        <v>19</v>
      </c>
      <c r="D63" s="4">
        <v>2387</v>
      </c>
      <c r="E63" s="4">
        <v>17758</v>
      </c>
      <c r="F63" s="4">
        <v>812</v>
      </c>
      <c r="G63" s="4">
        <v>3806</v>
      </c>
      <c r="H63" s="4">
        <v>46</v>
      </c>
      <c r="I63" s="4">
        <v>0</v>
      </c>
      <c r="J63" s="4">
        <v>25874</v>
      </c>
      <c r="K63" s="4">
        <v>4687</v>
      </c>
      <c r="L63" s="4">
        <v>0</v>
      </c>
      <c r="M63" s="4">
        <f t="shared" si="0"/>
        <v>52983</v>
      </c>
      <c r="N63" s="71">
        <f t="shared" si="1"/>
        <v>12.803100125680771</v>
      </c>
      <c r="O63" s="71">
        <f t="shared" si="2"/>
        <v>9.3741097612065349</v>
      </c>
      <c r="P63" s="71">
        <f t="shared" si="3"/>
        <v>22.196480938416421</v>
      </c>
    </row>
    <row r="64" spans="1:16" ht="13.5" thickBot="1" x14ac:dyDescent="0.25">
      <c r="A64" s="2" t="s">
        <v>160</v>
      </c>
      <c r="B64" s="72" t="s">
        <v>756</v>
      </c>
      <c r="C64" s="2" t="s">
        <v>19</v>
      </c>
      <c r="D64" s="4">
        <v>1873</v>
      </c>
      <c r="E64" s="4">
        <v>17049</v>
      </c>
      <c r="F64" s="4">
        <v>345</v>
      </c>
      <c r="G64" s="4">
        <v>463</v>
      </c>
      <c r="H64" s="4">
        <v>2</v>
      </c>
      <c r="I64" s="4">
        <v>1</v>
      </c>
      <c r="J64" s="4">
        <v>14002</v>
      </c>
      <c r="K64" s="4">
        <v>2761</v>
      </c>
      <c r="L64" s="4">
        <v>0</v>
      </c>
      <c r="M64" s="4">
        <f t="shared" si="0"/>
        <v>34623</v>
      </c>
      <c r="N64" s="71">
        <f t="shared" si="1"/>
        <v>8.950347036839295</v>
      </c>
      <c r="O64" s="71">
        <f t="shared" si="2"/>
        <v>9.5339028296849975</v>
      </c>
      <c r="P64" s="71">
        <f t="shared" si="3"/>
        <v>18.485317672183662</v>
      </c>
    </row>
    <row r="65" spans="1:16" ht="13.5" thickBot="1" x14ac:dyDescent="0.25">
      <c r="A65" s="2" t="s">
        <v>162</v>
      </c>
      <c r="B65" s="72" t="s">
        <v>774</v>
      </c>
      <c r="C65" s="2" t="s">
        <v>19</v>
      </c>
      <c r="D65" s="4">
        <v>1652</v>
      </c>
      <c r="E65" s="4">
        <v>11025</v>
      </c>
      <c r="F65" s="4">
        <v>302</v>
      </c>
      <c r="G65" s="4">
        <v>240</v>
      </c>
      <c r="H65" s="4">
        <v>15</v>
      </c>
      <c r="I65" s="4">
        <v>0</v>
      </c>
      <c r="J65" s="4">
        <v>21717</v>
      </c>
      <c r="K65" s="4">
        <v>2819</v>
      </c>
      <c r="L65" s="4">
        <v>134</v>
      </c>
      <c r="M65" s="4">
        <f t="shared" si="0"/>
        <v>36252</v>
      </c>
      <c r="N65" s="71">
        <f t="shared" si="1"/>
        <v>14.933414043583536</v>
      </c>
      <c r="O65" s="71">
        <f t="shared" si="2"/>
        <v>7.0018159806295399</v>
      </c>
      <c r="P65" s="71">
        <f t="shared" si="3"/>
        <v>21.944309927360774</v>
      </c>
    </row>
    <row r="66" spans="1:16" ht="13.5" thickBot="1" x14ac:dyDescent="0.25">
      <c r="A66" s="2" t="s">
        <v>164</v>
      </c>
      <c r="B66" s="72" t="s">
        <v>786</v>
      </c>
      <c r="C66" s="2" t="s">
        <v>19</v>
      </c>
      <c r="D66" s="4">
        <v>3895</v>
      </c>
      <c r="E66" s="4">
        <v>22298</v>
      </c>
      <c r="F66" s="4">
        <v>18</v>
      </c>
      <c r="G66" s="4">
        <v>2325</v>
      </c>
      <c r="H66" s="4">
        <v>30</v>
      </c>
      <c r="I66" s="4">
        <v>0</v>
      </c>
      <c r="J66" s="4">
        <v>31186</v>
      </c>
      <c r="K66" s="4">
        <v>5673</v>
      </c>
      <c r="L66" s="4">
        <v>0</v>
      </c>
      <c r="M66" s="4">
        <f t="shared" si="0"/>
        <v>61530</v>
      </c>
      <c r="N66" s="71">
        <f t="shared" si="1"/>
        <v>9.4631578947368418</v>
      </c>
      <c r="O66" s="71">
        <f t="shared" si="2"/>
        <v>6.3263157894736839</v>
      </c>
      <c r="P66" s="71">
        <f t="shared" si="3"/>
        <v>15.797175866495508</v>
      </c>
    </row>
    <row r="67" spans="1:16" ht="13.5" thickBot="1" x14ac:dyDescent="0.25">
      <c r="A67" s="2" t="s">
        <v>166</v>
      </c>
      <c r="B67" s="72" t="s">
        <v>792</v>
      </c>
      <c r="C67" s="2" t="s">
        <v>19</v>
      </c>
      <c r="D67" s="4">
        <v>2156</v>
      </c>
      <c r="E67" s="4">
        <v>14598</v>
      </c>
      <c r="F67" s="4">
        <v>174</v>
      </c>
      <c r="G67" s="4">
        <v>818</v>
      </c>
      <c r="H67" s="4">
        <v>16</v>
      </c>
      <c r="I67" s="4">
        <v>0</v>
      </c>
      <c r="J67" s="4">
        <v>8520</v>
      </c>
      <c r="K67" s="4">
        <v>3374</v>
      </c>
      <c r="L67" s="4">
        <v>285</v>
      </c>
      <c r="M67" s="4">
        <f t="shared" si="0"/>
        <v>27785</v>
      </c>
      <c r="N67" s="71">
        <f t="shared" si="1"/>
        <v>5.6488868274582558</v>
      </c>
      <c r="O67" s="71">
        <f t="shared" si="2"/>
        <v>7.2309833024118735</v>
      </c>
      <c r="P67" s="71">
        <f t="shared" si="3"/>
        <v>12.887291280148423</v>
      </c>
    </row>
    <row r="68" spans="1:16" ht="13.5" thickBot="1" x14ac:dyDescent="0.25">
      <c r="A68" s="2" t="s">
        <v>168</v>
      </c>
      <c r="B68" s="72" t="s">
        <v>794</v>
      </c>
      <c r="C68" s="2" t="s">
        <v>19</v>
      </c>
      <c r="D68" s="4">
        <v>2475</v>
      </c>
      <c r="E68" s="4">
        <v>19371</v>
      </c>
      <c r="F68" s="4">
        <v>716</v>
      </c>
      <c r="G68" s="4">
        <v>1617</v>
      </c>
      <c r="H68" s="4">
        <v>4</v>
      </c>
      <c r="I68" s="4">
        <v>0</v>
      </c>
      <c r="J68" s="4">
        <v>14502</v>
      </c>
      <c r="K68" s="4">
        <v>3230</v>
      </c>
      <c r="L68" s="4">
        <v>0</v>
      </c>
      <c r="M68" s="4">
        <f t="shared" ref="M68:M131" si="4">SUM(E68:L68)</f>
        <v>39440</v>
      </c>
      <c r="N68" s="71">
        <f t="shared" ref="N68:N131" si="5">(J68+K68+L68+I68)/D68</f>
        <v>7.1644444444444444</v>
      </c>
      <c r="O68" s="71">
        <f t="shared" ref="O68:O131" si="6">(E68+F68+G68)/D68</f>
        <v>8.7692929292929289</v>
      </c>
      <c r="P68" s="71">
        <f t="shared" ref="P68:P131" si="7">M68/D68</f>
        <v>15.935353535353535</v>
      </c>
    </row>
    <row r="69" spans="1:16" ht="13.5" thickBot="1" x14ac:dyDescent="0.25">
      <c r="A69" s="2" t="s">
        <v>170</v>
      </c>
      <c r="B69" s="72" t="s">
        <v>798</v>
      </c>
      <c r="C69" s="2" t="s">
        <v>19</v>
      </c>
      <c r="D69" s="4">
        <v>1968</v>
      </c>
      <c r="E69" s="4">
        <v>12850</v>
      </c>
      <c r="F69" s="4">
        <v>0</v>
      </c>
      <c r="G69" s="4">
        <v>0</v>
      </c>
      <c r="H69" s="4">
        <v>7</v>
      </c>
      <c r="I69" s="4">
        <v>0</v>
      </c>
      <c r="J69" s="4">
        <v>0</v>
      </c>
      <c r="K69" s="4">
        <v>0</v>
      </c>
      <c r="L69" s="4">
        <v>0</v>
      </c>
      <c r="M69" s="4">
        <f t="shared" si="4"/>
        <v>12857</v>
      </c>
      <c r="N69" s="71">
        <f t="shared" si="5"/>
        <v>0</v>
      </c>
      <c r="O69" s="71">
        <f t="shared" si="6"/>
        <v>6.529471544715447</v>
      </c>
      <c r="P69" s="71">
        <f t="shared" si="7"/>
        <v>6.533028455284553</v>
      </c>
    </row>
    <row r="70" spans="1:16" ht="13.5" thickBot="1" x14ac:dyDescent="0.25">
      <c r="A70" s="2" t="s">
        <v>172</v>
      </c>
      <c r="B70" s="72" t="s">
        <v>808</v>
      </c>
      <c r="C70" s="2" t="s">
        <v>19</v>
      </c>
      <c r="D70" s="4">
        <v>2202</v>
      </c>
      <c r="E70" s="4">
        <v>10958</v>
      </c>
      <c r="F70" s="4">
        <v>0</v>
      </c>
      <c r="G70" s="4">
        <v>0</v>
      </c>
      <c r="H70" s="4">
        <v>6</v>
      </c>
      <c r="I70" s="4">
        <v>0</v>
      </c>
      <c r="J70" s="4">
        <v>0</v>
      </c>
      <c r="K70" s="4">
        <v>0</v>
      </c>
      <c r="L70" s="4">
        <v>0</v>
      </c>
      <c r="M70" s="4">
        <f t="shared" si="4"/>
        <v>10964</v>
      </c>
      <c r="N70" s="71">
        <f t="shared" si="5"/>
        <v>0</v>
      </c>
      <c r="O70" s="71">
        <f t="shared" si="6"/>
        <v>4.9763851044504994</v>
      </c>
      <c r="P70" s="71">
        <f t="shared" si="7"/>
        <v>4.9791099000908261</v>
      </c>
    </row>
    <row r="71" spans="1:16" ht="13.5" thickBot="1" x14ac:dyDescent="0.25">
      <c r="A71" s="2" t="s">
        <v>174</v>
      </c>
      <c r="B71" s="72" t="s">
        <v>820</v>
      </c>
      <c r="C71" s="2" t="s">
        <v>19</v>
      </c>
      <c r="D71" s="4">
        <v>2913</v>
      </c>
      <c r="E71" s="4">
        <v>19138</v>
      </c>
      <c r="F71" s="4">
        <v>790</v>
      </c>
      <c r="G71" s="4">
        <v>58</v>
      </c>
      <c r="H71" s="4">
        <v>0</v>
      </c>
      <c r="I71" s="4">
        <v>0</v>
      </c>
      <c r="J71" s="4">
        <v>0</v>
      </c>
      <c r="K71" s="4">
        <v>0</v>
      </c>
      <c r="L71" s="4">
        <v>0</v>
      </c>
      <c r="M71" s="4">
        <f t="shared" si="4"/>
        <v>19986</v>
      </c>
      <c r="N71" s="71">
        <f t="shared" si="5"/>
        <v>0</v>
      </c>
      <c r="O71" s="71">
        <f t="shared" si="6"/>
        <v>6.8609680741503603</v>
      </c>
      <c r="P71" s="71">
        <f t="shared" si="7"/>
        <v>6.8609680741503603</v>
      </c>
    </row>
    <row r="72" spans="1:16" ht="13.5" thickBot="1" x14ac:dyDescent="0.25">
      <c r="A72" s="2" t="s">
        <v>176</v>
      </c>
      <c r="B72" s="72" t="s">
        <v>832</v>
      </c>
      <c r="C72" s="2" t="s">
        <v>19</v>
      </c>
      <c r="D72" s="4">
        <v>575</v>
      </c>
      <c r="E72" s="4">
        <v>13942</v>
      </c>
      <c r="F72" s="4">
        <v>732</v>
      </c>
      <c r="G72" s="4">
        <v>2359</v>
      </c>
      <c r="H72" s="4">
        <v>52</v>
      </c>
      <c r="I72" s="4">
        <v>0</v>
      </c>
      <c r="J72" s="4">
        <v>8012</v>
      </c>
      <c r="K72" s="4">
        <v>3347</v>
      </c>
      <c r="L72" s="4">
        <v>285</v>
      </c>
      <c r="M72" s="4">
        <f t="shared" si="4"/>
        <v>28729</v>
      </c>
      <c r="N72" s="71">
        <f t="shared" si="5"/>
        <v>20.250434782608696</v>
      </c>
      <c r="O72" s="71">
        <f t="shared" si="6"/>
        <v>29.622608695652175</v>
      </c>
      <c r="P72" s="71">
        <f t="shared" si="7"/>
        <v>49.963478260869564</v>
      </c>
    </row>
    <row r="73" spans="1:16" ht="13.5" thickBot="1" x14ac:dyDescent="0.25">
      <c r="A73" s="2" t="s">
        <v>178</v>
      </c>
      <c r="B73" s="72" t="s">
        <v>840</v>
      </c>
      <c r="C73" s="2" t="s">
        <v>19</v>
      </c>
      <c r="D73" s="4">
        <v>2738</v>
      </c>
      <c r="E73" s="4">
        <v>32034</v>
      </c>
      <c r="F73" s="4">
        <v>343</v>
      </c>
      <c r="G73" s="4">
        <v>1512</v>
      </c>
      <c r="H73" s="4">
        <v>33</v>
      </c>
      <c r="I73" s="4">
        <v>0</v>
      </c>
      <c r="J73" s="4">
        <v>0</v>
      </c>
      <c r="K73" s="4">
        <v>0</v>
      </c>
      <c r="L73" s="4">
        <v>0</v>
      </c>
      <c r="M73" s="4">
        <f t="shared" si="4"/>
        <v>33922</v>
      </c>
      <c r="N73" s="71">
        <f t="shared" si="5"/>
        <v>0</v>
      </c>
      <c r="O73" s="71">
        <f t="shared" si="6"/>
        <v>12.3772826880935</v>
      </c>
      <c r="P73" s="71">
        <f t="shared" si="7"/>
        <v>12.389335281227174</v>
      </c>
    </row>
    <row r="74" spans="1:16" ht="13.5" thickBot="1" x14ac:dyDescent="0.25">
      <c r="A74" s="2" t="s">
        <v>180</v>
      </c>
      <c r="B74" s="72" t="s">
        <v>20</v>
      </c>
      <c r="C74" s="2" t="s">
        <v>24</v>
      </c>
      <c r="D74" s="4">
        <v>6351</v>
      </c>
      <c r="E74" s="4">
        <v>22330</v>
      </c>
      <c r="F74" s="4">
        <v>1769</v>
      </c>
      <c r="G74" s="4">
        <v>2383</v>
      </c>
      <c r="H74" s="4">
        <v>2</v>
      </c>
      <c r="I74" s="4">
        <v>1</v>
      </c>
      <c r="J74" s="4">
        <v>18161</v>
      </c>
      <c r="K74" s="4">
        <v>3258</v>
      </c>
      <c r="L74" s="4">
        <v>210</v>
      </c>
      <c r="M74" s="4">
        <f t="shared" si="4"/>
        <v>48114</v>
      </c>
      <c r="N74" s="71">
        <f t="shared" si="5"/>
        <v>3.4057628719886632</v>
      </c>
      <c r="O74" s="71">
        <f t="shared" si="6"/>
        <v>4.1697370492835777</v>
      </c>
      <c r="P74" s="71">
        <f t="shared" si="7"/>
        <v>7.5758148323098728</v>
      </c>
    </row>
    <row r="75" spans="1:16" ht="13.5" thickBot="1" x14ac:dyDescent="0.25">
      <c r="A75" s="2" t="s">
        <v>182</v>
      </c>
      <c r="B75" s="72" t="s">
        <v>50</v>
      </c>
      <c r="C75" s="2" t="s">
        <v>24</v>
      </c>
      <c r="D75" s="4">
        <v>6583</v>
      </c>
      <c r="E75" s="4">
        <v>30300</v>
      </c>
      <c r="F75" s="4">
        <v>1923</v>
      </c>
      <c r="G75" s="4">
        <v>2663</v>
      </c>
      <c r="H75" s="4">
        <v>96</v>
      </c>
      <c r="I75" s="4">
        <v>0</v>
      </c>
      <c r="J75" s="4">
        <v>15643</v>
      </c>
      <c r="K75" s="4">
        <v>0</v>
      </c>
      <c r="L75" s="4">
        <v>0</v>
      </c>
      <c r="M75" s="4">
        <f t="shared" si="4"/>
        <v>50625</v>
      </c>
      <c r="N75" s="71">
        <f t="shared" si="5"/>
        <v>2.3762722163147503</v>
      </c>
      <c r="O75" s="71">
        <f t="shared" si="6"/>
        <v>5.2994075649399965</v>
      </c>
      <c r="P75" s="71">
        <f t="shared" si="7"/>
        <v>7.6902627981163603</v>
      </c>
    </row>
    <row r="76" spans="1:16" ht="13.5" thickBot="1" x14ac:dyDescent="0.25">
      <c r="A76" s="2" t="s">
        <v>184</v>
      </c>
      <c r="B76" s="72" t="s">
        <v>61</v>
      </c>
      <c r="C76" s="2" t="s">
        <v>24</v>
      </c>
      <c r="D76" s="4">
        <v>5379</v>
      </c>
      <c r="E76" s="4">
        <v>23143</v>
      </c>
      <c r="F76" s="4">
        <v>2447</v>
      </c>
      <c r="G76" s="4">
        <v>2402</v>
      </c>
      <c r="H76" s="4">
        <v>54</v>
      </c>
      <c r="I76" s="4">
        <v>4</v>
      </c>
      <c r="J76" s="4">
        <v>6742</v>
      </c>
      <c r="K76" s="4">
        <v>2424</v>
      </c>
      <c r="L76" s="4">
        <v>0</v>
      </c>
      <c r="M76" s="4">
        <f t="shared" si="4"/>
        <v>37216</v>
      </c>
      <c r="N76" s="71">
        <f t="shared" si="5"/>
        <v>1.7047778397471649</v>
      </c>
      <c r="O76" s="71">
        <f t="shared" si="6"/>
        <v>5.2039412530210072</v>
      </c>
      <c r="P76" s="71">
        <f t="shared" si="7"/>
        <v>6.9187581334820596</v>
      </c>
    </row>
    <row r="77" spans="1:16" ht="13.5" thickBot="1" x14ac:dyDescent="0.25">
      <c r="A77" s="2" t="s">
        <v>186</v>
      </c>
      <c r="B77" s="72" t="s">
        <v>65</v>
      </c>
      <c r="C77" s="2" t="s">
        <v>24</v>
      </c>
      <c r="D77" s="4">
        <v>4265</v>
      </c>
      <c r="E77" s="4">
        <v>8863</v>
      </c>
      <c r="F77" s="4">
        <v>360</v>
      </c>
      <c r="G77" s="4">
        <v>2</v>
      </c>
      <c r="H77" s="4">
        <v>16</v>
      </c>
      <c r="I77" s="4">
        <v>0</v>
      </c>
      <c r="J77" s="4">
        <v>0</v>
      </c>
      <c r="K77" s="4">
        <v>0</v>
      </c>
      <c r="L77" s="4">
        <v>0</v>
      </c>
      <c r="M77" s="4">
        <f t="shared" si="4"/>
        <v>9241</v>
      </c>
      <c r="N77" s="71">
        <f t="shared" si="5"/>
        <v>0</v>
      </c>
      <c r="O77" s="71">
        <f t="shared" si="6"/>
        <v>2.1629542790152403</v>
      </c>
      <c r="P77" s="71">
        <f t="shared" si="7"/>
        <v>2.1667057444314186</v>
      </c>
    </row>
    <row r="78" spans="1:16" ht="13.5" thickBot="1" x14ac:dyDescent="0.25">
      <c r="A78" s="2" t="s">
        <v>188</v>
      </c>
      <c r="B78" s="72" t="s">
        <v>77</v>
      </c>
      <c r="C78" s="2" t="s">
        <v>24</v>
      </c>
      <c r="D78" s="4">
        <v>6621</v>
      </c>
      <c r="E78" s="4">
        <v>31184</v>
      </c>
      <c r="F78" s="4">
        <v>3262</v>
      </c>
      <c r="G78" s="4">
        <v>4462</v>
      </c>
      <c r="H78" s="4">
        <v>81</v>
      </c>
      <c r="I78" s="4">
        <v>6</v>
      </c>
      <c r="J78" s="4">
        <v>12230</v>
      </c>
      <c r="K78" s="4">
        <v>3415</v>
      </c>
      <c r="L78" s="4">
        <v>0</v>
      </c>
      <c r="M78" s="4">
        <f t="shared" si="4"/>
        <v>54640</v>
      </c>
      <c r="N78" s="71">
        <f t="shared" si="5"/>
        <v>2.3638423198912553</v>
      </c>
      <c r="O78" s="71">
        <f t="shared" si="6"/>
        <v>5.8764537078991088</v>
      </c>
      <c r="P78" s="71">
        <f t="shared" si="7"/>
        <v>8.2525298293309159</v>
      </c>
    </row>
    <row r="79" spans="1:16" ht="13.5" thickBot="1" x14ac:dyDescent="0.25">
      <c r="A79" s="2" t="s">
        <v>190</v>
      </c>
      <c r="B79" s="72" t="s">
        <v>81</v>
      </c>
      <c r="C79" s="2" t="s">
        <v>24</v>
      </c>
      <c r="D79" s="4">
        <v>4075</v>
      </c>
      <c r="E79" s="4">
        <v>27523</v>
      </c>
      <c r="F79" s="4">
        <v>1128</v>
      </c>
      <c r="G79" s="4">
        <v>1464</v>
      </c>
      <c r="H79" s="4">
        <v>36</v>
      </c>
      <c r="I79" s="4">
        <v>0</v>
      </c>
      <c r="J79" s="4">
        <v>15746</v>
      </c>
      <c r="K79" s="4">
        <v>3566</v>
      </c>
      <c r="L79" s="4">
        <v>199</v>
      </c>
      <c r="M79" s="4">
        <f t="shared" si="4"/>
        <v>49662</v>
      </c>
      <c r="N79" s="71">
        <f t="shared" si="5"/>
        <v>4.7879754601226994</v>
      </c>
      <c r="O79" s="71">
        <f t="shared" si="6"/>
        <v>7.390184049079755</v>
      </c>
      <c r="P79" s="71">
        <f t="shared" si="7"/>
        <v>12.186993865030676</v>
      </c>
    </row>
    <row r="80" spans="1:16" ht="13.5" thickBot="1" x14ac:dyDescent="0.25">
      <c r="A80" s="2" t="s">
        <v>192</v>
      </c>
      <c r="B80" s="72" t="s">
        <v>105</v>
      </c>
      <c r="C80" s="2" t="s">
        <v>24</v>
      </c>
      <c r="D80" s="4">
        <v>5414</v>
      </c>
      <c r="E80" s="4">
        <v>11372</v>
      </c>
      <c r="F80" s="4">
        <v>595</v>
      </c>
      <c r="G80" s="4">
        <v>966</v>
      </c>
      <c r="H80" s="4">
        <v>60</v>
      </c>
      <c r="I80" s="4">
        <v>0</v>
      </c>
      <c r="J80" s="4">
        <v>8520</v>
      </c>
      <c r="K80" s="4">
        <v>3374</v>
      </c>
      <c r="L80" s="4">
        <v>285</v>
      </c>
      <c r="M80" s="4">
        <f t="shared" si="4"/>
        <v>25172</v>
      </c>
      <c r="N80" s="71">
        <f t="shared" si="5"/>
        <v>2.24953823420761</v>
      </c>
      <c r="O80" s="71">
        <f t="shared" si="6"/>
        <v>2.3888067971924638</v>
      </c>
      <c r="P80" s="71">
        <f t="shared" si="7"/>
        <v>4.6494274104174362</v>
      </c>
    </row>
    <row r="81" spans="1:16" ht="13.5" thickBot="1" x14ac:dyDescent="0.25">
      <c r="A81" s="2" t="s">
        <v>194</v>
      </c>
      <c r="B81" s="72" t="s">
        <v>125</v>
      </c>
      <c r="C81" s="2" t="s">
        <v>24</v>
      </c>
      <c r="D81" s="4">
        <v>6296</v>
      </c>
      <c r="E81" s="4">
        <v>30708</v>
      </c>
      <c r="F81" s="4">
        <v>1343</v>
      </c>
      <c r="G81" s="4">
        <v>2247</v>
      </c>
      <c r="H81" s="4">
        <v>77</v>
      </c>
      <c r="I81" s="4">
        <v>2</v>
      </c>
      <c r="J81" s="4">
        <v>12686</v>
      </c>
      <c r="K81" s="4">
        <v>3051</v>
      </c>
      <c r="L81" s="4">
        <v>368</v>
      </c>
      <c r="M81" s="4">
        <f t="shared" si="4"/>
        <v>50482</v>
      </c>
      <c r="N81" s="71">
        <f t="shared" si="5"/>
        <v>2.5582909783989836</v>
      </c>
      <c r="O81" s="71">
        <f t="shared" si="6"/>
        <v>5.4475857687420586</v>
      </c>
      <c r="P81" s="71">
        <f t="shared" si="7"/>
        <v>8.0181067344345625</v>
      </c>
    </row>
    <row r="82" spans="1:16" ht="13.5" thickBot="1" x14ac:dyDescent="0.25">
      <c r="A82" s="2" t="s">
        <v>196</v>
      </c>
      <c r="B82" s="72" t="s">
        <v>131</v>
      </c>
      <c r="C82" s="2" t="s">
        <v>24</v>
      </c>
      <c r="D82" s="4">
        <v>4005</v>
      </c>
      <c r="E82" s="4">
        <v>14360</v>
      </c>
      <c r="F82" s="4">
        <v>348</v>
      </c>
      <c r="G82" s="4">
        <v>203</v>
      </c>
      <c r="H82" s="4">
        <v>37</v>
      </c>
      <c r="I82" s="4">
        <v>0</v>
      </c>
      <c r="J82" s="4">
        <v>0</v>
      </c>
      <c r="K82" s="4">
        <v>0</v>
      </c>
      <c r="L82" s="4">
        <v>0</v>
      </c>
      <c r="M82" s="4">
        <f t="shared" si="4"/>
        <v>14948</v>
      </c>
      <c r="N82" s="71">
        <f t="shared" si="5"/>
        <v>0</v>
      </c>
      <c r="O82" s="71">
        <f t="shared" si="6"/>
        <v>3.7230961298377028</v>
      </c>
      <c r="P82" s="71">
        <f t="shared" si="7"/>
        <v>3.732334581772784</v>
      </c>
    </row>
    <row r="83" spans="1:16" ht="13.5" thickBot="1" x14ac:dyDescent="0.25">
      <c r="A83" s="2" t="s">
        <v>198</v>
      </c>
      <c r="B83" s="72" t="s">
        <v>145</v>
      </c>
      <c r="C83" s="2" t="s">
        <v>24</v>
      </c>
      <c r="D83" s="4">
        <v>4191</v>
      </c>
      <c r="E83" s="4">
        <v>11663</v>
      </c>
      <c r="F83" s="4">
        <v>659</v>
      </c>
      <c r="G83" s="4">
        <v>1525</v>
      </c>
      <c r="H83" s="4">
        <v>38</v>
      </c>
      <c r="I83" s="4">
        <v>3</v>
      </c>
      <c r="J83" s="4">
        <v>9999</v>
      </c>
      <c r="K83" s="4">
        <v>2761</v>
      </c>
      <c r="L83" s="4">
        <v>0</v>
      </c>
      <c r="M83" s="4">
        <f t="shared" si="4"/>
        <v>26648</v>
      </c>
      <c r="N83" s="71">
        <f t="shared" si="5"/>
        <v>3.0453352421856357</v>
      </c>
      <c r="O83" s="71">
        <f t="shared" si="6"/>
        <v>3.3039847291815794</v>
      </c>
      <c r="P83" s="71">
        <f t="shared" si="7"/>
        <v>6.3583870198043426</v>
      </c>
    </row>
    <row r="84" spans="1:16" ht="13.5" thickBot="1" x14ac:dyDescent="0.25">
      <c r="A84" s="2" t="s">
        <v>200</v>
      </c>
      <c r="B84" s="72" t="s">
        <v>187</v>
      </c>
      <c r="C84" s="2" t="s">
        <v>24</v>
      </c>
      <c r="D84" s="4">
        <v>4622</v>
      </c>
      <c r="E84" s="4">
        <v>26341</v>
      </c>
      <c r="F84" s="4">
        <v>493</v>
      </c>
      <c r="G84" s="4">
        <v>1535</v>
      </c>
      <c r="H84" s="4">
        <v>33</v>
      </c>
      <c r="I84" s="4">
        <v>0</v>
      </c>
      <c r="J84" s="4">
        <v>10260</v>
      </c>
      <c r="K84" s="4">
        <v>1126</v>
      </c>
      <c r="L84" s="4">
        <v>0</v>
      </c>
      <c r="M84" s="4">
        <f t="shared" si="4"/>
        <v>39788</v>
      </c>
      <c r="N84" s="71">
        <f t="shared" si="5"/>
        <v>2.4634357421029858</v>
      </c>
      <c r="O84" s="71">
        <f t="shared" si="6"/>
        <v>6.1378191259195152</v>
      </c>
      <c r="P84" s="71">
        <f t="shared" si="7"/>
        <v>8.6083946343574205</v>
      </c>
    </row>
    <row r="85" spans="1:16" ht="13.5" thickBot="1" x14ac:dyDescent="0.25">
      <c r="A85" s="2" t="s">
        <v>202</v>
      </c>
      <c r="B85" s="72" t="s">
        <v>201</v>
      </c>
      <c r="C85" s="2" t="s">
        <v>24</v>
      </c>
      <c r="D85" s="4">
        <v>4986</v>
      </c>
      <c r="E85" s="4">
        <v>19374</v>
      </c>
      <c r="F85" s="4">
        <v>532</v>
      </c>
      <c r="G85" s="4">
        <v>1670</v>
      </c>
      <c r="H85" s="4">
        <v>42</v>
      </c>
      <c r="I85" s="4">
        <v>1</v>
      </c>
      <c r="J85" s="4">
        <v>8581</v>
      </c>
      <c r="K85" s="4">
        <v>1861</v>
      </c>
      <c r="L85" s="4">
        <v>0</v>
      </c>
      <c r="M85" s="4">
        <f t="shared" si="4"/>
        <v>32061</v>
      </c>
      <c r="N85" s="71">
        <f t="shared" si="5"/>
        <v>2.0944645006016849</v>
      </c>
      <c r="O85" s="71">
        <f t="shared" si="6"/>
        <v>4.3273164861612514</v>
      </c>
      <c r="P85" s="71">
        <f t="shared" si="7"/>
        <v>6.4302045728038504</v>
      </c>
    </row>
    <row r="86" spans="1:16" ht="13.5" thickBot="1" x14ac:dyDescent="0.25">
      <c r="A86" s="2" t="s">
        <v>204</v>
      </c>
      <c r="B86" s="72" t="s">
        <v>224</v>
      </c>
      <c r="C86" s="2" t="s">
        <v>24</v>
      </c>
      <c r="D86" s="4">
        <v>4514</v>
      </c>
      <c r="E86" s="4">
        <v>10274</v>
      </c>
      <c r="F86" s="4">
        <v>315</v>
      </c>
      <c r="G86" s="4">
        <v>524</v>
      </c>
      <c r="H86" s="4">
        <v>27</v>
      </c>
      <c r="I86" s="4">
        <v>2</v>
      </c>
      <c r="J86" s="4">
        <v>0</v>
      </c>
      <c r="K86" s="4">
        <v>0</v>
      </c>
      <c r="L86" s="4">
        <v>0</v>
      </c>
      <c r="M86" s="4">
        <f t="shared" si="4"/>
        <v>11142</v>
      </c>
      <c r="N86" s="71">
        <f t="shared" si="5"/>
        <v>4.4306601683650863E-4</v>
      </c>
      <c r="O86" s="71">
        <f t="shared" si="6"/>
        <v>2.4618963225520605</v>
      </c>
      <c r="P86" s="71">
        <f t="shared" si="7"/>
        <v>2.4683207797961897</v>
      </c>
    </row>
    <row r="87" spans="1:16" ht="13.5" thickBot="1" x14ac:dyDescent="0.25">
      <c r="A87" s="2" t="s">
        <v>206</v>
      </c>
      <c r="B87" s="72" t="s">
        <v>240</v>
      </c>
      <c r="C87" s="2" t="s">
        <v>24</v>
      </c>
      <c r="D87" s="4">
        <v>6838</v>
      </c>
      <c r="E87" s="4">
        <v>13623</v>
      </c>
      <c r="F87" s="4">
        <v>501</v>
      </c>
      <c r="G87" s="4">
        <v>427</v>
      </c>
      <c r="H87" s="4">
        <v>50</v>
      </c>
      <c r="I87" s="4">
        <v>2</v>
      </c>
      <c r="J87" s="4">
        <v>16561</v>
      </c>
      <c r="K87" s="4">
        <v>0</v>
      </c>
      <c r="L87" s="4">
        <v>0</v>
      </c>
      <c r="M87" s="4">
        <f t="shared" si="4"/>
        <v>31164</v>
      </c>
      <c r="N87" s="71">
        <f t="shared" si="5"/>
        <v>2.4221994735302719</v>
      </c>
      <c r="O87" s="71">
        <f t="shared" si="6"/>
        <v>2.1279613922199472</v>
      </c>
      <c r="P87" s="71">
        <f t="shared" si="7"/>
        <v>4.5574729453056451</v>
      </c>
    </row>
    <row r="88" spans="1:16" ht="13.5" thickBot="1" x14ac:dyDescent="0.25">
      <c r="A88" s="2" t="s">
        <v>208</v>
      </c>
      <c r="B88" s="72" t="s">
        <v>246</v>
      </c>
      <c r="C88" s="2" t="s">
        <v>24</v>
      </c>
      <c r="D88" s="4">
        <v>4869</v>
      </c>
      <c r="E88" s="4">
        <v>16618</v>
      </c>
      <c r="F88" s="4">
        <v>563</v>
      </c>
      <c r="G88" s="4">
        <v>469</v>
      </c>
      <c r="H88" s="4">
        <v>21</v>
      </c>
      <c r="I88" s="4">
        <v>0</v>
      </c>
      <c r="J88" s="4">
        <v>39422</v>
      </c>
      <c r="K88" s="4">
        <v>0</v>
      </c>
      <c r="L88" s="4">
        <v>0</v>
      </c>
      <c r="M88" s="4">
        <f t="shared" si="4"/>
        <v>57093</v>
      </c>
      <c r="N88" s="71">
        <f t="shared" si="5"/>
        <v>8.0965290614089138</v>
      </c>
      <c r="O88" s="71">
        <f t="shared" si="6"/>
        <v>3.6249743273772848</v>
      </c>
      <c r="P88" s="71">
        <f t="shared" si="7"/>
        <v>11.725816389402341</v>
      </c>
    </row>
    <row r="89" spans="1:16" ht="13.5" thickBot="1" x14ac:dyDescent="0.25">
      <c r="A89" s="2" t="s">
        <v>210</v>
      </c>
      <c r="B89" s="72" t="s">
        <v>248</v>
      </c>
      <c r="C89" s="2" t="s">
        <v>24</v>
      </c>
      <c r="D89" s="4">
        <v>4768</v>
      </c>
      <c r="E89" s="4">
        <v>24699</v>
      </c>
      <c r="F89" s="4">
        <v>1421</v>
      </c>
      <c r="G89" s="4">
        <v>1094</v>
      </c>
      <c r="H89" s="4">
        <v>72</v>
      </c>
      <c r="I89" s="4">
        <v>1</v>
      </c>
      <c r="J89" s="4">
        <v>12811</v>
      </c>
      <c r="K89" s="4">
        <v>1614</v>
      </c>
      <c r="L89" s="4">
        <v>0</v>
      </c>
      <c r="M89" s="4">
        <f t="shared" si="4"/>
        <v>41712</v>
      </c>
      <c r="N89" s="71">
        <f t="shared" si="5"/>
        <v>3.0255872483221475</v>
      </c>
      <c r="O89" s="71">
        <f t="shared" si="6"/>
        <v>5.7076342281879198</v>
      </c>
      <c r="P89" s="71">
        <f t="shared" si="7"/>
        <v>8.748322147651006</v>
      </c>
    </row>
    <row r="90" spans="1:16" ht="13.5" thickBot="1" x14ac:dyDescent="0.25">
      <c r="A90" s="2" t="s">
        <v>212</v>
      </c>
      <c r="B90" s="72" t="s">
        <v>262</v>
      </c>
      <c r="C90" s="2" t="s">
        <v>24</v>
      </c>
      <c r="D90" s="4">
        <v>5432</v>
      </c>
      <c r="E90" s="4">
        <v>16945</v>
      </c>
      <c r="F90" s="4">
        <v>1106</v>
      </c>
      <c r="G90" s="4">
        <v>1819</v>
      </c>
      <c r="H90" s="4">
        <v>62</v>
      </c>
      <c r="I90" s="4">
        <v>0</v>
      </c>
      <c r="J90" s="4">
        <v>17389</v>
      </c>
      <c r="K90" s="4">
        <v>0</v>
      </c>
      <c r="L90" s="4">
        <v>0</v>
      </c>
      <c r="M90" s="4">
        <f t="shared" si="4"/>
        <v>37321</v>
      </c>
      <c r="N90" s="71">
        <f t="shared" si="5"/>
        <v>3.2012150220913109</v>
      </c>
      <c r="O90" s="71">
        <f t="shared" si="6"/>
        <v>3.6579528718703975</v>
      </c>
      <c r="P90" s="71">
        <f t="shared" si="7"/>
        <v>6.8705817378497791</v>
      </c>
    </row>
    <row r="91" spans="1:16" ht="13.5" thickBot="1" x14ac:dyDescent="0.25">
      <c r="A91" s="2" t="s">
        <v>214</v>
      </c>
      <c r="B91" s="72" t="s">
        <v>292</v>
      </c>
      <c r="C91" s="2" t="s">
        <v>24</v>
      </c>
      <c r="D91" s="4">
        <v>6164</v>
      </c>
      <c r="E91" s="4">
        <v>16578</v>
      </c>
      <c r="F91" s="4">
        <v>817</v>
      </c>
      <c r="G91" s="4">
        <v>1561</v>
      </c>
      <c r="H91" s="4">
        <v>25</v>
      </c>
      <c r="I91" s="4">
        <v>0</v>
      </c>
      <c r="J91" s="4">
        <v>8331</v>
      </c>
      <c r="K91" s="4">
        <v>3341</v>
      </c>
      <c r="L91" s="4">
        <v>285</v>
      </c>
      <c r="M91" s="4">
        <f t="shared" si="4"/>
        <v>30938</v>
      </c>
      <c r="N91" s="71">
        <f t="shared" si="5"/>
        <v>1.9398118105126541</v>
      </c>
      <c r="O91" s="71">
        <f t="shared" si="6"/>
        <v>3.0752757949383516</v>
      </c>
      <c r="P91" s="71">
        <f t="shared" si="7"/>
        <v>5.0191434133679431</v>
      </c>
    </row>
    <row r="92" spans="1:16" ht="13.5" thickBot="1" x14ac:dyDescent="0.25">
      <c r="A92" s="2" t="s">
        <v>216</v>
      </c>
      <c r="B92" s="72" t="s">
        <v>302</v>
      </c>
      <c r="C92" s="2" t="s">
        <v>24</v>
      </c>
      <c r="D92" s="4">
        <v>5641</v>
      </c>
      <c r="E92" s="4">
        <v>17100</v>
      </c>
      <c r="F92" s="4">
        <v>946</v>
      </c>
      <c r="G92" s="4">
        <v>2079</v>
      </c>
      <c r="H92" s="4">
        <v>13</v>
      </c>
      <c r="I92" s="4">
        <v>0</v>
      </c>
      <c r="J92" s="4">
        <v>7363</v>
      </c>
      <c r="K92" s="4">
        <v>2929</v>
      </c>
      <c r="L92" s="4">
        <v>0</v>
      </c>
      <c r="M92" s="4">
        <f t="shared" si="4"/>
        <v>30430</v>
      </c>
      <c r="N92" s="71">
        <f t="shared" si="5"/>
        <v>1.8244992022691011</v>
      </c>
      <c r="O92" s="71">
        <f t="shared" si="6"/>
        <v>3.5676298528629675</v>
      </c>
      <c r="P92" s="71">
        <f t="shared" si="7"/>
        <v>5.394433611061868</v>
      </c>
    </row>
    <row r="93" spans="1:16" ht="13.5" thickBot="1" x14ac:dyDescent="0.25">
      <c r="A93" s="2" t="s">
        <v>219</v>
      </c>
      <c r="B93" s="72" t="s">
        <v>346</v>
      </c>
      <c r="C93" s="2" t="s">
        <v>24</v>
      </c>
      <c r="D93" s="4">
        <v>6831</v>
      </c>
      <c r="E93" s="4">
        <v>18687</v>
      </c>
      <c r="F93" s="4">
        <v>26</v>
      </c>
      <c r="G93" s="4">
        <v>58</v>
      </c>
      <c r="H93" s="4">
        <v>27</v>
      </c>
      <c r="I93" s="4">
        <v>0</v>
      </c>
      <c r="J93" s="4">
        <v>8520</v>
      </c>
      <c r="K93" s="4">
        <v>3374</v>
      </c>
      <c r="L93" s="4">
        <v>285</v>
      </c>
      <c r="M93" s="4">
        <f t="shared" si="4"/>
        <v>30977</v>
      </c>
      <c r="N93" s="71">
        <f t="shared" si="5"/>
        <v>1.7829014785536526</v>
      </c>
      <c r="O93" s="71">
        <f t="shared" si="6"/>
        <v>2.7479139218269655</v>
      </c>
      <c r="P93" s="71">
        <f t="shared" si="7"/>
        <v>4.534767969550578</v>
      </c>
    </row>
    <row r="94" spans="1:16" ht="13.5" thickBot="1" x14ac:dyDescent="0.25">
      <c r="A94" s="2" t="s">
        <v>221</v>
      </c>
      <c r="B94" s="72" t="s">
        <v>348</v>
      </c>
      <c r="C94" s="2" t="s">
        <v>24</v>
      </c>
      <c r="D94" s="4">
        <v>6119</v>
      </c>
      <c r="E94" s="4">
        <v>18392</v>
      </c>
      <c r="F94" s="4">
        <v>1489</v>
      </c>
      <c r="G94" s="4">
        <v>2444</v>
      </c>
      <c r="H94" s="4">
        <v>45</v>
      </c>
      <c r="I94" s="4">
        <v>2</v>
      </c>
      <c r="J94" s="4">
        <v>7718</v>
      </c>
      <c r="K94" s="4">
        <v>3184</v>
      </c>
      <c r="L94" s="4">
        <v>0</v>
      </c>
      <c r="M94" s="4">
        <f t="shared" si="4"/>
        <v>33274</v>
      </c>
      <c r="N94" s="71">
        <f t="shared" si="5"/>
        <v>1.7819905213270142</v>
      </c>
      <c r="O94" s="71">
        <f t="shared" si="6"/>
        <v>3.6484719725445336</v>
      </c>
      <c r="P94" s="71">
        <f t="shared" si="7"/>
        <v>5.4378166367053442</v>
      </c>
    </row>
    <row r="95" spans="1:16" ht="13.5" thickBot="1" x14ac:dyDescent="0.25">
      <c r="A95" s="2" t="s">
        <v>223</v>
      </c>
      <c r="B95" s="72" t="s">
        <v>358</v>
      </c>
      <c r="C95" s="2" t="s">
        <v>24</v>
      </c>
      <c r="D95" s="4">
        <v>6582</v>
      </c>
      <c r="E95" s="4">
        <v>56000</v>
      </c>
      <c r="F95" s="4">
        <v>1200</v>
      </c>
      <c r="G95" s="4">
        <v>1400</v>
      </c>
      <c r="H95" s="4">
        <v>23</v>
      </c>
      <c r="I95" s="4">
        <v>1</v>
      </c>
      <c r="J95" s="4">
        <v>175</v>
      </c>
      <c r="K95" s="4">
        <v>0</v>
      </c>
      <c r="L95" s="4">
        <v>0</v>
      </c>
      <c r="M95" s="4">
        <f t="shared" si="4"/>
        <v>58799</v>
      </c>
      <c r="N95" s="71">
        <f t="shared" si="5"/>
        <v>2.6739592828927378E-2</v>
      </c>
      <c r="O95" s="71">
        <f t="shared" si="6"/>
        <v>8.9030689759951382</v>
      </c>
      <c r="P95" s="71">
        <f t="shared" si="7"/>
        <v>8.9333029474323915</v>
      </c>
    </row>
    <row r="96" spans="1:16" ht="13.5" thickBot="1" x14ac:dyDescent="0.25">
      <c r="A96" s="2" t="s">
        <v>225</v>
      </c>
      <c r="B96" s="72" t="s">
        <v>368</v>
      </c>
      <c r="C96" s="2" t="s">
        <v>24</v>
      </c>
      <c r="D96" s="4">
        <v>5933</v>
      </c>
      <c r="E96" s="4">
        <v>26723</v>
      </c>
      <c r="F96" s="4">
        <v>1539</v>
      </c>
      <c r="G96" s="4">
        <v>1268</v>
      </c>
      <c r="H96" s="4">
        <v>20</v>
      </c>
      <c r="I96" s="4">
        <v>4</v>
      </c>
      <c r="J96" s="4">
        <v>7364</v>
      </c>
      <c r="K96" s="4">
        <v>2929</v>
      </c>
      <c r="L96" s="4">
        <v>0</v>
      </c>
      <c r="M96" s="4">
        <f t="shared" si="4"/>
        <v>39847</v>
      </c>
      <c r="N96" s="71">
        <f t="shared" si="5"/>
        <v>1.7355469408393731</v>
      </c>
      <c r="O96" s="71">
        <f t="shared" si="6"/>
        <v>4.9772459126917239</v>
      </c>
      <c r="P96" s="71">
        <f t="shared" si="7"/>
        <v>6.7161638294286199</v>
      </c>
    </row>
    <row r="97" spans="1:16" ht="13.5" thickBot="1" x14ac:dyDescent="0.25">
      <c r="A97" s="2" t="s">
        <v>227</v>
      </c>
      <c r="B97" s="72" t="s">
        <v>376</v>
      </c>
      <c r="C97" s="2" t="s">
        <v>24</v>
      </c>
      <c r="D97" s="4">
        <v>4220</v>
      </c>
      <c r="E97" s="4">
        <v>16190</v>
      </c>
      <c r="F97" s="4">
        <v>688</v>
      </c>
      <c r="G97" s="4">
        <v>1094</v>
      </c>
      <c r="H97" s="4">
        <v>19</v>
      </c>
      <c r="I97" s="4">
        <v>0</v>
      </c>
      <c r="J97" s="4">
        <v>7364</v>
      </c>
      <c r="K97" s="4">
        <v>2942</v>
      </c>
      <c r="L97" s="4">
        <v>1</v>
      </c>
      <c r="M97" s="4">
        <f t="shared" si="4"/>
        <v>28298</v>
      </c>
      <c r="N97" s="71">
        <f t="shared" si="5"/>
        <v>2.4424170616113745</v>
      </c>
      <c r="O97" s="71">
        <f t="shared" si="6"/>
        <v>4.258767772511848</v>
      </c>
      <c r="P97" s="71">
        <f t="shared" si="7"/>
        <v>6.7056872037914692</v>
      </c>
    </row>
    <row r="98" spans="1:16" ht="13.5" thickBot="1" x14ac:dyDescent="0.25">
      <c r="A98" s="2" t="s">
        <v>229</v>
      </c>
      <c r="B98" s="72" t="s">
        <v>380</v>
      </c>
      <c r="C98" s="2" t="s">
        <v>24</v>
      </c>
      <c r="D98" s="4">
        <v>4610</v>
      </c>
      <c r="E98" s="4">
        <v>25423</v>
      </c>
      <c r="F98" s="4">
        <v>483</v>
      </c>
      <c r="G98" s="4">
        <v>603</v>
      </c>
      <c r="H98" s="4">
        <v>20</v>
      </c>
      <c r="I98" s="4">
        <v>3</v>
      </c>
      <c r="J98" s="4">
        <v>17694</v>
      </c>
      <c r="K98" s="4">
        <v>383</v>
      </c>
      <c r="L98" s="4">
        <v>0</v>
      </c>
      <c r="M98" s="4">
        <f t="shared" si="4"/>
        <v>44609</v>
      </c>
      <c r="N98" s="71">
        <f t="shared" si="5"/>
        <v>3.9219088937093276</v>
      </c>
      <c r="O98" s="71">
        <f t="shared" si="6"/>
        <v>5.7503253796095448</v>
      </c>
      <c r="P98" s="71">
        <f t="shared" si="7"/>
        <v>9.676572668112799</v>
      </c>
    </row>
    <row r="99" spans="1:16" ht="13.5" thickBot="1" x14ac:dyDescent="0.25">
      <c r="A99" s="2" t="s">
        <v>231</v>
      </c>
      <c r="B99" s="72" t="s">
        <v>386</v>
      </c>
      <c r="C99" s="2" t="s">
        <v>24</v>
      </c>
      <c r="D99" s="4">
        <v>5531</v>
      </c>
      <c r="E99" s="4">
        <v>19087</v>
      </c>
      <c r="F99" s="4">
        <v>1851</v>
      </c>
      <c r="G99" s="4">
        <v>1522</v>
      </c>
      <c r="H99" s="4">
        <v>0</v>
      </c>
      <c r="I99" s="4">
        <v>0</v>
      </c>
      <c r="J99" s="4">
        <v>5806</v>
      </c>
      <c r="K99" s="4">
        <v>2631</v>
      </c>
      <c r="L99" s="4">
        <v>0</v>
      </c>
      <c r="M99" s="4">
        <f t="shared" si="4"/>
        <v>30897</v>
      </c>
      <c r="N99" s="71">
        <f t="shared" si="5"/>
        <v>1.5254022780690653</v>
      </c>
      <c r="O99" s="71">
        <f t="shared" si="6"/>
        <v>4.0607485084071593</v>
      </c>
      <c r="P99" s="71">
        <f t="shared" si="7"/>
        <v>5.5861507864762245</v>
      </c>
    </row>
    <row r="100" spans="1:16" ht="13.5" thickBot="1" x14ac:dyDescent="0.25">
      <c r="A100" s="2" t="s">
        <v>233</v>
      </c>
      <c r="B100" s="72" t="s">
        <v>390</v>
      </c>
      <c r="C100" s="2" t="s">
        <v>24</v>
      </c>
      <c r="D100" s="4">
        <v>5107</v>
      </c>
      <c r="E100" s="4">
        <v>39377</v>
      </c>
      <c r="F100" s="4">
        <v>596</v>
      </c>
      <c r="G100" s="4">
        <v>857</v>
      </c>
      <c r="H100" s="4">
        <v>36</v>
      </c>
      <c r="I100" s="4">
        <v>1</v>
      </c>
      <c r="J100" s="4">
        <v>13131</v>
      </c>
      <c r="K100" s="4">
        <v>2781</v>
      </c>
      <c r="L100" s="4">
        <v>0</v>
      </c>
      <c r="M100" s="4">
        <f t="shared" si="4"/>
        <v>56779</v>
      </c>
      <c r="N100" s="71">
        <f t="shared" si="5"/>
        <v>3.1159193264147249</v>
      </c>
      <c r="O100" s="71">
        <f t="shared" si="6"/>
        <v>7.9949089485020561</v>
      </c>
      <c r="P100" s="71">
        <f t="shared" si="7"/>
        <v>11.117877423144703</v>
      </c>
    </row>
    <row r="101" spans="1:16" ht="13.5" thickBot="1" x14ac:dyDescent="0.25">
      <c r="A101" s="2" t="s">
        <v>235</v>
      </c>
      <c r="B101" s="72" t="s">
        <v>396</v>
      </c>
      <c r="C101" s="2" t="s">
        <v>24</v>
      </c>
      <c r="D101" s="4">
        <v>5784</v>
      </c>
      <c r="E101" s="4">
        <v>26838</v>
      </c>
      <c r="F101" s="4">
        <v>2374</v>
      </c>
      <c r="G101" s="4">
        <v>2026</v>
      </c>
      <c r="H101" s="4">
        <v>61</v>
      </c>
      <c r="I101" s="4">
        <v>0</v>
      </c>
      <c r="J101" s="4">
        <v>0</v>
      </c>
      <c r="K101" s="4">
        <v>0</v>
      </c>
      <c r="L101" s="4">
        <v>0</v>
      </c>
      <c r="M101" s="4">
        <f t="shared" si="4"/>
        <v>31299</v>
      </c>
      <c r="N101" s="71">
        <f t="shared" si="5"/>
        <v>0</v>
      </c>
      <c r="O101" s="71">
        <f t="shared" si="6"/>
        <v>5.4007607192254499</v>
      </c>
      <c r="P101" s="71">
        <f t="shared" si="7"/>
        <v>5.4113070539419086</v>
      </c>
    </row>
    <row r="102" spans="1:16" ht="13.5" thickBot="1" x14ac:dyDescent="0.25">
      <c r="A102" s="2" t="s">
        <v>237</v>
      </c>
      <c r="B102" s="72" t="s">
        <v>402</v>
      </c>
      <c r="C102" s="2" t="s">
        <v>24</v>
      </c>
      <c r="D102" s="4">
        <v>5713</v>
      </c>
      <c r="E102" s="4">
        <v>29435</v>
      </c>
      <c r="F102" s="4">
        <v>1032</v>
      </c>
      <c r="G102" s="4">
        <v>1282</v>
      </c>
      <c r="H102" s="4">
        <v>29</v>
      </c>
      <c r="I102" s="4">
        <v>0</v>
      </c>
      <c r="J102" s="4">
        <v>8520</v>
      </c>
      <c r="K102" s="4">
        <v>3374</v>
      </c>
      <c r="L102" s="4">
        <v>285</v>
      </c>
      <c r="M102" s="4">
        <f t="shared" si="4"/>
        <v>43957</v>
      </c>
      <c r="N102" s="71">
        <f t="shared" si="5"/>
        <v>2.1318046560476107</v>
      </c>
      <c r="O102" s="71">
        <f t="shared" si="6"/>
        <v>5.5573253982145987</v>
      </c>
      <c r="P102" s="71">
        <f t="shared" si="7"/>
        <v>7.6942061963941883</v>
      </c>
    </row>
    <row r="103" spans="1:16" ht="13.5" thickBot="1" x14ac:dyDescent="0.25">
      <c r="A103" s="2" t="s">
        <v>239</v>
      </c>
      <c r="B103" s="72" t="s">
        <v>406</v>
      </c>
      <c r="C103" s="2" t="s">
        <v>24</v>
      </c>
      <c r="D103" s="4">
        <v>6443</v>
      </c>
      <c r="E103" s="4">
        <v>16215</v>
      </c>
      <c r="F103" s="4">
        <v>339</v>
      </c>
      <c r="G103" s="4">
        <v>888</v>
      </c>
      <c r="H103" s="4">
        <v>25</v>
      </c>
      <c r="I103" s="4">
        <v>0</v>
      </c>
      <c r="J103" s="4">
        <v>14439</v>
      </c>
      <c r="K103" s="4">
        <v>2779</v>
      </c>
      <c r="L103" s="4">
        <v>279</v>
      </c>
      <c r="M103" s="4">
        <f t="shared" si="4"/>
        <v>34964</v>
      </c>
      <c r="N103" s="71">
        <f t="shared" si="5"/>
        <v>2.715660406642868</v>
      </c>
      <c r="O103" s="71">
        <f t="shared" si="6"/>
        <v>2.7071240105540899</v>
      </c>
      <c r="P103" s="71">
        <f t="shared" si="7"/>
        <v>5.4266645972373118</v>
      </c>
    </row>
    <row r="104" spans="1:16" ht="13.5" thickBot="1" x14ac:dyDescent="0.25">
      <c r="A104" s="2" t="s">
        <v>241</v>
      </c>
      <c r="B104" s="72" t="s">
        <v>410</v>
      </c>
      <c r="C104" s="2" t="s">
        <v>24</v>
      </c>
      <c r="D104" s="4">
        <v>4080</v>
      </c>
      <c r="E104" s="4">
        <v>21762</v>
      </c>
      <c r="F104" s="4">
        <v>245</v>
      </c>
      <c r="G104" s="4">
        <v>2173</v>
      </c>
      <c r="H104" s="4">
        <v>5</v>
      </c>
      <c r="I104" s="4">
        <v>0</v>
      </c>
      <c r="J104" s="4">
        <v>12609</v>
      </c>
      <c r="K104" s="4">
        <v>3268</v>
      </c>
      <c r="L104" s="4">
        <v>0</v>
      </c>
      <c r="M104" s="4">
        <f t="shared" si="4"/>
        <v>40062</v>
      </c>
      <c r="N104" s="71">
        <f t="shared" si="5"/>
        <v>3.8914215686274511</v>
      </c>
      <c r="O104" s="71">
        <f t="shared" si="6"/>
        <v>5.9264705882352944</v>
      </c>
      <c r="P104" s="71">
        <f t="shared" si="7"/>
        <v>9.8191176470588228</v>
      </c>
    </row>
    <row r="105" spans="1:16" ht="13.5" thickBot="1" x14ac:dyDescent="0.25">
      <c r="A105" s="2" t="s">
        <v>243</v>
      </c>
      <c r="B105" s="72" t="s">
        <v>412</v>
      </c>
      <c r="C105" s="2" t="s">
        <v>24</v>
      </c>
      <c r="D105" s="4">
        <v>5210</v>
      </c>
      <c r="E105" s="4">
        <v>24784</v>
      </c>
      <c r="F105" s="4">
        <v>1715</v>
      </c>
      <c r="G105" s="4">
        <v>2567</v>
      </c>
      <c r="H105" s="4">
        <v>22</v>
      </c>
      <c r="I105" s="4">
        <v>1</v>
      </c>
      <c r="J105" s="4">
        <v>13569</v>
      </c>
      <c r="K105" s="4">
        <v>2992</v>
      </c>
      <c r="L105" s="4">
        <v>0</v>
      </c>
      <c r="M105" s="4">
        <f t="shared" si="4"/>
        <v>45650</v>
      </c>
      <c r="N105" s="71">
        <f t="shared" si="5"/>
        <v>3.1788867562380037</v>
      </c>
      <c r="O105" s="71">
        <f t="shared" si="6"/>
        <v>5.5788867562380036</v>
      </c>
      <c r="P105" s="71">
        <f t="shared" si="7"/>
        <v>8.7619961612284065</v>
      </c>
    </row>
    <row r="106" spans="1:16" ht="13.5" thickBot="1" x14ac:dyDescent="0.25">
      <c r="A106" s="2" t="s">
        <v>245</v>
      </c>
      <c r="B106" s="72" t="s">
        <v>414</v>
      </c>
      <c r="C106" s="2" t="s">
        <v>24</v>
      </c>
      <c r="D106" s="4">
        <v>6997</v>
      </c>
      <c r="E106" s="4">
        <v>34583</v>
      </c>
      <c r="F106" s="4">
        <v>2288</v>
      </c>
      <c r="G106" s="4">
        <v>2191</v>
      </c>
      <c r="H106" s="4">
        <v>101</v>
      </c>
      <c r="I106" s="4">
        <v>4</v>
      </c>
      <c r="J106" s="4">
        <v>26955</v>
      </c>
      <c r="K106" s="4">
        <v>1684</v>
      </c>
      <c r="L106" s="4">
        <v>134</v>
      </c>
      <c r="M106" s="4">
        <f t="shared" si="4"/>
        <v>67940</v>
      </c>
      <c r="N106" s="71">
        <f t="shared" si="5"/>
        <v>4.1127626125482353</v>
      </c>
      <c r="O106" s="71">
        <f t="shared" si="6"/>
        <v>5.5826782906960126</v>
      </c>
      <c r="P106" s="71">
        <f t="shared" si="7"/>
        <v>9.7098756609975698</v>
      </c>
    </row>
    <row r="107" spans="1:16" ht="13.5" thickBot="1" x14ac:dyDescent="0.25">
      <c r="A107" s="2" t="s">
        <v>247</v>
      </c>
      <c r="B107" s="72" t="s">
        <v>428</v>
      </c>
      <c r="C107" s="2" t="s">
        <v>24</v>
      </c>
      <c r="D107" s="4">
        <v>4168</v>
      </c>
      <c r="E107" s="4">
        <v>28926</v>
      </c>
      <c r="F107" s="4">
        <v>2260</v>
      </c>
      <c r="G107" s="4">
        <v>3598</v>
      </c>
      <c r="H107" s="4">
        <v>27</v>
      </c>
      <c r="I107" s="4">
        <v>1</v>
      </c>
      <c r="J107" s="4">
        <v>2852</v>
      </c>
      <c r="K107" s="4">
        <v>7143</v>
      </c>
      <c r="L107" s="4">
        <v>0</v>
      </c>
      <c r="M107" s="4">
        <f t="shared" si="4"/>
        <v>44807</v>
      </c>
      <c r="N107" s="71">
        <f t="shared" si="5"/>
        <v>2.3982725527831095</v>
      </c>
      <c r="O107" s="71">
        <f t="shared" si="6"/>
        <v>8.3454894433781188</v>
      </c>
      <c r="P107" s="71">
        <f t="shared" si="7"/>
        <v>10.750239923224568</v>
      </c>
    </row>
    <row r="108" spans="1:16" ht="13.5" thickBot="1" x14ac:dyDescent="0.25">
      <c r="A108" s="2" t="s">
        <v>249</v>
      </c>
      <c r="B108" s="72" t="s">
        <v>440</v>
      </c>
      <c r="C108" s="2" t="s">
        <v>24</v>
      </c>
      <c r="D108" s="4">
        <v>4934</v>
      </c>
      <c r="E108" s="4">
        <v>24597</v>
      </c>
      <c r="F108" s="4">
        <v>1905</v>
      </c>
      <c r="G108" s="4">
        <v>6042</v>
      </c>
      <c r="H108" s="4">
        <v>46</v>
      </c>
      <c r="I108" s="4">
        <v>0</v>
      </c>
      <c r="J108" s="4">
        <v>7182</v>
      </c>
      <c r="K108" s="4">
        <v>2874</v>
      </c>
      <c r="L108" s="4">
        <v>0</v>
      </c>
      <c r="M108" s="4">
        <f t="shared" si="4"/>
        <v>42646</v>
      </c>
      <c r="N108" s="71">
        <f t="shared" si="5"/>
        <v>2.0381029590595867</v>
      </c>
      <c r="O108" s="71">
        <f t="shared" si="6"/>
        <v>6.5958654235914063</v>
      </c>
      <c r="P108" s="71">
        <f t="shared" si="7"/>
        <v>8.6432914471017437</v>
      </c>
    </row>
    <row r="109" spans="1:16" ht="13.5" thickBot="1" x14ac:dyDescent="0.25">
      <c r="A109" s="2" t="s">
        <v>251</v>
      </c>
      <c r="B109" s="72" t="s">
        <v>442</v>
      </c>
      <c r="C109" s="2" t="s">
        <v>24</v>
      </c>
      <c r="D109" s="4">
        <v>5857</v>
      </c>
      <c r="E109" s="4">
        <v>27553</v>
      </c>
      <c r="F109" s="4">
        <v>3808</v>
      </c>
      <c r="G109" s="4">
        <v>5196</v>
      </c>
      <c r="H109" s="4">
        <v>72</v>
      </c>
      <c r="I109" s="4">
        <v>0</v>
      </c>
      <c r="J109" s="4">
        <v>14715</v>
      </c>
      <c r="K109" s="4">
        <v>7097</v>
      </c>
      <c r="L109" s="4">
        <v>223</v>
      </c>
      <c r="M109" s="4">
        <f t="shared" si="4"/>
        <v>58664</v>
      </c>
      <c r="N109" s="71">
        <f t="shared" si="5"/>
        <v>3.7621649308519718</v>
      </c>
      <c r="O109" s="71">
        <f t="shared" si="6"/>
        <v>6.2415912583233739</v>
      </c>
      <c r="P109" s="71">
        <f t="shared" si="7"/>
        <v>10.016049171931023</v>
      </c>
    </row>
    <row r="110" spans="1:16" ht="13.5" thickBot="1" x14ac:dyDescent="0.25">
      <c r="A110" s="2" t="s">
        <v>253</v>
      </c>
      <c r="B110" s="72" t="s">
        <v>464</v>
      </c>
      <c r="C110" s="2" t="s">
        <v>24</v>
      </c>
      <c r="D110" s="4">
        <v>4141</v>
      </c>
      <c r="E110" s="4">
        <v>16970</v>
      </c>
      <c r="F110" s="4">
        <v>879</v>
      </c>
      <c r="G110" s="4">
        <v>3370</v>
      </c>
      <c r="H110" s="4">
        <v>0</v>
      </c>
      <c r="I110" s="4">
        <v>0</v>
      </c>
      <c r="J110" s="4">
        <v>22984</v>
      </c>
      <c r="K110" s="4">
        <v>7672</v>
      </c>
      <c r="L110" s="4">
        <v>137</v>
      </c>
      <c r="M110" s="4">
        <f t="shared" si="4"/>
        <v>52012</v>
      </c>
      <c r="N110" s="71">
        <f t="shared" si="5"/>
        <v>7.436126539483217</v>
      </c>
      <c r="O110" s="71">
        <f t="shared" si="6"/>
        <v>5.1241246075827096</v>
      </c>
      <c r="P110" s="71">
        <f t="shared" si="7"/>
        <v>12.560251147065927</v>
      </c>
    </row>
    <row r="111" spans="1:16" ht="13.5" thickBot="1" x14ac:dyDescent="0.25">
      <c r="A111" s="2" t="s">
        <v>255</v>
      </c>
      <c r="B111" s="72" t="s">
        <v>471</v>
      </c>
      <c r="C111" s="2" t="s">
        <v>24</v>
      </c>
      <c r="D111" s="4">
        <v>4197</v>
      </c>
      <c r="E111" s="4">
        <v>20867</v>
      </c>
      <c r="F111" s="4">
        <v>594</v>
      </c>
      <c r="G111" s="4">
        <v>189</v>
      </c>
      <c r="H111" s="4">
        <v>0</v>
      </c>
      <c r="I111" s="4">
        <v>1</v>
      </c>
      <c r="J111" s="4">
        <v>0</v>
      </c>
      <c r="K111" s="4">
        <v>0</v>
      </c>
      <c r="L111" s="4">
        <v>0</v>
      </c>
      <c r="M111" s="4">
        <f t="shared" si="4"/>
        <v>21651</v>
      </c>
      <c r="N111" s="71">
        <f t="shared" si="5"/>
        <v>2.3826542768644269E-4</v>
      </c>
      <c r="O111" s="71">
        <f t="shared" si="6"/>
        <v>5.1584465094114842</v>
      </c>
      <c r="P111" s="71">
        <f t="shared" si="7"/>
        <v>5.1586847748391707</v>
      </c>
    </row>
    <row r="112" spans="1:16" ht="13.5" thickBot="1" x14ac:dyDescent="0.25">
      <c r="A112" s="2" t="s">
        <v>257</v>
      </c>
      <c r="B112" s="72" t="s">
        <v>477</v>
      </c>
      <c r="C112" s="2" t="s">
        <v>24</v>
      </c>
      <c r="D112" s="4">
        <v>5068</v>
      </c>
      <c r="E112" s="4">
        <v>45493</v>
      </c>
      <c r="F112" s="4">
        <v>1626</v>
      </c>
      <c r="G112" s="4">
        <v>5657</v>
      </c>
      <c r="H112" s="4">
        <v>72</v>
      </c>
      <c r="I112" s="4">
        <v>1</v>
      </c>
      <c r="J112" s="4">
        <v>15383</v>
      </c>
      <c r="K112" s="4">
        <v>2654</v>
      </c>
      <c r="L112" s="4">
        <v>0</v>
      </c>
      <c r="M112" s="4">
        <f t="shared" si="4"/>
        <v>70886</v>
      </c>
      <c r="N112" s="71">
        <f t="shared" si="5"/>
        <v>3.5591949486977112</v>
      </c>
      <c r="O112" s="71">
        <f t="shared" si="6"/>
        <v>10.413575374901342</v>
      </c>
      <c r="P112" s="71">
        <f t="shared" si="7"/>
        <v>13.986977111286503</v>
      </c>
    </row>
    <row r="113" spans="1:16" ht="13.5" thickBot="1" x14ac:dyDescent="0.25">
      <c r="A113" s="2" t="s">
        <v>261</v>
      </c>
      <c r="B113" s="72" t="s">
        <v>481</v>
      </c>
      <c r="C113" s="2" t="s">
        <v>24</v>
      </c>
      <c r="D113" s="4">
        <v>4968</v>
      </c>
      <c r="E113" s="4">
        <v>15037</v>
      </c>
      <c r="F113" s="4">
        <v>353</v>
      </c>
      <c r="G113" s="4">
        <v>921</v>
      </c>
      <c r="H113" s="4">
        <v>12</v>
      </c>
      <c r="I113" s="4">
        <v>0</v>
      </c>
      <c r="J113" s="4">
        <v>0</v>
      </c>
      <c r="K113" s="4">
        <v>0</v>
      </c>
      <c r="L113" s="4">
        <v>0</v>
      </c>
      <c r="M113" s="4">
        <f t="shared" si="4"/>
        <v>16323</v>
      </c>
      <c r="N113" s="71">
        <f t="shared" si="5"/>
        <v>0</v>
      </c>
      <c r="O113" s="71">
        <f t="shared" si="6"/>
        <v>3.2832125603864735</v>
      </c>
      <c r="P113" s="71">
        <f t="shared" si="7"/>
        <v>3.2856280193236715</v>
      </c>
    </row>
    <row r="114" spans="1:16" ht="13.5" thickBot="1" x14ac:dyDescent="0.25">
      <c r="A114" s="2" t="s">
        <v>263</v>
      </c>
      <c r="B114" s="72" t="s">
        <v>493</v>
      </c>
      <c r="C114" s="2" t="s">
        <v>24</v>
      </c>
      <c r="D114" s="4">
        <v>4101</v>
      </c>
      <c r="E114" s="4">
        <v>25552</v>
      </c>
      <c r="F114" s="4">
        <v>563</v>
      </c>
      <c r="G114" s="4">
        <v>3031</v>
      </c>
      <c r="H114" s="4">
        <v>13</v>
      </c>
      <c r="I114" s="4">
        <v>3</v>
      </c>
      <c r="J114" s="4">
        <v>10634</v>
      </c>
      <c r="K114" s="4">
        <v>2779</v>
      </c>
      <c r="L114" s="4">
        <v>279</v>
      </c>
      <c r="M114" s="4">
        <f t="shared" si="4"/>
        <v>42854</v>
      </c>
      <c r="N114" s="71">
        <f t="shared" si="5"/>
        <v>3.3394294074615947</v>
      </c>
      <c r="O114" s="71">
        <f t="shared" si="6"/>
        <v>7.1070470616922705</v>
      </c>
      <c r="P114" s="71">
        <f t="shared" si="7"/>
        <v>10.449646427700561</v>
      </c>
    </row>
    <row r="115" spans="1:16" ht="13.5" thickBot="1" x14ac:dyDescent="0.25">
      <c r="A115" s="2" t="s">
        <v>267</v>
      </c>
      <c r="B115" s="72" t="s">
        <v>495</v>
      </c>
      <c r="C115" s="2" t="s">
        <v>24</v>
      </c>
      <c r="D115" s="4">
        <v>5241</v>
      </c>
      <c r="E115" s="4">
        <v>19511</v>
      </c>
      <c r="F115" s="4">
        <v>898</v>
      </c>
      <c r="G115" s="4">
        <v>1042</v>
      </c>
      <c r="H115" s="4">
        <v>37</v>
      </c>
      <c r="I115" s="4">
        <v>0</v>
      </c>
      <c r="J115" s="4">
        <v>7557</v>
      </c>
      <c r="K115" s="4">
        <v>3121</v>
      </c>
      <c r="L115" s="4">
        <v>0</v>
      </c>
      <c r="M115" s="4">
        <f t="shared" si="4"/>
        <v>32166</v>
      </c>
      <c r="N115" s="71">
        <f t="shared" si="5"/>
        <v>2.0373974432360238</v>
      </c>
      <c r="O115" s="71">
        <f t="shared" si="6"/>
        <v>4.0929211982446096</v>
      </c>
      <c r="P115" s="71">
        <f t="shared" si="7"/>
        <v>6.1373783629078424</v>
      </c>
    </row>
    <row r="116" spans="1:16" ht="13.5" thickBot="1" x14ac:dyDescent="0.25">
      <c r="A116" s="2" t="s">
        <v>269</v>
      </c>
      <c r="B116" s="72" t="s">
        <v>503</v>
      </c>
      <c r="C116" s="2" t="s">
        <v>24</v>
      </c>
      <c r="D116" s="4">
        <v>5160</v>
      </c>
      <c r="E116" s="4">
        <v>22484</v>
      </c>
      <c r="F116" s="4">
        <v>1570</v>
      </c>
      <c r="G116" s="4">
        <v>2911</v>
      </c>
      <c r="H116" s="4">
        <v>73</v>
      </c>
      <c r="I116" s="4">
        <v>1</v>
      </c>
      <c r="J116" s="4">
        <v>7993</v>
      </c>
      <c r="K116" s="4">
        <v>4454</v>
      </c>
      <c r="L116" s="4">
        <v>0</v>
      </c>
      <c r="M116" s="4">
        <f t="shared" si="4"/>
        <v>39486</v>
      </c>
      <c r="N116" s="71">
        <f t="shared" si="5"/>
        <v>2.4124031007751938</v>
      </c>
      <c r="O116" s="71">
        <f t="shared" si="6"/>
        <v>5.2257751937984498</v>
      </c>
      <c r="P116" s="71">
        <f t="shared" si="7"/>
        <v>7.652325581395349</v>
      </c>
    </row>
    <row r="117" spans="1:16" ht="13.5" thickBot="1" x14ac:dyDescent="0.25">
      <c r="A117" s="2" t="s">
        <v>271</v>
      </c>
      <c r="B117" s="72" t="s">
        <v>505</v>
      </c>
      <c r="C117" s="2" t="s">
        <v>24</v>
      </c>
      <c r="D117" s="4">
        <v>5841</v>
      </c>
      <c r="E117" s="4">
        <v>23151</v>
      </c>
      <c r="F117" s="4">
        <v>944</v>
      </c>
      <c r="G117" s="4">
        <v>1047</v>
      </c>
      <c r="H117" s="4">
        <v>49</v>
      </c>
      <c r="I117" s="4">
        <v>0</v>
      </c>
      <c r="J117" s="4">
        <v>14047</v>
      </c>
      <c r="K117" s="4">
        <v>2301</v>
      </c>
      <c r="L117" s="4">
        <v>77</v>
      </c>
      <c r="M117" s="4">
        <f t="shared" si="4"/>
        <v>41616</v>
      </c>
      <c r="N117" s="71">
        <f t="shared" si="5"/>
        <v>2.8120184899845917</v>
      </c>
      <c r="O117" s="71">
        <f t="shared" si="6"/>
        <v>4.3043999315185753</v>
      </c>
      <c r="P117" s="71">
        <f t="shared" si="7"/>
        <v>7.1248073959938365</v>
      </c>
    </row>
    <row r="118" spans="1:16" ht="13.5" thickBot="1" x14ac:dyDescent="0.25">
      <c r="A118" s="2" t="s">
        <v>273</v>
      </c>
      <c r="B118" s="72" t="s">
        <v>511</v>
      </c>
      <c r="C118" s="2" t="s">
        <v>24</v>
      </c>
      <c r="D118" s="4">
        <v>4730</v>
      </c>
      <c r="E118" s="4">
        <v>33056</v>
      </c>
      <c r="F118" s="4">
        <v>519</v>
      </c>
      <c r="G118" s="4">
        <v>1795</v>
      </c>
      <c r="H118" s="4">
        <v>22</v>
      </c>
      <c r="I118" s="4">
        <v>1</v>
      </c>
      <c r="J118" s="4">
        <v>0</v>
      </c>
      <c r="K118" s="4">
        <v>0</v>
      </c>
      <c r="L118" s="4">
        <v>0</v>
      </c>
      <c r="M118" s="4">
        <f t="shared" si="4"/>
        <v>35393</v>
      </c>
      <c r="N118" s="71">
        <f t="shared" si="5"/>
        <v>2.1141649048625792E-4</v>
      </c>
      <c r="O118" s="71">
        <f t="shared" si="6"/>
        <v>7.4778012684989426</v>
      </c>
      <c r="P118" s="71">
        <f t="shared" si="7"/>
        <v>7.4826638477801266</v>
      </c>
    </row>
    <row r="119" spans="1:16" ht="13.5" thickBot="1" x14ac:dyDescent="0.25">
      <c r="A119" s="2" t="s">
        <v>275</v>
      </c>
      <c r="B119" s="72" t="s">
        <v>529</v>
      </c>
      <c r="C119" s="2" t="s">
        <v>24</v>
      </c>
      <c r="D119" s="4">
        <v>5072</v>
      </c>
      <c r="E119" s="4">
        <v>24702</v>
      </c>
      <c r="F119" s="4">
        <v>705</v>
      </c>
      <c r="G119" s="4">
        <v>620</v>
      </c>
      <c r="H119" s="4">
        <v>55</v>
      </c>
      <c r="I119" s="4">
        <v>3</v>
      </c>
      <c r="J119" s="4">
        <v>7437</v>
      </c>
      <c r="K119" s="4">
        <v>2983</v>
      </c>
      <c r="L119" s="4">
        <v>0</v>
      </c>
      <c r="M119" s="4">
        <f t="shared" si="4"/>
        <v>36505</v>
      </c>
      <c r="N119" s="71">
        <f t="shared" si="5"/>
        <v>2.0550078864353312</v>
      </c>
      <c r="O119" s="71">
        <f t="shared" si="6"/>
        <v>5.1315063091482651</v>
      </c>
      <c r="P119" s="71">
        <f t="shared" si="7"/>
        <v>7.1973580441640381</v>
      </c>
    </row>
    <row r="120" spans="1:16" ht="13.5" thickBot="1" x14ac:dyDescent="0.25">
      <c r="A120" s="2" t="s">
        <v>277</v>
      </c>
      <c r="B120" s="72" t="s">
        <v>531</v>
      </c>
      <c r="C120" s="2" t="s">
        <v>24</v>
      </c>
      <c r="D120" s="4">
        <v>6634</v>
      </c>
      <c r="E120" s="4">
        <v>30551</v>
      </c>
      <c r="F120" s="4">
        <v>728</v>
      </c>
      <c r="G120" s="4">
        <v>2536</v>
      </c>
      <c r="H120" s="4">
        <v>54</v>
      </c>
      <c r="I120" s="4">
        <v>5</v>
      </c>
      <c r="J120" s="4">
        <v>400</v>
      </c>
      <c r="K120" s="4">
        <v>0</v>
      </c>
      <c r="L120" s="4">
        <v>0</v>
      </c>
      <c r="M120" s="4">
        <f t="shared" si="4"/>
        <v>34274</v>
      </c>
      <c r="N120" s="71">
        <f t="shared" si="5"/>
        <v>6.1049140789870365E-2</v>
      </c>
      <c r="O120" s="71">
        <f t="shared" si="6"/>
        <v>5.0972264094060895</v>
      </c>
      <c r="P120" s="71">
        <f t="shared" si="7"/>
        <v>5.1664154356346099</v>
      </c>
    </row>
    <row r="121" spans="1:16" ht="13.5" thickBot="1" x14ac:dyDescent="0.25">
      <c r="A121" s="2" t="s">
        <v>279</v>
      </c>
      <c r="B121" s="72" t="s">
        <v>543</v>
      </c>
      <c r="C121" s="2" t="s">
        <v>24</v>
      </c>
      <c r="D121" s="4">
        <v>5302</v>
      </c>
      <c r="E121" s="4">
        <v>35066</v>
      </c>
      <c r="F121" s="4">
        <v>978</v>
      </c>
      <c r="G121" s="4">
        <v>1329</v>
      </c>
      <c r="H121" s="4">
        <v>126</v>
      </c>
      <c r="I121" s="4">
        <v>3</v>
      </c>
      <c r="J121" s="4">
        <v>13651</v>
      </c>
      <c r="K121" s="4">
        <v>2465</v>
      </c>
      <c r="L121" s="4">
        <v>342</v>
      </c>
      <c r="M121" s="4">
        <f t="shared" si="4"/>
        <v>53960</v>
      </c>
      <c r="N121" s="71">
        <f t="shared" si="5"/>
        <v>3.1046774801961523</v>
      </c>
      <c r="O121" s="71">
        <f t="shared" si="6"/>
        <v>7.0488494907582044</v>
      </c>
      <c r="P121" s="71">
        <f t="shared" si="7"/>
        <v>10.177291588079969</v>
      </c>
    </row>
    <row r="122" spans="1:16" ht="13.5" thickBot="1" x14ac:dyDescent="0.25">
      <c r="A122" s="2" t="s">
        <v>281</v>
      </c>
      <c r="B122" s="72" t="s">
        <v>545</v>
      </c>
      <c r="C122" s="2" t="s">
        <v>24</v>
      </c>
      <c r="D122" s="4">
        <v>6834</v>
      </c>
      <c r="E122" s="4">
        <v>21953</v>
      </c>
      <c r="F122" s="4">
        <v>1305</v>
      </c>
      <c r="G122" s="4">
        <v>1025</v>
      </c>
      <c r="H122" s="4">
        <v>55</v>
      </c>
      <c r="I122" s="4">
        <v>0</v>
      </c>
      <c r="J122" s="4">
        <v>12753</v>
      </c>
      <c r="K122" s="4">
        <v>2775</v>
      </c>
      <c r="L122" s="4">
        <v>0</v>
      </c>
      <c r="M122" s="4">
        <f t="shared" si="4"/>
        <v>39866</v>
      </c>
      <c r="N122" s="71">
        <f t="shared" si="5"/>
        <v>2.2721685689201054</v>
      </c>
      <c r="O122" s="71">
        <f t="shared" si="6"/>
        <v>3.5532630962832896</v>
      </c>
      <c r="P122" s="71">
        <f t="shared" si="7"/>
        <v>5.8334796605209247</v>
      </c>
    </row>
    <row r="123" spans="1:16" ht="13.5" thickBot="1" x14ac:dyDescent="0.25">
      <c r="A123" s="2" t="s">
        <v>283</v>
      </c>
      <c r="B123" s="72" t="s">
        <v>549</v>
      </c>
      <c r="C123" s="2" t="s">
        <v>24</v>
      </c>
      <c r="D123" s="4">
        <v>4469</v>
      </c>
      <c r="E123" s="4">
        <v>15387</v>
      </c>
      <c r="F123" s="4">
        <v>6</v>
      </c>
      <c r="G123" s="4">
        <v>257</v>
      </c>
      <c r="H123" s="4">
        <v>34</v>
      </c>
      <c r="I123" s="4">
        <v>4</v>
      </c>
      <c r="J123" s="4">
        <v>13131</v>
      </c>
      <c r="K123" s="4">
        <v>2781</v>
      </c>
      <c r="L123" s="4">
        <v>0</v>
      </c>
      <c r="M123" s="4">
        <f t="shared" si="4"/>
        <v>31600</v>
      </c>
      <c r="N123" s="71">
        <f t="shared" si="5"/>
        <v>3.5614231371671514</v>
      </c>
      <c r="O123" s="71">
        <f t="shared" si="6"/>
        <v>3.5019019914969793</v>
      </c>
      <c r="P123" s="71">
        <f t="shared" si="7"/>
        <v>7.0709330946520472</v>
      </c>
    </row>
    <row r="124" spans="1:16" ht="13.5" thickBot="1" x14ac:dyDescent="0.25">
      <c r="A124" s="2" t="s">
        <v>285</v>
      </c>
      <c r="B124" s="72" t="s">
        <v>557</v>
      </c>
      <c r="C124" s="2" t="s">
        <v>24</v>
      </c>
      <c r="D124" s="4">
        <v>6174</v>
      </c>
      <c r="E124" s="4">
        <v>25181</v>
      </c>
      <c r="F124" s="4">
        <v>2999</v>
      </c>
      <c r="G124" s="4">
        <v>2103</v>
      </c>
      <c r="H124" s="4">
        <v>41</v>
      </c>
      <c r="I124" s="4">
        <v>3</v>
      </c>
      <c r="J124" s="4">
        <v>30</v>
      </c>
      <c r="K124" s="4">
        <v>0</v>
      </c>
      <c r="L124" s="4">
        <v>0</v>
      </c>
      <c r="M124" s="4">
        <f t="shared" si="4"/>
        <v>30357</v>
      </c>
      <c r="N124" s="71">
        <f t="shared" si="5"/>
        <v>5.3449951409135082E-3</v>
      </c>
      <c r="O124" s="71">
        <f t="shared" si="6"/>
        <v>4.9049238743116295</v>
      </c>
      <c r="P124" s="71">
        <f t="shared" si="7"/>
        <v>4.9169096209912535</v>
      </c>
    </row>
    <row r="125" spans="1:16" ht="13.5" thickBot="1" x14ac:dyDescent="0.25">
      <c r="A125" s="2" t="s">
        <v>287</v>
      </c>
      <c r="B125" s="72" t="s">
        <v>577</v>
      </c>
      <c r="C125" s="2" t="s">
        <v>24</v>
      </c>
      <c r="D125" s="4">
        <v>5305</v>
      </c>
      <c r="E125" s="4">
        <v>18898</v>
      </c>
      <c r="F125" s="4">
        <v>188</v>
      </c>
      <c r="G125" s="4">
        <v>1043</v>
      </c>
      <c r="H125" s="4">
        <v>56</v>
      </c>
      <c r="I125" s="4">
        <v>0</v>
      </c>
      <c r="J125" s="4">
        <v>7718</v>
      </c>
      <c r="K125" s="4">
        <v>3184</v>
      </c>
      <c r="L125" s="4">
        <v>0</v>
      </c>
      <c r="M125" s="4">
        <f t="shared" si="4"/>
        <v>31087</v>
      </c>
      <c r="N125" s="71">
        <f t="shared" si="5"/>
        <v>2.055042412818096</v>
      </c>
      <c r="O125" s="71">
        <f t="shared" si="6"/>
        <v>3.7943449575871817</v>
      </c>
      <c r="P125" s="71">
        <f t="shared" si="7"/>
        <v>5.859943449575872</v>
      </c>
    </row>
    <row r="126" spans="1:16" ht="13.5" thickBot="1" x14ac:dyDescent="0.25">
      <c r="A126" s="2" t="s">
        <v>291</v>
      </c>
      <c r="B126" s="72" t="s">
        <v>583</v>
      </c>
      <c r="C126" s="2" t="s">
        <v>24</v>
      </c>
      <c r="D126" s="4">
        <v>6341</v>
      </c>
      <c r="E126" s="4">
        <v>31250</v>
      </c>
      <c r="F126" s="4">
        <v>920</v>
      </c>
      <c r="G126" s="4">
        <v>5425</v>
      </c>
      <c r="H126" s="4">
        <v>28</v>
      </c>
      <c r="I126" s="4">
        <v>270</v>
      </c>
      <c r="J126" s="4">
        <v>215</v>
      </c>
      <c r="K126" s="4">
        <v>0</v>
      </c>
      <c r="L126" s="4">
        <v>0</v>
      </c>
      <c r="M126" s="4">
        <f t="shared" si="4"/>
        <v>38108</v>
      </c>
      <c r="N126" s="71">
        <f t="shared" si="5"/>
        <v>7.6486358618514425E-2</v>
      </c>
      <c r="O126" s="71">
        <f t="shared" si="6"/>
        <v>5.9288755716763921</v>
      </c>
      <c r="P126" s="71">
        <f t="shared" si="7"/>
        <v>6.0097776375965939</v>
      </c>
    </row>
    <row r="127" spans="1:16" ht="13.5" thickBot="1" x14ac:dyDescent="0.25">
      <c r="A127" s="2" t="s">
        <v>293</v>
      </c>
      <c r="B127" s="72" t="s">
        <v>589</v>
      </c>
      <c r="C127" s="2" t="s">
        <v>24</v>
      </c>
      <c r="D127" s="4">
        <v>5433</v>
      </c>
      <c r="E127" s="4">
        <v>21490</v>
      </c>
      <c r="F127" s="4">
        <v>785</v>
      </c>
      <c r="G127" s="4">
        <v>1639</v>
      </c>
      <c r="H127" s="4">
        <v>63</v>
      </c>
      <c r="I127" s="4">
        <v>15</v>
      </c>
      <c r="J127" s="4">
        <v>0</v>
      </c>
      <c r="K127" s="4">
        <v>0</v>
      </c>
      <c r="L127" s="4">
        <v>0</v>
      </c>
      <c r="M127" s="4">
        <f t="shared" si="4"/>
        <v>23992</v>
      </c>
      <c r="N127" s="71">
        <f t="shared" si="5"/>
        <v>2.7609055770292656E-3</v>
      </c>
      <c r="O127" s="71">
        <f t="shared" si="6"/>
        <v>4.4016197312718575</v>
      </c>
      <c r="P127" s="71">
        <f t="shared" si="7"/>
        <v>4.4159764402724093</v>
      </c>
    </row>
    <row r="128" spans="1:16" ht="13.5" thickBot="1" x14ac:dyDescent="0.25">
      <c r="A128" s="2" t="s">
        <v>295</v>
      </c>
      <c r="B128" s="72" t="s">
        <v>601</v>
      </c>
      <c r="C128" s="2" t="s">
        <v>24</v>
      </c>
      <c r="D128" s="4">
        <v>6654</v>
      </c>
      <c r="E128" s="4">
        <v>31200</v>
      </c>
      <c r="F128" s="4">
        <v>1373</v>
      </c>
      <c r="G128" s="4">
        <v>3144</v>
      </c>
      <c r="H128" s="4">
        <v>73</v>
      </c>
      <c r="I128" s="4">
        <v>3</v>
      </c>
      <c r="J128" s="4">
        <v>4000</v>
      </c>
      <c r="K128" s="4">
        <v>2212</v>
      </c>
      <c r="L128" s="4">
        <v>0</v>
      </c>
      <c r="M128" s="4">
        <f t="shared" si="4"/>
        <v>42005</v>
      </c>
      <c r="N128" s="71">
        <f t="shared" si="5"/>
        <v>0.93402464682897501</v>
      </c>
      <c r="O128" s="71">
        <f t="shared" si="6"/>
        <v>5.3677487225728884</v>
      </c>
      <c r="P128" s="71">
        <f t="shared" si="7"/>
        <v>6.3127442140066128</v>
      </c>
    </row>
    <row r="129" spans="1:16" ht="13.5" thickBot="1" x14ac:dyDescent="0.25">
      <c r="A129" s="2" t="s">
        <v>297</v>
      </c>
      <c r="B129" s="72" t="s">
        <v>605</v>
      </c>
      <c r="C129" s="2" t="s">
        <v>24</v>
      </c>
      <c r="D129" s="4">
        <v>4105</v>
      </c>
      <c r="E129" s="4">
        <v>19727</v>
      </c>
      <c r="F129" s="4">
        <v>392</v>
      </c>
      <c r="G129" s="4">
        <v>742</v>
      </c>
      <c r="H129" s="4">
        <v>27</v>
      </c>
      <c r="I129" s="4">
        <v>0</v>
      </c>
      <c r="J129" s="4">
        <v>0</v>
      </c>
      <c r="K129" s="4">
        <v>341</v>
      </c>
      <c r="L129" s="4">
        <v>0</v>
      </c>
      <c r="M129" s="4">
        <f t="shared" si="4"/>
        <v>21229</v>
      </c>
      <c r="N129" s="71">
        <f t="shared" si="5"/>
        <v>8.3069427527405607E-2</v>
      </c>
      <c r="O129" s="71">
        <f t="shared" si="6"/>
        <v>5.081851400730816</v>
      </c>
      <c r="P129" s="71">
        <f t="shared" si="7"/>
        <v>5.1714981729598053</v>
      </c>
    </row>
    <row r="130" spans="1:16" ht="13.5" thickBot="1" x14ac:dyDescent="0.25">
      <c r="A130" s="2" t="s">
        <v>299</v>
      </c>
      <c r="B130" s="72" t="s">
        <v>619</v>
      </c>
      <c r="C130" s="2" t="s">
        <v>24</v>
      </c>
      <c r="D130" s="4">
        <v>5413</v>
      </c>
      <c r="E130" s="4">
        <v>15232</v>
      </c>
      <c r="F130" s="4">
        <v>578</v>
      </c>
      <c r="G130" s="4">
        <v>668</v>
      </c>
      <c r="H130" s="4">
        <v>4</v>
      </c>
      <c r="I130" s="4">
        <v>2</v>
      </c>
      <c r="J130" s="4">
        <v>11183</v>
      </c>
      <c r="K130" s="4">
        <v>3763</v>
      </c>
      <c r="L130" s="4">
        <v>0</v>
      </c>
      <c r="M130" s="4">
        <f t="shared" si="4"/>
        <v>31430</v>
      </c>
      <c r="N130" s="71">
        <f t="shared" si="5"/>
        <v>2.7615000923702198</v>
      </c>
      <c r="O130" s="71">
        <f t="shared" si="6"/>
        <v>3.0441529650840571</v>
      </c>
      <c r="P130" s="71">
        <f t="shared" si="7"/>
        <v>5.8063920192130061</v>
      </c>
    </row>
    <row r="131" spans="1:16" ht="13.5" thickBot="1" x14ac:dyDescent="0.25">
      <c r="A131" s="2" t="s">
        <v>301</v>
      </c>
      <c r="B131" s="72" t="s">
        <v>625</v>
      </c>
      <c r="C131" s="2" t="s">
        <v>24</v>
      </c>
      <c r="D131" s="4">
        <v>6847</v>
      </c>
      <c r="E131" s="4">
        <v>14907</v>
      </c>
      <c r="F131" s="4">
        <v>172</v>
      </c>
      <c r="G131" s="4">
        <v>840</v>
      </c>
      <c r="H131" s="4">
        <v>0</v>
      </c>
      <c r="I131" s="4">
        <v>0</v>
      </c>
      <c r="J131" s="4">
        <v>12541</v>
      </c>
      <c r="K131" s="4">
        <v>2843</v>
      </c>
      <c r="L131" s="4">
        <v>0</v>
      </c>
      <c r="M131" s="4">
        <f t="shared" si="4"/>
        <v>31303</v>
      </c>
      <c r="N131" s="71">
        <f t="shared" si="5"/>
        <v>2.2468234263180955</v>
      </c>
      <c r="O131" s="71">
        <f t="shared" si="6"/>
        <v>2.3249598364247115</v>
      </c>
      <c r="P131" s="71">
        <f t="shared" si="7"/>
        <v>4.571783262742807</v>
      </c>
    </row>
    <row r="132" spans="1:16" ht="13.5" thickBot="1" x14ac:dyDescent="0.25">
      <c r="A132" s="2" t="s">
        <v>303</v>
      </c>
      <c r="B132" s="72" t="s">
        <v>627</v>
      </c>
      <c r="C132" s="2" t="s">
        <v>24</v>
      </c>
      <c r="D132" s="4">
        <v>6240</v>
      </c>
      <c r="E132" s="4">
        <v>23262</v>
      </c>
      <c r="F132" s="4">
        <v>952</v>
      </c>
      <c r="G132" s="4">
        <v>669</v>
      </c>
      <c r="H132" s="4">
        <v>23</v>
      </c>
      <c r="I132" s="4">
        <v>0</v>
      </c>
      <c r="J132" s="4">
        <v>6224</v>
      </c>
      <c r="K132" s="4">
        <v>3086</v>
      </c>
      <c r="L132" s="4">
        <v>0</v>
      </c>
      <c r="M132" s="4">
        <f t="shared" ref="M132:M195" si="8">SUM(E132:L132)</f>
        <v>34216</v>
      </c>
      <c r="N132" s="71">
        <f t="shared" ref="N132:N195" si="9">(J132+K132+L132+I132)/D132</f>
        <v>1.4919871794871795</v>
      </c>
      <c r="O132" s="71">
        <f t="shared" ref="O132:O195" si="10">(E132+F132+G132)/D132</f>
        <v>3.9876602564102566</v>
      </c>
      <c r="P132" s="71">
        <f t="shared" ref="P132:P195" si="11">M132/D132</f>
        <v>5.4833333333333334</v>
      </c>
    </row>
    <row r="133" spans="1:16" ht="13.5" thickBot="1" x14ac:dyDescent="0.25">
      <c r="A133" s="2" t="s">
        <v>305</v>
      </c>
      <c r="B133" s="72" t="s">
        <v>633</v>
      </c>
      <c r="C133" s="2" t="s">
        <v>24</v>
      </c>
      <c r="D133" s="4">
        <v>5376</v>
      </c>
      <c r="E133" s="4">
        <v>12225</v>
      </c>
      <c r="F133" s="4">
        <v>852</v>
      </c>
      <c r="G133" s="4">
        <v>899</v>
      </c>
      <c r="H133" s="4">
        <v>33</v>
      </c>
      <c r="I133" s="4">
        <v>1</v>
      </c>
      <c r="J133" s="4">
        <v>14370</v>
      </c>
      <c r="K133" s="4">
        <v>3201</v>
      </c>
      <c r="L133" s="4">
        <v>0</v>
      </c>
      <c r="M133" s="4">
        <f t="shared" si="8"/>
        <v>31581</v>
      </c>
      <c r="N133" s="71">
        <f t="shared" si="9"/>
        <v>3.2686011904761907</v>
      </c>
      <c r="O133" s="71">
        <f t="shared" si="10"/>
        <v>2.5997023809523809</v>
      </c>
      <c r="P133" s="71">
        <f t="shared" si="11"/>
        <v>5.8744419642857144</v>
      </c>
    </row>
    <row r="134" spans="1:16" ht="13.5" thickBot="1" x14ac:dyDescent="0.25">
      <c r="A134" s="2" t="s">
        <v>307</v>
      </c>
      <c r="B134" s="72" t="s">
        <v>639</v>
      </c>
      <c r="C134" s="2" t="s">
        <v>24</v>
      </c>
      <c r="D134" s="4">
        <v>5523</v>
      </c>
      <c r="E134" s="4">
        <v>19831</v>
      </c>
      <c r="F134" s="4">
        <v>467</v>
      </c>
      <c r="G134" s="4">
        <v>983</v>
      </c>
      <c r="H134" s="4">
        <v>35</v>
      </c>
      <c r="I134" s="4">
        <v>1</v>
      </c>
      <c r="J134" s="4">
        <v>7399</v>
      </c>
      <c r="K134" s="4">
        <v>2468</v>
      </c>
      <c r="L134" s="4">
        <v>0</v>
      </c>
      <c r="M134" s="4">
        <f t="shared" si="8"/>
        <v>31184</v>
      </c>
      <c r="N134" s="71">
        <f t="shared" si="9"/>
        <v>1.7867101213108818</v>
      </c>
      <c r="O134" s="71">
        <f t="shared" si="10"/>
        <v>3.8531595147564728</v>
      </c>
      <c r="P134" s="71">
        <f t="shared" si="11"/>
        <v>5.6462067716820572</v>
      </c>
    </row>
    <row r="135" spans="1:16" ht="13.5" thickBot="1" x14ac:dyDescent="0.25">
      <c r="A135" s="2" t="s">
        <v>309</v>
      </c>
      <c r="B135" s="72" t="s">
        <v>653</v>
      </c>
      <c r="C135" s="2" t="s">
        <v>24</v>
      </c>
      <c r="D135" s="4">
        <v>4659</v>
      </c>
      <c r="E135" s="4">
        <v>21241</v>
      </c>
      <c r="F135" s="4">
        <v>972</v>
      </c>
      <c r="G135" s="4">
        <v>1674</v>
      </c>
      <c r="H135" s="4">
        <v>48</v>
      </c>
      <c r="I135" s="4">
        <v>1</v>
      </c>
      <c r="J135" s="4">
        <v>6911</v>
      </c>
      <c r="K135" s="4">
        <v>2676</v>
      </c>
      <c r="L135" s="4">
        <v>0</v>
      </c>
      <c r="M135" s="4">
        <f t="shared" si="8"/>
        <v>33523</v>
      </c>
      <c r="N135" s="71">
        <f t="shared" si="9"/>
        <v>2.0579523502897619</v>
      </c>
      <c r="O135" s="71">
        <f t="shared" si="10"/>
        <v>5.1270658939686626</v>
      </c>
      <c r="P135" s="71">
        <f t="shared" si="11"/>
        <v>7.1953208843099379</v>
      </c>
    </row>
    <row r="136" spans="1:16" ht="13.5" thickBot="1" x14ac:dyDescent="0.25">
      <c r="A136" s="2" t="s">
        <v>311</v>
      </c>
      <c r="B136" s="72" t="s">
        <v>665</v>
      </c>
      <c r="C136" s="2" t="s">
        <v>24</v>
      </c>
      <c r="D136" s="4">
        <v>6295</v>
      </c>
      <c r="E136" s="4">
        <v>42568</v>
      </c>
      <c r="F136" s="4">
        <v>1306</v>
      </c>
      <c r="G136" s="4">
        <v>4506</v>
      </c>
      <c r="H136" s="4">
        <v>48</v>
      </c>
      <c r="I136" s="4">
        <v>4</v>
      </c>
      <c r="J136" s="4">
        <v>7659</v>
      </c>
      <c r="K136" s="4">
        <v>3365</v>
      </c>
      <c r="L136" s="4">
        <v>0</v>
      </c>
      <c r="M136" s="4">
        <f t="shared" si="8"/>
        <v>59456</v>
      </c>
      <c r="N136" s="71">
        <f t="shared" si="9"/>
        <v>1.7518665607625099</v>
      </c>
      <c r="O136" s="71">
        <f t="shared" si="10"/>
        <v>7.6854646544876886</v>
      </c>
      <c r="P136" s="71">
        <f t="shared" si="11"/>
        <v>9.4449563145353448</v>
      </c>
    </row>
    <row r="137" spans="1:16" ht="13.5" thickBot="1" x14ac:dyDescent="0.25">
      <c r="A137" s="2" t="s">
        <v>313</v>
      </c>
      <c r="B137" s="72" t="s">
        <v>681</v>
      </c>
      <c r="C137" s="2" t="s">
        <v>24</v>
      </c>
      <c r="D137" s="4">
        <v>4434</v>
      </c>
      <c r="E137" s="4">
        <v>27685</v>
      </c>
      <c r="F137" s="4">
        <v>782</v>
      </c>
      <c r="G137" s="4">
        <v>852</v>
      </c>
      <c r="H137" s="4">
        <v>63</v>
      </c>
      <c r="I137" s="4">
        <v>4</v>
      </c>
      <c r="J137" s="4">
        <v>8065</v>
      </c>
      <c r="K137" s="4">
        <v>2957</v>
      </c>
      <c r="L137" s="4">
        <v>284</v>
      </c>
      <c r="M137" s="4">
        <f t="shared" si="8"/>
        <v>40692</v>
      </c>
      <c r="N137" s="71">
        <f t="shared" si="9"/>
        <v>2.5507442489851151</v>
      </c>
      <c r="O137" s="71">
        <f t="shared" si="10"/>
        <v>6.6123139377537212</v>
      </c>
      <c r="P137" s="71">
        <f t="shared" si="11"/>
        <v>9.1772665764546684</v>
      </c>
    </row>
    <row r="138" spans="1:16" ht="13.5" thickBot="1" x14ac:dyDescent="0.25">
      <c r="A138" s="2" t="s">
        <v>315</v>
      </c>
      <c r="B138" s="72" t="s">
        <v>691</v>
      </c>
      <c r="C138" s="2" t="s">
        <v>24</v>
      </c>
      <c r="D138" s="4">
        <v>4375</v>
      </c>
      <c r="E138" s="4">
        <v>57722</v>
      </c>
      <c r="F138" s="4">
        <v>1231</v>
      </c>
      <c r="G138" s="4">
        <v>3681</v>
      </c>
      <c r="H138" s="4">
        <v>84</v>
      </c>
      <c r="I138" s="4">
        <v>1</v>
      </c>
      <c r="J138" s="4">
        <v>7457</v>
      </c>
      <c r="K138" s="4">
        <v>3012</v>
      </c>
      <c r="L138" s="4">
        <v>0</v>
      </c>
      <c r="M138" s="4">
        <f t="shared" si="8"/>
        <v>73188</v>
      </c>
      <c r="N138" s="71">
        <f t="shared" si="9"/>
        <v>2.3931428571428572</v>
      </c>
      <c r="O138" s="71">
        <f t="shared" si="10"/>
        <v>14.316342857142857</v>
      </c>
      <c r="P138" s="71">
        <f t="shared" si="11"/>
        <v>16.728685714285714</v>
      </c>
    </row>
    <row r="139" spans="1:16" ht="13.5" thickBot="1" x14ac:dyDescent="0.25">
      <c r="A139" s="2" t="s">
        <v>317</v>
      </c>
      <c r="B139" s="72" t="s">
        <v>695</v>
      </c>
      <c r="C139" s="2" t="s">
        <v>24</v>
      </c>
      <c r="D139" s="4">
        <v>5101</v>
      </c>
      <c r="E139" s="4">
        <v>19467</v>
      </c>
      <c r="F139" s="4">
        <v>2332</v>
      </c>
      <c r="G139" s="4">
        <v>2702</v>
      </c>
      <c r="H139" s="4">
        <v>53</v>
      </c>
      <c r="I139" s="4">
        <v>3</v>
      </c>
      <c r="J139" s="4">
        <v>18767</v>
      </c>
      <c r="K139" s="4">
        <v>7994</v>
      </c>
      <c r="L139" s="4">
        <v>471</v>
      </c>
      <c r="M139" s="4">
        <f t="shared" si="8"/>
        <v>51789</v>
      </c>
      <c r="N139" s="71">
        <f t="shared" si="9"/>
        <v>5.3391491864340326</v>
      </c>
      <c r="O139" s="71">
        <f t="shared" si="10"/>
        <v>4.803175847872966</v>
      </c>
      <c r="P139" s="71">
        <f t="shared" si="11"/>
        <v>10.152715153891394</v>
      </c>
    </row>
    <row r="140" spans="1:16" ht="13.5" thickBot="1" x14ac:dyDescent="0.25">
      <c r="A140" s="2" t="s">
        <v>319</v>
      </c>
      <c r="B140" s="72" t="s">
        <v>701</v>
      </c>
      <c r="C140" s="2" t="s">
        <v>24</v>
      </c>
      <c r="D140" s="4">
        <v>4038</v>
      </c>
      <c r="E140" s="4">
        <v>21432</v>
      </c>
      <c r="F140" s="4">
        <v>1017</v>
      </c>
      <c r="G140" s="4">
        <v>2870</v>
      </c>
      <c r="H140" s="4">
        <v>64</v>
      </c>
      <c r="I140" s="4">
        <v>5</v>
      </c>
      <c r="J140" s="4">
        <v>2986</v>
      </c>
      <c r="K140" s="4">
        <v>1500</v>
      </c>
      <c r="L140" s="4">
        <v>0</v>
      </c>
      <c r="M140" s="4">
        <f t="shared" si="8"/>
        <v>29874</v>
      </c>
      <c r="N140" s="71">
        <f t="shared" si="9"/>
        <v>1.112184249628529</v>
      </c>
      <c r="O140" s="71">
        <f t="shared" si="10"/>
        <v>6.2701832590391282</v>
      </c>
      <c r="P140" s="71">
        <f t="shared" si="11"/>
        <v>7.3982169390787522</v>
      </c>
    </row>
    <row r="141" spans="1:16" ht="13.5" thickBot="1" x14ac:dyDescent="0.25">
      <c r="A141" s="2" t="s">
        <v>321</v>
      </c>
      <c r="B141" s="72" t="s">
        <v>709</v>
      </c>
      <c r="C141" s="2" t="s">
        <v>24</v>
      </c>
      <c r="D141" s="4">
        <v>5635</v>
      </c>
      <c r="E141" s="4">
        <v>13725</v>
      </c>
      <c r="F141" s="4">
        <v>129</v>
      </c>
      <c r="G141" s="4">
        <v>2175</v>
      </c>
      <c r="H141" s="4">
        <v>51</v>
      </c>
      <c r="I141" s="4">
        <v>0</v>
      </c>
      <c r="J141" s="4">
        <v>7557</v>
      </c>
      <c r="K141" s="4">
        <v>3121</v>
      </c>
      <c r="L141" s="4">
        <v>0</v>
      </c>
      <c r="M141" s="4">
        <f t="shared" si="8"/>
        <v>26758</v>
      </c>
      <c r="N141" s="71">
        <f t="shared" si="9"/>
        <v>1.8949423247559893</v>
      </c>
      <c r="O141" s="71">
        <f t="shared" si="10"/>
        <v>2.8445430346051466</v>
      </c>
      <c r="P141" s="71">
        <f t="shared" si="11"/>
        <v>4.7485359361135755</v>
      </c>
    </row>
    <row r="142" spans="1:16" ht="13.5" thickBot="1" x14ac:dyDescent="0.25">
      <c r="A142" s="2" t="s">
        <v>323</v>
      </c>
      <c r="B142" s="72" t="s">
        <v>731</v>
      </c>
      <c r="C142" s="2" t="s">
        <v>24</v>
      </c>
      <c r="D142" s="4">
        <v>4046</v>
      </c>
      <c r="E142" s="4">
        <v>21383</v>
      </c>
      <c r="F142" s="4">
        <v>508</v>
      </c>
      <c r="G142" s="4">
        <v>942</v>
      </c>
      <c r="H142" s="4">
        <v>93</v>
      </c>
      <c r="I142" s="4">
        <v>4</v>
      </c>
      <c r="J142" s="4">
        <v>14370</v>
      </c>
      <c r="K142" s="4">
        <v>3201</v>
      </c>
      <c r="L142" s="4">
        <v>0</v>
      </c>
      <c r="M142" s="4">
        <f t="shared" si="8"/>
        <v>40501</v>
      </c>
      <c r="N142" s="71">
        <f t="shared" si="9"/>
        <v>4.3437963420662387</v>
      </c>
      <c r="O142" s="71">
        <f t="shared" si="10"/>
        <v>5.6433514582303506</v>
      </c>
      <c r="P142" s="71">
        <f t="shared" si="11"/>
        <v>10.010133465150766</v>
      </c>
    </row>
    <row r="143" spans="1:16" ht="13.5" thickBot="1" x14ac:dyDescent="0.25">
      <c r="A143" s="2" t="s">
        <v>325</v>
      </c>
      <c r="B143" s="72" t="s">
        <v>743</v>
      </c>
      <c r="C143" s="2" t="s">
        <v>24</v>
      </c>
      <c r="D143" s="4">
        <v>5479</v>
      </c>
      <c r="E143" s="4">
        <v>19536</v>
      </c>
      <c r="F143" s="4">
        <v>1716</v>
      </c>
      <c r="G143" s="4">
        <v>1754</v>
      </c>
      <c r="H143" s="4">
        <v>55</v>
      </c>
      <c r="I143" s="4">
        <v>2</v>
      </c>
      <c r="J143" s="4">
        <v>32252</v>
      </c>
      <c r="K143" s="4">
        <v>2110</v>
      </c>
      <c r="L143" s="4">
        <v>70</v>
      </c>
      <c r="M143" s="4">
        <f t="shared" si="8"/>
        <v>57495</v>
      </c>
      <c r="N143" s="71">
        <f t="shared" si="9"/>
        <v>6.2847234896878996</v>
      </c>
      <c r="O143" s="71">
        <f t="shared" si="10"/>
        <v>4.198941412666545</v>
      </c>
      <c r="P143" s="71">
        <f t="shared" si="11"/>
        <v>10.493703230516518</v>
      </c>
    </row>
    <row r="144" spans="1:16" ht="13.5" thickBot="1" x14ac:dyDescent="0.25">
      <c r="A144" s="2" t="s">
        <v>327</v>
      </c>
      <c r="B144" s="72" t="s">
        <v>752</v>
      </c>
      <c r="C144" s="2" t="s">
        <v>24</v>
      </c>
      <c r="D144" s="4">
        <v>6680</v>
      </c>
      <c r="E144" s="4">
        <v>19164</v>
      </c>
      <c r="F144" s="4">
        <v>756</v>
      </c>
      <c r="G144" s="4">
        <v>688</v>
      </c>
      <c r="H144" s="4">
        <v>20</v>
      </c>
      <c r="I144" s="4">
        <v>0</v>
      </c>
      <c r="J144" s="4">
        <v>0</v>
      </c>
      <c r="K144" s="4">
        <v>0</v>
      </c>
      <c r="L144" s="4">
        <v>0</v>
      </c>
      <c r="M144" s="4">
        <f t="shared" si="8"/>
        <v>20628</v>
      </c>
      <c r="N144" s="71">
        <f t="shared" si="9"/>
        <v>0</v>
      </c>
      <c r="O144" s="71">
        <f t="shared" si="10"/>
        <v>3.0850299401197603</v>
      </c>
      <c r="P144" s="71">
        <f t="shared" si="11"/>
        <v>3.0880239520958086</v>
      </c>
    </row>
    <row r="145" spans="1:16" ht="13.5" thickBot="1" x14ac:dyDescent="0.25">
      <c r="A145" s="2" t="s">
        <v>329</v>
      </c>
      <c r="B145" s="72" t="s">
        <v>760</v>
      </c>
      <c r="C145" s="2" t="s">
        <v>24</v>
      </c>
      <c r="D145" s="4">
        <v>6033</v>
      </c>
      <c r="E145" s="4">
        <v>32498</v>
      </c>
      <c r="F145" s="4">
        <v>2121</v>
      </c>
      <c r="G145" s="4">
        <v>1977</v>
      </c>
      <c r="H145" s="4">
        <v>5</v>
      </c>
      <c r="I145" s="4">
        <v>0</v>
      </c>
      <c r="J145" s="4">
        <v>13550</v>
      </c>
      <c r="K145" s="4">
        <v>3680</v>
      </c>
      <c r="L145" s="4">
        <v>0</v>
      </c>
      <c r="M145" s="4">
        <f t="shared" si="8"/>
        <v>53831</v>
      </c>
      <c r="N145" s="71">
        <f t="shared" si="9"/>
        <v>2.8559588927565058</v>
      </c>
      <c r="O145" s="71">
        <f t="shared" si="10"/>
        <v>6.065970495607492</v>
      </c>
      <c r="P145" s="71">
        <f t="shared" si="11"/>
        <v>8.9227581634344446</v>
      </c>
    </row>
    <row r="146" spans="1:16" ht="13.5" thickBot="1" x14ac:dyDescent="0.25">
      <c r="A146" s="2" t="s">
        <v>331</v>
      </c>
      <c r="B146" s="72" t="s">
        <v>768</v>
      </c>
      <c r="C146" s="2" t="s">
        <v>24</v>
      </c>
      <c r="D146" s="4">
        <v>4576</v>
      </c>
      <c r="E146" s="4">
        <v>21592</v>
      </c>
      <c r="F146" s="4">
        <v>965</v>
      </c>
      <c r="G146" s="4">
        <v>2067</v>
      </c>
      <c r="H146" s="4">
        <v>85</v>
      </c>
      <c r="I146" s="4">
        <v>3</v>
      </c>
      <c r="J146" s="4">
        <v>14439</v>
      </c>
      <c r="K146" s="4">
        <v>2779</v>
      </c>
      <c r="L146" s="4">
        <v>279</v>
      </c>
      <c r="M146" s="4">
        <f t="shared" si="8"/>
        <v>42209</v>
      </c>
      <c r="N146" s="71">
        <f t="shared" si="9"/>
        <v>3.8243006993006992</v>
      </c>
      <c r="O146" s="71">
        <f t="shared" si="10"/>
        <v>5.3811188811188808</v>
      </c>
      <c r="P146" s="71">
        <f t="shared" si="11"/>
        <v>9.223994755244755</v>
      </c>
    </row>
    <row r="147" spans="1:16" ht="13.5" thickBot="1" x14ac:dyDescent="0.25">
      <c r="A147" s="2" t="s">
        <v>333</v>
      </c>
      <c r="B147" s="72" t="s">
        <v>782</v>
      </c>
      <c r="C147" s="2" t="s">
        <v>24</v>
      </c>
      <c r="D147" s="4">
        <v>4757</v>
      </c>
      <c r="E147" s="4">
        <v>19849</v>
      </c>
      <c r="F147" s="4">
        <v>721</v>
      </c>
      <c r="G147" s="4">
        <v>2645</v>
      </c>
      <c r="H147" s="4">
        <v>56</v>
      </c>
      <c r="I147" s="4">
        <v>4</v>
      </c>
      <c r="J147" s="4">
        <v>9668</v>
      </c>
      <c r="K147" s="4">
        <v>1233</v>
      </c>
      <c r="L147" s="4">
        <v>0</v>
      </c>
      <c r="M147" s="4">
        <f t="shared" si="8"/>
        <v>34176</v>
      </c>
      <c r="N147" s="71">
        <f t="shared" si="9"/>
        <v>2.2924111835190244</v>
      </c>
      <c r="O147" s="71">
        <f t="shared" si="10"/>
        <v>4.8801765818793355</v>
      </c>
      <c r="P147" s="71">
        <f t="shared" si="11"/>
        <v>7.184359890687408</v>
      </c>
    </row>
    <row r="148" spans="1:16" ht="13.5" thickBot="1" x14ac:dyDescent="0.25">
      <c r="A148" s="2" t="s">
        <v>335</v>
      </c>
      <c r="B148" s="72" t="s">
        <v>788</v>
      </c>
      <c r="C148" s="2" t="s">
        <v>24</v>
      </c>
      <c r="D148" s="4">
        <v>4614</v>
      </c>
      <c r="E148" s="4">
        <v>13917</v>
      </c>
      <c r="F148" s="4">
        <v>328</v>
      </c>
      <c r="G148" s="4">
        <v>343</v>
      </c>
      <c r="H148" s="4">
        <v>18</v>
      </c>
      <c r="I148" s="4">
        <v>1</v>
      </c>
      <c r="J148" s="4">
        <v>11150</v>
      </c>
      <c r="K148" s="4">
        <v>1518</v>
      </c>
      <c r="L148" s="4">
        <v>0</v>
      </c>
      <c r="M148" s="4">
        <f t="shared" si="8"/>
        <v>27275</v>
      </c>
      <c r="N148" s="71">
        <f t="shared" si="9"/>
        <v>2.7457737321196358</v>
      </c>
      <c r="O148" s="71">
        <f t="shared" si="10"/>
        <v>3.1616818378846987</v>
      </c>
      <c r="P148" s="71">
        <f t="shared" si="11"/>
        <v>5.9113567403554397</v>
      </c>
    </row>
    <row r="149" spans="1:16" ht="13.5" thickBot="1" x14ac:dyDescent="0.25">
      <c r="A149" s="2" t="s">
        <v>337</v>
      </c>
      <c r="B149" s="72" t="s">
        <v>800</v>
      </c>
      <c r="C149" s="2" t="s">
        <v>24</v>
      </c>
      <c r="D149" s="4">
        <v>6999</v>
      </c>
      <c r="E149" s="4">
        <v>21051</v>
      </c>
      <c r="F149" s="4">
        <v>1098</v>
      </c>
      <c r="G149" s="4">
        <v>2635</v>
      </c>
      <c r="H149" s="4">
        <v>30</v>
      </c>
      <c r="I149" s="4">
        <v>0</v>
      </c>
      <c r="J149" s="4">
        <v>30664</v>
      </c>
      <c r="K149" s="4">
        <v>11424</v>
      </c>
      <c r="L149" s="4">
        <v>815</v>
      </c>
      <c r="M149" s="4">
        <f t="shared" si="8"/>
        <v>67717</v>
      </c>
      <c r="N149" s="71">
        <f t="shared" si="9"/>
        <v>6.1298756965280754</v>
      </c>
      <c r="O149" s="71">
        <f t="shared" si="10"/>
        <v>3.5410772967566797</v>
      </c>
      <c r="P149" s="71">
        <f t="shared" si="11"/>
        <v>9.6752393199028432</v>
      </c>
    </row>
    <row r="150" spans="1:16" ht="13.5" thickBot="1" x14ac:dyDescent="0.25">
      <c r="A150" s="2" t="s">
        <v>339</v>
      </c>
      <c r="B150" s="72" t="s">
        <v>810</v>
      </c>
      <c r="C150" s="2" t="s">
        <v>24</v>
      </c>
      <c r="D150" s="4">
        <v>4837</v>
      </c>
      <c r="E150" s="4">
        <v>27553</v>
      </c>
      <c r="F150" s="4">
        <v>824</v>
      </c>
      <c r="G150" s="4">
        <v>1841</v>
      </c>
      <c r="H150" s="4">
        <v>44</v>
      </c>
      <c r="I150" s="4">
        <v>0</v>
      </c>
      <c r="J150" s="4">
        <v>14439</v>
      </c>
      <c r="K150" s="4">
        <v>2779</v>
      </c>
      <c r="L150" s="4">
        <v>279</v>
      </c>
      <c r="M150" s="4">
        <f t="shared" si="8"/>
        <v>47759</v>
      </c>
      <c r="N150" s="71">
        <f t="shared" si="9"/>
        <v>3.6173247880917923</v>
      </c>
      <c r="O150" s="71">
        <f t="shared" si="10"/>
        <v>6.2472606987802353</v>
      </c>
      <c r="P150" s="71">
        <f t="shared" si="11"/>
        <v>9.8736820343187919</v>
      </c>
    </row>
    <row r="151" spans="1:16" ht="13.5" thickBot="1" x14ac:dyDescent="0.25">
      <c r="A151" s="2" t="s">
        <v>341</v>
      </c>
      <c r="B151" s="72" t="s">
        <v>828</v>
      </c>
      <c r="C151" s="2" t="s">
        <v>24</v>
      </c>
      <c r="D151" s="4">
        <v>5240</v>
      </c>
      <c r="E151" s="4">
        <v>16690</v>
      </c>
      <c r="F151" s="4">
        <v>665</v>
      </c>
      <c r="G151" s="4">
        <v>626</v>
      </c>
      <c r="H151" s="4">
        <v>19</v>
      </c>
      <c r="I151" s="4">
        <v>0</v>
      </c>
      <c r="J151" s="4">
        <v>14810</v>
      </c>
      <c r="K151" s="4">
        <v>3329</v>
      </c>
      <c r="L151" s="4">
        <v>0</v>
      </c>
      <c r="M151" s="4">
        <f t="shared" si="8"/>
        <v>36139</v>
      </c>
      <c r="N151" s="71">
        <f t="shared" si="9"/>
        <v>3.461641221374046</v>
      </c>
      <c r="O151" s="71">
        <f t="shared" si="10"/>
        <v>3.4314885496183205</v>
      </c>
      <c r="P151" s="71">
        <f t="shared" si="11"/>
        <v>6.8967557251908396</v>
      </c>
    </row>
    <row r="152" spans="1:16" ht="13.5" thickBot="1" x14ac:dyDescent="0.25">
      <c r="A152" s="2" t="s">
        <v>343</v>
      </c>
      <c r="B152" s="72" t="s">
        <v>30</v>
      </c>
      <c r="C152" s="2" t="s">
        <v>32</v>
      </c>
      <c r="D152" s="4">
        <v>7410</v>
      </c>
      <c r="E152" s="4">
        <v>32094</v>
      </c>
      <c r="F152" s="4">
        <v>459</v>
      </c>
      <c r="G152" s="4">
        <v>1370</v>
      </c>
      <c r="H152" s="4">
        <v>55</v>
      </c>
      <c r="I152" s="4">
        <v>2</v>
      </c>
      <c r="J152" s="4">
        <v>7993</v>
      </c>
      <c r="K152" s="4">
        <v>4454</v>
      </c>
      <c r="L152" s="4">
        <v>0</v>
      </c>
      <c r="M152" s="4">
        <f t="shared" si="8"/>
        <v>46427</v>
      </c>
      <c r="N152" s="71">
        <f t="shared" si="9"/>
        <v>1.6800269905533063</v>
      </c>
      <c r="O152" s="71">
        <f t="shared" si="10"/>
        <v>4.5780026990553306</v>
      </c>
      <c r="P152" s="71">
        <f t="shared" si="11"/>
        <v>6.2654520917678811</v>
      </c>
    </row>
    <row r="153" spans="1:16" ht="13.5" thickBot="1" x14ac:dyDescent="0.25">
      <c r="A153" s="2" t="s">
        <v>345</v>
      </c>
      <c r="B153" s="72" t="s">
        <v>33</v>
      </c>
      <c r="C153" s="2" t="s">
        <v>32</v>
      </c>
      <c r="D153" s="4">
        <v>11600</v>
      </c>
      <c r="E153" s="4">
        <v>17736</v>
      </c>
      <c r="F153" s="4">
        <v>559</v>
      </c>
      <c r="G153" s="4">
        <v>870</v>
      </c>
      <c r="H153" s="4">
        <v>29</v>
      </c>
      <c r="I153" s="4">
        <v>1</v>
      </c>
      <c r="J153" s="4">
        <v>8520</v>
      </c>
      <c r="K153" s="4">
        <v>3374</v>
      </c>
      <c r="L153" s="4">
        <v>285</v>
      </c>
      <c r="M153" s="4">
        <f t="shared" si="8"/>
        <v>31374</v>
      </c>
      <c r="N153" s="71">
        <f t="shared" si="9"/>
        <v>1.05</v>
      </c>
      <c r="O153" s="71">
        <f t="shared" si="10"/>
        <v>1.6521551724137931</v>
      </c>
      <c r="P153" s="71">
        <f t="shared" si="11"/>
        <v>2.7046551724137933</v>
      </c>
    </row>
    <row r="154" spans="1:16" ht="13.5" thickBot="1" x14ac:dyDescent="0.25">
      <c r="A154" s="2" t="s">
        <v>347</v>
      </c>
      <c r="B154" s="72" t="s">
        <v>35</v>
      </c>
      <c r="C154" s="2" t="s">
        <v>32</v>
      </c>
      <c r="D154" s="4">
        <v>11569</v>
      </c>
      <c r="E154" s="4">
        <v>26500</v>
      </c>
      <c r="F154" s="4">
        <v>1320</v>
      </c>
      <c r="G154" s="4">
        <v>7785</v>
      </c>
      <c r="H154" s="4">
        <v>51</v>
      </c>
      <c r="I154" s="4">
        <v>0</v>
      </c>
      <c r="J154" s="4">
        <v>45198</v>
      </c>
      <c r="K154" s="4">
        <v>17401</v>
      </c>
      <c r="L154" s="4">
        <v>0</v>
      </c>
      <c r="M154" s="4">
        <f t="shared" si="8"/>
        <v>98255</v>
      </c>
      <c r="N154" s="71">
        <f t="shared" si="9"/>
        <v>5.410925749848734</v>
      </c>
      <c r="O154" s="71">
        <f t="shared" si="10"/>
        <v>3.0776212291468581</v>
      </c>
      <c r="P154" s="71">
        <f t="shared" si="11"/>
        <v>8.4929553116086094</v>
      </c>
    </row>
    <row r="155" spans="1:16" ht="13.5" thickBot="1" x14ac:dyDescent="0.25">
      <c r="A155" s="2" t="s">
        <v>349</v>
      </c>
      <c r="B155" s="72" t="s">
        <v>37</v>
      </c>
      <c r="C155" s="2" t="s">
        <v>32</v>
      </c>
      <c r="D155" s="4">
        <v>9706</v>
      </c>
      <c r="E155" s="4">
        <v>44630</v>
      </c>
      <c r="F155" s="4">
        <v>2319</v>
      </c>
      <c r="G155" s="4">
        <v>3675</v>
      </c>
      <c r="H155" s="4">
        <v>53</v>
      </c>
      <c r="I155" s="4">
        <v>5</v>
      </c>
      <c r="J155" s="4">
        <v>12409</v>
      </c>
      <c r="K155" s="4">
        <v>2302</v>
      </c>
      <c r="L155" s="4">
        <v>98</v>
      </c>
      <c r="M155" s="4">
        <f t="shared" si="8"/>
        <v>65491</v>
      </c>
      <c r="N155" s="71">
        <f t="shared" si="9"/>
        <v>1.5262724088192869</v>
      </c>
      <c r="O155" s="71">
        <f t="shared" si="10"/>
        <v>5.2157428394807335</v>
      </c>
      <c r="P155" s="71">
        <f t="shared" si="11"/>
        <v>6.7474757881722649</v>
      </c>
    </row>
    <row r="156" spans="1:16" ht="13.5" thickBot="1" x14ac:dyDescent="0.25">
      <c r="A156" s="2" t="s">
        <v>351</v>
      </c>
      <c r="B156" s="72" t="s">
        <v>48</v>
      </c>
      <c r="C156" s="2" t="s">
        <v>32</v>
      </c>
      <c r="D156" s="4">
        <v>11902</v>
      </c>
      <c r="E156" s="4">
        <v>86906</v>
      </c>
      <c r="F156" s="4">
        <v>1351</v>
      </c>
      <c r="G156" s="4">
        <v>2420</v>
      </c>
      <c r="H156" s="4">
        <v>120</v>
      </c>
      <c r="I156" s="4">
        <v>5</v>
      </c>
      <c r="J156" s="4">
        <v>0</v>
      </c>
      <c r="K156" s="4">
        <v>0</v>
      </c>
      <c r="L156" s="4">
        <v>0</v>
      </c>
      <c r="M156" s="4">
        <f t="shared" si="8"/>
        <v>90802</v>
      </c>
      <c r="N156" s="71">
        <f t="shared" si="9"/>
        <v>4.2009746261132585E-4</v>
      </c>
      <c r="O156" s="71">
        <f t="shared" si="10"/>
        <v>7.618635523441438</v>
      </c>
      <c r="P156" s="71">
        <f t="shared" si="11"/>
        <v>7.6291379600067213</v>
      </c>
    </row>
    <row r="157" spans="1:16" ht="13.5" thickBot="1" x14ac:dyDescent="0.25">
      <c r="A157" s="2" t="s">
        <v>353</v>
      </c>
      <c r="B157" s="72" t="s">
        <v>56</v>
      </c>
      <c r="C157" s="2" t="s">
        <v>32</v>
      </c>
      <c r="D157" s="4">
        <v>11000</v>
      </c>
      <c r="E157" s="4">
        <v>65218</v>
      </c>
      <c r="F157" s="4">
        <v>1253</v>
      </c>
      <c r="G157" s="4">
        <v>1537</v>
      </c>
      <c r="H157" s="4">
        <v>74</v>
      </c>
      <c r="I157" s="4">
        <v>0</v>
      </c>
      <c r="J157" s="4">
        <v>7364</v>
      </c>
      <c r="K157" s="4">
        <v>10372</v>
      </c>
      <c r="L157" s="4">
        <v>0</v>
      </c>
      <c r="M157" s="4">
        <f t="shared" si="8"/>
        <v>85818</v>
      </c>
      <c r="N157" s="71">
        <f t="shared" si="9"/>
        <v>1.6123636363636364</v>
      </c>
      <c r="O157" s="71">
        <f t="shared" si="10"/>
        <v>6.1825454545454548</v>
      </c>
      <c r="P157" s="71">
        <f t="shared" si="11"/>
        <v>7.8016363636363639</v>
      </c>
    </row>
    <row r="158" spans="1:16" ht="13.5" thickBot="1" x14ac:dyDescent="0.25">
      <c r="A158" s="2" t="s">
        <v>355</v>
      </c>
      <c r="B158" s="72" t="s">
        <v>73</v>
      </c>
      <c r="C158" s="2" t="s">
        <v>32</v>
      </c>
      <c r="D158" s="4">
        <v>7172</v>
      </c>
      <c r="E158" s="4">
        <v>19325</v>
      </c>
      <c r="F158" s="4">
        <v>1140</v>
      </c>
      <c r="G158" s="4">
        <v>3061</v>
      </c>
      <c r="H158" s="4">
        <v>24</v>
      </c>
      <c r="I158" s="4">
        <v>2</v>
      </c>
      <c r="J158" s="4">
        <v>14439</v>
      </c>
      <c r="K158" s="4">
        <v>2834</v>
      </c>
      <c r="L158" s="4">
        <v>279</v>
      </c>
      <c r="M158" s="4">
        <f t="shared" si="8"/>
        <v>41104</v>
      </c>
      <c r="N158" s="71">
        <f t="shared" si="9"/>
        <v>2.4475738984941438</v>
      </c>
      <c r="O158" s="71">
        <f t="shared" si="10"/>
        <v>3.2802565532626882</v>
      </c>
      <c r="P158" s="71">
        <f t="shared" si="11"/>
        <v>5.731176798661461</v>
      </c>
    </row>
    <row r="159" spans="1:16" ht="13.5" thickBot="1" x14ac:dyDescent="0.25">
      <c r="A159" s="2" t="s">
        <v>357</v>
      </c>
      <c r="B159" s="72" t="s">
        <v>83</v>
      </c>
      <c r="C159" s="2" t="s">
        <v>32</v>
      </c>
      <c r="D159" s="4">
        <v>11598</v>
      </c>
      <c r="E159" s="4">
        <v>19000</v>
      </c>
      <c r="F159" s="4">
        <v>50</v>
      </c>
      <c r="G159" s="4">
        <v>149</v>
      </c>
      <c r="H159" s="4">
        <v>15</v>
      </c>
      <c r="I159" s="4">
        <v>0</v>
      </c>
      <c r="J159" s="4">
        <v>0</v>
      </c>
      <c r="K159" s="4">
        <v>0</v>
      </c>
      <c r="L159" s="4">
        <v>0</v>
      </c>
      <c r="M159" s="4">
        <f t="shared" si="8"/>
        <v>19214</v>
      </c>
      <c r="N159" s="71">
        <f t="shared" si="9"/>
        <v>0</v>
      </c>
      <c r="O159" s="71">
        <f t="shared" si="10"/>
        <v>1.6553716157958269</v>
      </c>
      <c r="P159" s="71">
        <f t="shared" si="11"/>
        <v>1.6566649422314192</v>
      </c>
    </row>
    <row r="160" spans="1:16" ht="13.5" thickBot="1" x14ac:dyDescent="0.25">
      <c r="A160" s="2" t="s">
        <v>359</v>
      </c>
      <c r="B160" s="72" t="s">
        <v>103</v>
      </c>
      <c r="C160" s="2" t="s">
        <v>32</v>
      </c>
      <c r="D160" s="4">
        <v>9197</v>
      </c>
      <c r="E160" s="4">
        <v>43869</v>
      </c>
      <c r="F160" s="4">
        <v>4407</v>
      </c>
      <c r="G160" s="4">
        <v>3223</v>
      </c>
      <c r="H160" s="4">
        <v>93</v>
      </c>
      <c r="I160" s="4">
        <v>0</v>
      </c>
      <c r="J160" s="4">
        <v>15272</v>
      </c>
      <c r="K160" s="4">
        <v>2390</v>
      </c>
      <c r="L160" s="4">
        <v>244</v>
      </c>
      <c r="M160" s="4">
        <f t="shared" si="8"/>
        <v>69498</v>
      </c>
      <c r="N160" s="71">
        <f t="shared" si="9"/>
        <v>1.9469392193106447</v>
      </c>
      <c r="O160" s="71">
        <f t="shared" si="10"/>
        <v>5.5995433293465258</v>
      </c>
      <c r="P160" s="71">
        <f t="shared" si="11"/>
        <v>7.55659454169838</v>
      </c>
    </row>
    <row r="161" spans="1:16" ht="13.5" thickBot="1" x14ac:dyDescent="0.25">
      <c r="A161" s="2" t="s">
        <v>361</v>
      </c>
      <c r="B161" s="72" t="s">
        <v>111</v>
      </c>
      <c r="C161" s="2" t="s">
        <v>32</v>
      </c>
      <c r="D161" s="4">
        <v>11825</v>
      </c>
      <c r="E161" s="4">
        <v>64731</v>
      </c>
      <c r="F161" s="4">
        <v>6657</v>
      </c>
      <c r="G161" s="4">
        <v>7052</v>
      </c>
      <c r="H161" s="4">
        <v>108</v>
      </c>
      <c r="I161" s="4">
        <v>1</v>
      </c>
      <c r="J161" s="4">
        <v>15505</v>
      </c>
      <c r="K161" s="4">
        <v>5082</v>
      </c>
      <c r="L161" s="4">
        <v>759</v>
      </c>
      <c r="M161" s="4">
        <f t="shared" si="8"/>
        <v>99895</v>
      </c>
      <c r="N161" s="71">
        <f t="shared" si="9"/>
        <v>1.8052431289640591</v>
      </c>
      <c r="O161" s="71">
        <f t="shared" si="10"/>
        <v>6.6334038054968287</v>
      </c>
      <c r="P161" s="71">
        <f t="shared" si="11"/>
        <v>8.447780126849894</v>
      </c>
    </row>
    <row r="162" spans="1:16" ht="13.5" thickBot="1" x14ac:dyDescent="0.25">
      <c r="A162" s="2" t="s">
        <v>363</v>
      </c>
      <c r="B162" s="72" t="s">
        <v>115</v>
      </c>
      <c r="C162" s="2" t="s">
        <v>32</v>
      </c>
      <c r="D162" s="4">
        <v>7226</v>
      </c>
      <c r="E162" s="4">
        <v>31528</v>
      </c>
      <c r="F162" s="4">
        <v>299</v>
      </c>
      <c r="G162" s="4">
        <v>2032</v>
      </c>
      <c r="H162" s="4">
        <v>42</v>
      </c>
      <c r="I162" s="4">
        <v>5</v>
      </c>
      <c r="J162" s="4">
        <v>21925</v>
      </c>
      <c r="K162" s="4">
        <v>3895</v>
      </c>
      <c r="L162" s="4">
        <v>134</v>
      </c>
      <c r="M162" s="4">
        <f t="shared" si="8"/>
        <v>59860</v>
      </c>
      <c r="N162" s="71">
        <f t="shared" si="9"/>
        <v>3.5924439523941323</v>
      </c>
      <c r="O162" s="71">
        <f t="shared" si="10"/>
        <v>4.6857182396900079</v>
      </c>
      <c r="P162" s="71">
        <f t="shared" si="11"/>
        <v>8.2839745363963466</v>
      </c>
    </row>
    <row r="163" spans="1:16" ht="13.5" thickBot="1" x14ac:dyDescent="0.25">
      <c r="A163" s="2" t="s">
        <v>365</v>
      </c>
      <c r="B163" s="72" t="s">
        <v>133</v>
      </c>
      <c r="C163" s="2" t="s">
        <v>32</v>
      </c>
      <c r="D163" s="4">
        <v>10090</v>
      </c>
      <c r="E163" s="4">
        <v>42414</v>
      </c>
      <c r="F163" s="4">
        <v>1377</v>
      </c>
      <c r="G163" s="4">
        <v>3845</v>
      </c>
      <c r="H163" s="4">
        <v>96</v>
      </c>
      <c r="I163" s="4">
        <v>3</v>
      </c>
      <c r="J163" s="4">
        <v>12127</v>
      </c>
      <c r="K163" s="4">
        <v>2795</v>
      </c>
      <c r="L163" s="4">
        <v>279</v>
      </c>
      <c r="M163" s="4">
        <f t="shared" si="8"/>
        <v>62936</v>
      </c>
      <c r="N163" s="71">
        <f t="shared" si="9"/>
        <v>1.506838453914767</v>
      </c>
      <c r="O163" s="71">
        <f t="shared" si="10"/>
        <v>4.7211100099108032</v>
      </c>
      <c r="P163" s="71">
        <f t="shared" si="11"/>
        <v>6.2374628344895937</v>
      </c>
    </row>
    <row r="164" spans="1:16" ht="13.5" thickBot="1" x14ac:dyDescent="0.25">
      <c r="A164" s="2" t="s">
        <v>367</v>
      </c>
      <c r="B164" s="72" t="s">
        <v>135</v>
      </c>
      <c r="C164" s="2" t="s">
        <v>32</v>
      </c>
      <c r="D164" s="4">
        <v>9705</v>
      </c>
      <c r="E164" s="4">
        <v>31523</v>
      </c>
      <c r="F164" s="4">
        <v>934</v>
      </c>
      <c r="G164" s="4">
        <v>2460</v>
      </c>
      <c r="H164" s="4">
        <v>55</v>
      </c>
      <c r="I164" s="4">
        <v>0</v>
      </c>
      <c r="J164" s="4">
        <v>13549</v>
      </c>
      <c r="K164" s="4">
        <v>3680</v>
      </c>
      <c r="L164" s="4">
        <v>0</v>
      </c>
      <c r="M164" s="4">
        <f t="shared" si="8"/>
        <v>52201</v>
      </c>
      <c r="N164" s="71">
        <f t="shared" si="9"/>
        <v>1.7752704791344667</v>
      </c>
      <c r="O164" s="71">
        <f t="shared" si="10"/>
        <v>3.597836166924266</v>
      </c>
      <c r="P164" s="71">
        <f t="shared" si="11"/>
        <v>5.3787738279237507</v>
      </c>
    </row>
    <row r="165" spans="1:16" ht="13.5" thickBot="1" x14ac:dyDescent="0.25">
      <c r="A165" s="2" t="s">
        <v>369</v>
      </c>
      <c r="B165" s="72" t="s">
        <v>143</v>
      </c>
      <c r="C165" s="2" t="s">
        <v>32</v>
      </c>
      <c r="D165" s="4">
        <v>8692</v>
      </c>
      <c r="E165" s="4">
        <v>48009</v>
      </c>
      <c r="F165" s="4">
        <v>2237</v>
      </c>
      <c r="G165" s="4">
        <v>2679</v>
      </c>
      <c r="H165" s="4">
        <v>71</v>
      </c>
      <c r="I165" s="4">
        <v>5</v>
      </c>
      <c r="J165" s="4">
        <v>8520</v>
      </c>
      <c r="K165" s="4">
        <v>3374</v>
      </c>
      <c r="L165" s="4">
        <v>285</v>
      </c>
      <c r="M165" s="4">
        <f t="shared" si="8"/>
        <v>65180</v>
      </c>
      <c r="N165" s="71">
        <f t="shared" si="9"/>
        <v>1.4017487344684767</v>
      </c>
      <c r="O165" s="71">
        <f t="shared" si="10"/>
        <v>6.0889323515876672</v>
      </c>
      <c r="P165" s="71">
        <f t="shared" si="11"/>
        <v>7.4988495167970548</v>
      </c>
    </row>
    <row r="166" spans="1:16" ht="13.5" thickBot="1" x14ac:dyDescent="0.25">
      <c r="A166" s="2" t="s">
        <v>371</v>
      </c>
      <c r="B166" s="72" t="s">
        <v>151</v>
      </c>
      <c r="C166" s="2" t="s">
        <v>32</v>
      </c>
      <c r="D166" s="4">
        <v>11833</v>
      </c>
      <c r="E166" s="4">
        <v>50417</v>
      </c>
      <c r="F166" s="4">
        <v>1386</v>
      </c>
      <c r="G166" s="4">
        <v>4551</v>
      </c>
      <c r="H166" s="4">
        <v>117</v>
      </c>
      <c r="I166" s="4">
        <v>5</v>
      </c>
      <c r="J166" s="4">
        <v>7457</v>
      </c>
      <c r="K166" s="4">
        <v>3012</v>
      </c>
      <c r="L166" s="4">
        <v>0</v>
      </c>
      <c r="M166" s="4">
        <f t="shared" si="8"/>
        <v>66945</v>
      </c>
      <c r="N166" s="71">
        <f t="shared" si="9"/>
        <v>0.88515169441392716</v>
      </c>
      <c r="O166" s="71">
        <f t="shared" si="10"/>
        <v>4.7624440125073946</v>
      </c>
      <c r="P166" s="71">
        <f t="shared" si="11"/>
        <v>5.6574833093889971</v>
      </c>
    </row>
    <row r="167" spans="1:16" ht="13.5" thickBot="1" x14ac:dyDescent="0.25">
      <c r="A167" s="2" t="s">
        <v>373</v>
      </c>
      <c r="B167" s="72" t="s">
        <v>155</v>
      </c>
      <c r="C167" s="2" t="s">
        <v>32</v>
      </c>
      <c r="D167" s="4">
        <v>10857</v>
      </c>
      <c r="E167" s="4">
        <v>44608</v>
      </c>
      <c r="F167" s="4">
        <v>1190</v>
      </c>
      <c r="G167" s="4">
        <v>1815</v>
      </c>
      <c r="H167" s="4">
        <v>66</v>
      </c>
      <c r="I167" s="4">
        <v>1</v>
      </c>
      <c r="J167" s="4">
        <v>14728</v>
      </c>
      <c r="K167" s="4">
        <v>5858</v>
      </c>
      <c r="L167" s="4">
        <v>0</v>
      </c>
      <c r="M167" s="4">
        <f t="shared" si="8"/>
        <v>68266</v>
      </c>
      <c r="N167" s="71">
        <f t="shared" si="9"/>
        <v>1.8961960025789812</v>
      </c>
      <c r="O167" s="71">
        <f t="shared" si="10"/>
        <v>4.3854655982315558</v>
      </c>
      <c r="P167" s="71">
        <f t="shared" si="11"/>
        <v>6.2877406281661603</v>
      </c>
    </row>
    <row r="168" spans="1:16" ht="13.5" thickBot="1" x14ac:dyDescent="0.25">
      <c r="A168" s="2" t="s">
        <v>375</v>
      </c>
      <c r="B168" s="72" t="s">
        <v>159</v>
      </c>
      <c r="C168" s="2" t="s">
        <v>32</v>
      </c>
      <c r="D168" s="4">
        <v>9483</v>
      </c>
      <c r="E168" s="4">
        <v>19876</v>
      </c>
      <c r="F168" s="4">
        <v>695</v>
      </c>
      <c r="G168" s="4">
        <v>1066</v>
      </c>
      <c r="H168" s="4">
        <v>0</v>
      </c>
      <c r="I168" s="4">
        <v>0</v>
      </c>
      <c r="J168" s="4">
        <v>9854</v>
      </c>
      <c r="K168" s="4">
        <v>2941</v>
      </c>
      <c r="L168" s="4">
        <v>0</v>
      </c>
      <c r="M168" s="4">
        <f t="shared" si="8"/>
        <v>34432</v>
      </c>
      <c r="N168" s="71">
        <f t="shared" si="9"/>
        <v>1.3492565643783612</v>
      </c>
      <c r="O168" s="71">
        <f t="shared" si="10"/>
        <v>2.2816619213329115</v>
      </c>
      <c r="P168" s="71">
        <f t="shared" si="11"/>
        <v>3.6309184857112728</v>
      </c>
    </row>
    <row r="169" spans="1:16" ht="13.5" thickBot="1" x14ac:dyDescent="0.25">
      <c r="A169" s="2" t="s">
        <v>377</v>
      </c>
      <c r="B169" s="72" t="s">
        <v>161</v>
      </c>
      <c r="C169" s="2" t="s">
        <v>32</v>
      </c>
      <c r="D169" s="4">
        <v>8257</v>
      </c>
      <c r="E169" s="4">
        <v>34168</v>
      </c>
      <c r="F169" s="4">
        <v>2473</v>
      </c>
      <c r="G169" s="4">
        <v>3638</v>
      </c>
      <c r="H169" s="4">
        <v>26</v>
      </c>
      <c r="I169" s="4">
        <v>8</v>
      </c>
      <c r="J169" s="4">
        <v>12338</v>
      </c>
      <c r="K169" s="4">
        <v>2651</v>
      </c>
      <c r="L169" s="4">
        <v>33</v>
      </c>
      <c r="M169" s="4">
        <f t="shared" si="8"/>
        <v>55335</v>
      </c>
      <c r="N169" s="71">
        <f t="shared" si="9"/>
        <v>1.8202737071575632</v>
      </c>
      <c r="O169" s="71">
        <f t="shared" si="10"/>
        <v>4.8781639820758143</v>
      </c>
      <c r="P169" s="71">
        <f t="shared" si="11"/>
        <v>6.7015865326389727</v>
      </c>
    </row>
    <row r="170" spans="1:16" ht="13.5" thickBot="1" x14ac:dyDescent="0.25">
      <c r="A170" s="2" t="s">
        <v>379</v>
      </c>
      <c r="B170" s="72" t="s">
        <v>167</v>
      </c>
      <c r="C170" s="2" t="s">
        <v>32</v>
      </c>
      <c r="D170" s="4">
        <v>9810</v>
      </c>
      <c r="E170" s="4">
        <v>38581</v>
      </c>
      <c r="F170" s="4">
        <v>4296</v>
      </c>
      <c r="G170" s="4">
        <v>3665</v>
      </c>
      <c r="H170" s="4">
        <v>156</v>
      </c>
      <c r="I170" s="4">
        <v>4</v>
      </c>
      <c r="J170" s="4">
        <v>25991</v>
      </c>
      <c r="K170" s="4">
        <v>3966</v>
      </c>
      <c r="L170" s="4">
        <v>170</v>
      </c>
      <c r="M170" s="4">
        <f t="shared" si="8"/>
        <v>76829</v>
      </c>
      <c r="N170" s="71">
        <f t="shared" si="9"/>
        <v>3.0714576962283386</v>
      </c>
      <c r="O170" s="71">
        <f t="shared" si="10"/>
        <v>4.7443425076452597</v>
      </c>
      <c r="P170" s="71">
        <f t="shared" si="11"/>
        <v>7.8317023445463816</v>
      </c>
    </row>
    <row r="171" spans="1:16" ht="13.5" thickBot="1" x14ac:dyDescent="0.25">
      <c r="A171" s="2" t="s">
        <v>381</v>
      </c>
      <c r="B171" s="72" t="s">
        <v>203</v>
      </c>
      <c r="C171" s="2" t="s">
        <v>32</v>
      </c>
      <c r="D171" s="4">
        <v>11862</v>
      </c>
      <c r="E171" s="4">
        <v>31827</v>
      </c>
      <c r="F171" s="4">
        <v>1438</v>
      </c>
      <c r="G171" s="4">
        <v>2924</v>
      </c>
      <c r="H171" s="4">
        <v>57</v>
      </c>
      <c r="I171" s="4">
        <v>6</v>
      </c>
      <c r="J171" s="4">
        <v>12482</v>
      </c>
      <c r="K171" s="4">
        <v>19991</v>
      </c>
      <c r="L171" s="4">
        <v>13637</v>
      </c>
      <c r="M171" s="4">
        <f t="shared" si="8"/>
        <v>82362</v>
      </c>
      <c r="N171" s="71">
        <f t="shared" si="9"/>
        <v>3.8877086494688924</v>
      </c>
      <c r="O171" s="71">
        <f t="shared" si="10"/>
        <v>3.0508345978755691</v>
      </c>
      <c r="P171" s="71">
        <f t="shared" si="11"/>
        <v>6.9433485078401622</v>
      </c>
    </row>
    <row r="172" spans="1:16" ht="13.5" thickBot="1" x14ac:dyDescent="0.25">
      <c r="A172" s="2" t="s">
        <v>383</v>
      </c>
      <c r="B172" s="72" t="s">
        <v>228</v>
      </c>
      <c r="C172" s="2" t="s">
        <v>32</v>
      </c>
      <c r="D172" s="4">
        <v>10021</v>
      </c>
      <c r="E172" s="4">
        <v>25612</v>
      </c>
      <c r="F172" s="4">
        <v>1416</v>
      </c>
      <c r="G172" s="4">
        <v>2287</v>
      </c>
      <c r="H172" s="4">
        <v>0</v>
      </c>
      <c r="I172" s="4">
        <v>0</v>
      </c>
      <c r="J172" s="4">
        <v>0</v>
      </c>
      <c r="K172" s="4">
        <v>0</v>
      </c>
      <c r="L172" s="4">
        <v>0</v>
      </c>
      <c r="M172" s="4">
        <f t="shared" si="8"/>
        <v>29315</v>
      </c>
      <c r="N172" s="71">
        <f t="shared" si="9"/>
        <v>0</v>
      </c>
      <c r="O172" s="71">
        <f t="shared" si="10"/>
        <v>2.925356750823271</v>
      </c>
      <c r="P172" s="71">
        <f t="shared" si="11"/>
        <v>2.925356750823271</v>
      </c>
    </row>
    <row r="173" spans="1:16" ht="13.5" thickBot="1" x14ac:dyDescent="0.25">
      <c r="A173" s="2" t="s">
        <v>385</v>
      </c>
      <c r="B173" s="72" t="s">
        <v>242</v>
      </c>
      <c r="C173" s="2" t="s">
        <v>32</v>
      </c>
      <c r="D173" s="4">
        <v>7439</v>
      </c>
      <c r="E173" s="4">
        <v>32369</v>
      </c>
      <c r="F173" s="4">
        <v>824</v>
      </c>
      <c r="G173" s="4">
        <v>2302</v>
      </c>
      <c r="H173" s="4">
        <v>45</v>
      </c>
      <c r="I173" s="4">
        <v>5</v>
      </c>
      <c r="J173" s="4">
        <v>12182</v>
      </c>
      <c r="K173" s="4">
        <v>2876</v>
      </c>
      <c r="L173" s="4">
        <v>0</v>
      </c>
      <c r="M173" s="4">
        <f t="shared" si="8"/>
        <v>50603</v>
      </c>
      <c r="N173" s="71">
        <f t="shared" si="9"/>
        <v>2.0248689339965047</v>
      </c>
      <c r="O173" s="71">
        <f t="shared" si="10"/>
        <v>4.7714746605726575</v>
      </c>
      <c r="P173" s="71">
        <f t="shared" si="11"/>
        <v>6.8023927947304745</v>
      </c>
    </row>
    <row r="174" spans="1:16" ht="13.5" thickBot="1" x14ac:dyDescent="0.25">
      <c r="A174" s="2" t="s">
        <v>387</v>
      </c>
      <c r="B174" s="72" t="s">
        <v>256</v>
      </c>
      <c r="C174" s="2" t="s">
        <v>32</v>
      </c>
      <c r="D174" s="4">
        <v>7392</v>
      </c>
      <c r="E174" s="4">
        <v>35757</v>
      </c>
      <c r="F174" s="4">
        <v>436</v>
      </c>
      <c r="G174" s="4">
        <v>1076</v>
      </c>
      <c r="H174" s="4">
        <v>35</v>
      </c>
      <c r="I174" s="4">
        <v>0</v>
      </c>
      <c r="J174" s="4">
        <v>14439</v>
      </c>
      <c r="K174" s="4">
        <v>2834</v>
      </c>
      <c r="L174" s="4">
        <v>279</v>
      </c>
      <c r="M174" s="4">
        <f t="shared" si="8"/>
        <v>54856</v>
      </c>
      <c r="N174" s="71">
        <f t="shared" si="9"/>
        <v>2.3744588744588744</v>
      </c>
      <c r="O174" s="71">
        <f t="shared" si="10"/>
        <v>5.0418019480519485</v>
      </c>
      <c r="P174" s="71">
        <f t="shared" si="11"/>
        <v>7.420995670995671</v>
      </c>
    </row>
    <row r="175" spans="1:16" ht="13.5" thickBot="1" x14ac:dyDescent="0.25">
      <c r="A175" s="2" t="s">
        <v>389</v>
      </c>
      <c r="B175" s="72" t="s">
        <v>260</v>
      </c>
      <c r="C175" s="2" t="s">
        <v>32</v>
      </c>
      <c r="D175" s="4">
        <v>9512</v>
      </c>
      <c r="E175" s="4">
        <v>40955</v>
      </c>
      <c r="F175" s="4">
        <v>2430</v>
      </c>
      <c r="G175" s="4">
        <v>2043</v>
      </c>
      <c r="H175" s="4">
        <v>29</v>
      </c>
      <c r="I175" s="4">
        <v>0</v>
      </c>
      <c r="J175" s="4">
        <v>0</v>
      </c>
      <c r="K175" s="4">
        <v>0</v>
      </c>
      <c r="L175" s="4">
        <v>0</v>
      </c>
      <c r="M175" s="4">
        <f t="shared" si="8"/>
        <v>45457</v>
      </c>
      <c r="N175" s="71">
        <f t="shared" si="9"/>
        <v>0</v>
      </c>
      <c r="O175" s="71">
        <f t="shared" si="10"/>
        <v>4.7758620689655169</v>
      </c>
      <c r="P175" s="71">
        <f t="shared" si="11"/>
        <v>4.7789108494533226</v>
      </c>
    </row>
    <row r="176" spans="1:16" ht="13.5" thickBot="1" x14ac:dyDescent="0.25">
      <c r="A176" s="2" t="s">
        <v>391</v>
      </c>
      <c r="B176" s="72" t="s">
        <v>272</v>
      </c>
      <c r="C176" s="2" t="s">
        <v>32</v>
      </c>
      <c r="D176" s="4">
        <v>7717</v>
      </c>
      <c r="E176" s="4">
        <v>36977</v>
      </c>
      <c r="F176" s="4">
        <v>1600</v>
      </c>
      <c r="G176" s="4">
        <v>57</v>
      </c>
      <c r="H176" s="4">
        <v>39</v>
      </c>
      <c r="I176" s="4">
        <v>0</v>
      </c>
      <c r="J176" s="4">
        <v>0</v>
      </c>
      <c r="K176" s="4">
        <v>0</v>
      </c>
      <c r="L176" s="4">
        <v>0</v>
      </c>
      <c r="M176" s="4">
        <f t="shared" si="8"/>
        <v>38673</v>
      </c>
      <c r="N176" s="71">
        <f t="shared" si="9"/>
        <v>0</v>
      </c>
      <c r="O176" s="71">
        <f t="shared" si="10"/>
        <v>5.0063496177270963</v>
      </c>
      <c r="P176" s="71">
        <f t="shared" si="11"/>
        <v>5.0114033951017234</v>
      </c>
    </row>
    <row r="177" spans="1:16" ht="13.5" thickBot="1" x14ac:dyDescent="0.25">
      <c r="A177" s="2" t="s">
        <v>393</v>
      </c>
      <c r="B177" s="72" t="s">
        <v>296</v>
      </c>
      <c r="C177" s="2" t="s">
        <v>32</v>
      </c>
      <c r="D177" s="4">
        <v>7824</v>
      </c>
      <c r="E177" s="4">
        <v>34046</v>
      </c>
      <c r="F177" s="4">
        <v>1197</v>
      </c>
      <c r="G177" s="4">
        <v>1037</v>
      </c>
      <c r="H177" s="4">
        <v>44</v>
      </c>
      <c r="I177" s="4">
        <v>4</v>
      </c>
      <c r="J177" s="4">
        <v>13549</v>
      </c>
      <c r="K177" s="4">
        <v>3518</v>
      </c>
      <c r="L177" s="4">
        <v>0</v>
      </c>
      <c r="M177" s="4">
        <f t="shared" si="8"/>
        <v>53395</v>
      </c>
      <c r="N177" s="71">
        <f t="shared" si="9"/>
        <v>2.1818762781186094</v>
      </c>
      <c r="O177" s="71">
        <f t="shared" si="10"/>
        <v>4.6370143149284253</v>
      </c>
      <c r="P177" s="71">
        <f t="shared" si="11"/>
        <v>6.8245143149284253</v>
      </c>
    </row>
    <row r="178" spans="1:16" ht="13.5" thickBot="1" x14ac:dyDescent="0.25">
      <c r="A178" s="2" t="s">
        <v>395</v>
      </c>
      <c r="B178" s="72" t="s">
        <v>308</v>
      </c>
      <c r="C178" s="2" t="s">
        <v>32</v>
      </c>
      <c r="D178" s="4">
        <v>9476</v>
      </c>
      <c r="E178" s="4">
        <v>21366</v>
      </c>
      <c r="F178" s="4">
        <v>763</v>
      </c>
      <c r="G178" s="4">
        <v>1143</v>
      </c>
      <c r="H178" s="4">
        <v>25</v>
      </c>
      <c r="I178" s="4">
        <v>0</v>
      </c>
      <c r="J178" s="4">
        <v>14439</v>
      </c>
      <c r="K178" s="4">
        <v>2779</v>
      </c>
      <c r="L178" s="4">
        <v>279</v>
      </c>
      <c r="M178" s="4">
        <f t="shared" si="8"/>
        <v>40794</v>
      </c>
      <c r="N178" s="71">
        <f t="shared" si="9"/>
        <v>1.8464542000844237</v>
      </c>
      <c r="O178" s="71">
        <f t="shared" si="10"/>
        <v>2.4558885605740817</v>
      </c>
      <c r="P178" s="71">
        <f t="shared" si="11"/>
        <v>4.3049810046433095</v>
      </c>
    </row>
    <row r="179" spans="1:16" ht="13.5" thickBot="1" x14ac:dyDescent="0.25">
      <c r="A179" s="2" t="s">
        <v>397</v>
      </c>
      <c r="B179" s="72" t="s">
        <v>314</v>
      </c>
      <c r="C179" s="2" t="s">
        <v>32</v>
      </c>
      <c r="D179" s="4">
        <v>10983</v>
      </c>
      <c r="E179" s="4">
        <v>48508</v>
      </c>
      <c r="F179" s="4">
        <v>4713</v>
      </c>
      <c r="G179" s="4">
        <v>4704</v>
      </c>
      <c r="H179" s="4">
        <v>104</v>
      </c>
      <c r="I179" s="4">
        <v>3</v>
      </c>
      <c r="J179" s="4">
        <v>7363</v>
      </c>
      <c r="K179" s="4">
        <v>2925</v>
      </c>
      <c r="L179" s="4">
        <v>0</v>
      </c>
      <c r="M179" s="4">
        <f t="shared" si="8"/>
        <v>68320</v>
      </c>
      <c r="N179" s="71">
        <f t="shared" si="9"/>
        <v>0.93699353546389874</v>
      </c>
      <c r="O179" s="71">
        <f t="shared" si="10"/>
        <v>5.2740599107711921</v>
      </c>
      <c r="P179" s="71">
        <f t="shared" si="11"/>
        <v>6.2205226258763542</v>
      </c>
    </row>
    <row r="180" spans="1:16" ht="13.5" thickBot="1" x14ac:dyDescent="0.25">
      <c r="A180" s="2" t="s">
        <v>399</v>
      </c>
      <c r="B180" s="72" t="s">
        <v>322</v>
      </c>
      <c r="C180" s="2" t="s">
        <v>32</v>
      </c>
      <c r="D180" s="4">
        <v>11239</v>
      </c>
      <c r="E180" s="4">
        <v>42762</v>
      </c>
      <c r="F180" s="4">
        <v>1925</v>
      </c>
      <c r="G180" s="4">
        <v>882</v>
      </c>
      <c r="H180" s="4">
        <v>25</v>
      </c>
      <c r="I180" s="4">
        <v>1</v>
      </c>
      <c r="J180" s="4">
        <v>6599</v>
      </c>
      <c r="K180" s="4">
        <v>2836</v>
      </c>
      <c r="L180" s="4">
        <v>0</v>
      </c>
      <c r="M180" s="4">
        <f t="shared" si="8"/>
        <v>55030</v>
      </c>
      <c r="N180" s="71">
        <f t="shared" si="9"/>
        <v>0.83957647477533592</v>
      </c>
      <c r="O180" s="71">
        <f t="shared" si="10"/>
        <v>4.0545422190586349</v>
      </c>
      <c r="P180" s="71">
        <f t="shared" si="11"/>
        <v>4.8963430910223327</v>
      </c>
    </row>
    <row r="181" spans="1:16" ht="13.5" thickBot="1" x14ac:dyDescent="0.25">
      <c r="A181" s="2" t="s">
        <v>401</v>
      </c>
      <c r="B181" s="72" t="s">
        <v>336</v>
      </c>
      <c r="C181" s="2" t="s">
        <v>32</v>
      </c>
      <c r="D181" s="4">
        <v>8875</v>
      </c>
      <c r="E181" s="4">
        <v>33209</v>
      </c>
      <c r="F181" s="4">
        <v>2828</v>
      </c>
      <c r="G181" s="4">
        <v>2169</v>
      </c>
      <c r="H181" s="4">
        <v>40</v>
      </c>
      <c r="I181" s="4">
        <v>5</v>
      </c>
      <c r="J181" s="4">
        <v>11168</v>
      </c>
      <c r="K181" s="4">
        <v>7175</v>
      </c>
      <c r="L181" s="4">
        <v>2351</v>
      </c>
      <c r="M181" s="4">
        <f t="shared" si="8"/>
        <v>58945</v>
      </c>
      <c r="N181" s="71">
        <f t="shared" si="9"/>
        <v>2.332281690140845</v>
      </c>
      <c r="O181" s="71">
        <f t="shared" si="10"/>
        <v>4.3049014084507045</v>
      </c>
      <c r="P181" s="71">
        <f t="shared" si="11"/>
        <v>6.6416901408450704</v>
      </c>
    </row>
    <row r="182" spans="1:16" ht="13.5" thickBot="1" x14ac:dyDescent="0.25">
      <c r="A182" s="2" t="s">
        <v>403</v>
      </c>
      <c r="B182" s="72" t="s">
        <v>356</v>
      </c>
      <c r="C182" s="2" t="s">
        <v>32</v>
      </c>
      <c r="D182" s="4">
        <v>8133</v>
      </c>
      <c r="E182" s="4">
        <v>24611</v>
      </c>
      <c r="F182" s="4">
        <v>3660</v>
      </c>
      <c r="G182" s="4">
        <v>1629</v>
      </c>
      <c r="H182" s="4">
        <v>105</v>
      </c>
      <c r="I182" s="4">
        <v>10</v>
      </c>
      <c r="J182" s="4">
        <v>12548</v>
      </c>
      <c r="K182" s="4">
        <v>4365</v>
      </c>
      <c r="L182" s="4">
        <v>51</v>
      </c>
      <c r="M182" s="4">
        <f t="shared" si="8"/>
        <v>46979</v>
      </c>
      <c r="N182" s="71">
        <f t="shared" si="9"/>
        <v>2.0870527480634453</v>
      </c>
      <c r="O182" s="71">
        <f t="shared" si="10"/>
        <v>3.676380179515554</v>
      </c>
      <c r="P182" s="71">
        <f t="shared" si="11"/>
        <v>5.7763432927578995</v>
      </c>
    </row>
    <row r="183" spans="1:16" ht="13.5" thickBot="1" x14ac:dyDescent="0.25">
      <c r="A183" s="2" t="s">
        <v>405</v>
      </c>
      <c r="B183" s="72" t="s">
        <v>364</v>
      </c>
      <c r="C183" s="2" t="s">
        <v>32</v>
      </c>
      <c r="D183" s="4">
        <v>7135</v>
      </c>
      <c r="E183" s="4">
        <v>18431</v>
      </c>
      <c r="F183" s="4">
        <v>1808</v>
      </c>
      <c r="G183" s="4">
        <v>2536</v>
      </c>
      <c r="H183" s="4">
        <v>71</v>
      </c>
      <c r="I183" s="4">
        <v>2</v>
      </c>
      <c r="J183" s="4">
        <v>6907</v>
      </c>
      <c r="K183" s="4">
        <v>2773</v>
      </c>
      <c r="L183" s="4">
        <v>0</v>
      </c>
      <c r="M183" s="4">
        <f t="shared" si="8"/>
        <v>32528</v>
      </c>
      <c r="N183" s="71">
        <f t="shared" si="9"/>
        <v>1.3569726699369307</v>
      </c>
      <c r="O183" s="71">
        <f t="shared" si="10"/>
        <v>3.1920112123335671</v>
      </c>
      <c r="P183" s="71">
        <f t="shared" si="11"/>
        <v>4.5589348283111422</v>
      </c>
    </row>
    <row r="184" spans="1:16" ht="13.5" thickBot="1" x14ac:dyDescent="0.25">
      <c r="A184" s="2" t="s">
        <v>407</v>
      </c>
      <c r="B184" s="72" t="s">
        <v>372</v>
      </c>
      <c r="C184" s="2" t="s">
        <v>32</v>
      </c>
      <c r="D184" s="4">
        <v>11870</v>
      </c>
      <c r="E184" s="4">
        <v>50237</v>
      </c>
      <c r="F184" s="4">
        <v>1471</v>
      </c>
      <c r="G184" s="4">
        <v>1134</v>
      </c>
      <c r="H184" s="4">
        <v>57</v>
      </c>
      <c r="I184" s="4">
        <v>2</v>
      </c>
      <c r="J184" s="4">
        <v>22876</v>
      </c>
      <c r="K184" s="4">
        <v>1994</v>
      </c>
      <c r="L184" s="4">
        <v>0</v>
      </c>
      <c r="M184" s="4">
        <f t="shared" si="8"/>
        <v>77771</v>
      </c>
      <c r="N184" s="71">
        <f t="shared" si="9"/>
        <v>2.0953664700926704</v>
      </c>
      <c r="O184" s="71">
        <f t="shared" si="10"/>
        <v>4.4517270429654587</v>
      </c>
      <c r="P184" s="71">
        <f t="shared" si="11"/>
        <v>6.5518955349620889</v>
      </c>
    </row>
    <row r="185" spans="1:16" ht="13.5" thickBot="1" x14ac:dyDescent="0.25">
      <c r="A185" s="2" t="s">
        <v>409</v>
      </c>
      <c r="B185" s="72" t="s">
        <v>392</v>
      </c>
      <c r="C185" s="2" t="s">
        <v>32</v>
      </c>
      <c r="D185" s="4">
        <v>8764</v>
      </c>
      <c r="E185" s="4">
        <v>39070</v>
      </c>
      <c r="F185" s="4">
        <v>2838</v>
      </c>
      <c r="G185" s="4">
        <v>2350</v>
      </c>
      <c r="H185" s="4">
        <v>125</v>
      </c>
      <c r="I185" s="4">
        <v>3</v>
      </c>
      <c r="J185" s="4">
        <v>19419</v>
      </c>
      <c r="K185" s="4">
        <v>2880</v>
      </c>
      <c r="L185" s="4">
        <v>978</v>
      </c>
      <c r="M185" s="4">
        <f t="shared" si="8"/>
        <v>67663</v>
      </c>
      <c r="N185" s="71">
        <f t="shared" si="9"/>
        <v>2.6563213144682791</v>
      </c>
      <c r="O185" s="71">
        <f t="shared" si="10"/>
        <v>5.0499771793701509</v>
      </c>
      <c r="P185" s="71">
        <f t="shared" si="11"/>
        <v>7.7205613874942944</v>
      </c>
    </row>
    <row r="186" spans="1:16" ht="13.5" thickBot="1" x14ac:dyDescent="0.25">
      <c r="A186" s="2" t="s">
        <v>411</v>
      </c>
      <c r="B186" s="72" t="s">
        <v>424</v>
      </c>
      <c r="C186" s="2" t="s">
        <v>32</v>
      </c>
      <c r="D186" s="4">
        <v>9555</v>
      </c>
      <c r="E186" s="4">
        <v>21000</v>
      </c>
      <c r="F186" s="4">
        <v>737</v>
      </c>
      <c r="G186" s="4">
        <v>2027</v>
      </c>
      <c r="H186" s="4">
        <v>36</v>
      </c>
      <c r="I186" s="4">
        <v>0</v>
      </c>
      <c r="J186" s="4">
        <v>9000</v>
      </c>
      <c r="K186" s="4">
        <v>1000</v>
      </c>
      <c r="L186" s="4">
        <v>0</v>
      </c>
      <c r="M186" s="4">
        <f t="shared" si="8"/>
        <v>33800</v>
      </c>
      <c r="N186" s="71">
        <f t="shared" si="9"/>
        <v>1.0465724751439036</v>
      </c>
      <c r="O186" s="71">
        <f t="shared" si="10"/>
        <v>2.4870748299319727</v>
      </c>
      <c r="P186" s="71">
        <f t="shared" si="11"/>
        <v>3.5374149659863945</v>
      </c>
    </row>
    <row r="187" spans="1:16" ht="13.5" thickBot="1" x14ac:dyDescent="0.25">
      <c r="A187" s="2" t="s">
        <v>413</v>
      </c>
      <c r="B187" s="72" t="s">
        <v>422</v>
      </c>
      <c r="C187" s="2" t="s">
        <v>32</v>
      </c>
      <c r="D187" s="4">
        <v>9533</v>
      </c>
      <c r="E187" s="4">
        <v>21404</v>
      </c>
      <c r="F187" s="4">
        <v>1157</v>
      </c>
      <c r="G187" s="4">
        <v>1107</v>
      </c>
      <c r="H187" s="4">
        <v>38</v>
      </c>
      <c r="I187" s="4">
        <v>0</v>
      </c>
      <c r="J187" s="4">
        <v>8520</v>
      </c>
      <c r="K187" s="4">
        <v>3374</v>
      </c>
      <c r="L187" s="4">
        <v>285</v>
      </c>
      <c r="M187" s="4">
        <f t="shared" si="8"/>
        <v>35885</v>
      </c>
      <c r="N187" s="71">
        <f t="shared" si="9"/>
        <v>1.2775621525228156</v>
      </c>
      <c r="O187" s="71">
        <f t="shared" si="10"/>
        <v>2.482744151893423</v>
      </c>
      <c r="P187" s="71">
        <f t="shared" si="11"/>
        <v>3.7642924577782439</v>
      </c>
    </row>
    <row r="188" spans="1:16" ht="13.5" thickBot="1" x14ac:dyDescent="0.25">
      <c r="A188" s="2" t="s">
        <v>415</v>
      </c>
      <c r="B188" s="72" t="s">
        <v>446</v>
      </c>
      <c r="C188" s="2" t="s">
        <v>32</v>
      </c>
      <c r="D188" s="4">
        <v>10470</v>
      </c>
      <c r="E188" s="4">
        <v>24727</v>
      </c>
      <c r="F188" s="4">
        <v>1403</v>
      </c>
      <c r="G188" s="4">
        <v>2933</v>
      </c>
      <c r="H188" s="4">
        <v>25</v>
      </c>
      <c r="I188" s="4">
        <v>0</v>
      </c>
      <c r="J188" s="4">
        <v>1108</v>
      </c>
      <c r="K188" s="4">
        <v>0</v>
      </c>
      <c r="L188" s="4">
        <v>0</v>
      </c>
      <c r="M188" s="4">
        <f t="shared" si="8"/>
        <v>30196</v>
      </c>
      <c r="N188" s="71">
        <f t="shared" si="9"/>
        <v>0.10582617000955109</v>
      </c>
      <c r="O188" s="71">
        <f t="shared" si="10"/>
        <v>2.7758357211079274</v>
      </c>
      <c r="P188" s="71">
        <f t="shared" si="11"/>
        <v>2.8840496657115566</v>
      </c>
    </row>
    <row r="189" spans="1:16" ht="13.5" thickBot="1" x14ac:dyDescent="0.25">
      <c r="A189" s="2" t="s">
        <v>417</v>
      </c>
      <c r="B189" s="72" t="s">
        <v>460</v>
      </c>
      <c r="C189" s="2" t="s">
        <v>32</v>
      </c>
      <c r="D189" s="4">
        <v>11581</v>
      </c>
      <c r="E189" s="4">
        <v>38341</v>
      </c>
      <c r="F189" s="4">
        <v>2711</v>
      </c>
      <c r="G189" s="4">
        <v>3303</v>
      </c>
      <c r="H189" s="4">
        <v>38</v>
      </c>
      <c r="I189" s="4">
        <v>0</v>
      </c>
      <c r="J189" s="4">
        <v>12299</v>
      </c>
      <c r="K189" s="4">
        <v>2618</v>
      </c>
      <c r="L189" s="4">
        <v>0</v>
      </c>
      <c r="M189" s="4">
        <f t="shared" si="8"/>
        <v>59310</v>
      </c>
      <c r="N189" s="71">
        <f t="shared" si="9"/>
        <v>1.2880580260771954</v>
      </c>
      <c r="O189" s="71">
        <f t="shared" si="10"/>
        <v>3.8299801398842934</v>
      </c>
      <c r="P189" s="71">
        <f t="shared" si="11"/>
        <v>5.1213194024695623</v>
      </c>
    </row>
    <row r="190" spans="1:16" ht="13.5" thickBot="1" x14ac:dyDescent="0.25">
      <c r="A190" s="2" t="s">
        <v>419</v>
      </c>
      <c r="B190" s="72" t="s">
        <v>483</v>
      </c>
      <c r="C190" s="2" t="s">
        <v>32</v>
      </c>
      <c r="D190" s="4">
        <v>7312</v>
      </c>
      <c r="E190" s="4">
        <v>24259</v>
      </c>
      <c r="F190" s="4">
        <v>1738</v>
      </c>
      <c r="G190" s="4">
        <v>4233</v>
      </c>
      <c r="H190" s="4">
        <v>24</v>
      </c>
      <c r="I190" s="4">
        <v>2</v>
      </c>
      <c r="J190" s="4">
        <v>10400</v>
      </c>
      <c r="K190" s="4">
        <v>0</v>
      </c>
      <c r="L190" s="4">
        <v>0</v>
      </c>
      <c r="M190" s="4">
        <f t="shared" si="8"/>
        <v>40656</v>
      </c>
      <c r="N190" s="71">
        <f t="shared" si="9"/>
        <v>1.4225929978118161</v>
      </c>
      <c r="O190" s="71">
        <f t="shared" si="10"/>
        <v>4.1342997811816193</v>
      </c>
      <c r="P190" s="71">
        <f t="shared" si="11"/>
        <v>5.5601750547045956</v>
      </c>
    </row>
    <row r="191" spans="1:16" ht="13.5" thickBot="1" x14ac:dyDescent="0.25">
      <c r="A191" s="2" t="s">
        <v>421</v>
      </c>
      <c r="B191" s="72" t="s">
        <v>489</v>
      </c>
      <c r="C191" s="2" t="s">
        <v>32</v>
      </c>
      <c r="D191" s="4">
        <v>8344</v>
      </c>
      <c r="E191" s="4">
        <v>32739</v>
      </c>
      <c r="F191" s="4">
        <v>773</v>
      </c>
      <c r="G191" s="4">
        <v>291</v>
      </c>
      <c r="H191" s="4">
        <v>39</v>
      </c>
      <c r="I191" s="4">
        <v>101</v>
      </c>
      <c r="J191" s="4">
        <v>8012</v>
      </c>
      <c r="K191" s="4">
        <v>3347</v>
      </c>
      <c r="L191" s="4">
        <v>285</v>
      </c>
      <c r="M191" s="4">
        <f t="shared" si="8"/>
        <v>45587</v>
      </c>
      <c r="N191" s="71">
        <f t="shared" si="9"/>
        <v>1.4075982742090125</v>
      </c>
      <c r="O191" s="71">
        <f t="shared" si="10"/>
        <v>4.0511744966442951</v>
      </c>
      <c r="P191" s="71">
        <f t="shared" si="11"/>
        <v>5.4634467881112174</v>
      </c>
    </row>
    <row r="192" spans="1:16" ht="13.5" thickBot="1" x14ac:dyDescent="0.25">
      <c r="A192" s="2" t="s">
        <v>425</v>
      </c>
      <c r="B192" s="72" t="s">
        <v>509</v>
      </c>
      <c r="C192" s="2" t="s">
        <v>32</v>
      </c>
      <c r="D192" s="4">
        <v>10715</v>
      </c>
      <c r="E192" s="4">
        <v>32363</v>
      </c>
      <c r="F192" s="4">
        <v>535</v>
      </c>
      <c r="G192" s="4">
        <v>1857</v>
      </c>
      <c r="H192" s="4">
        <v>17</v>
      </c>
      <c r="I192" s="4">
        <v>0</v>
      </c>
      <c r="J192" s="4">
        <v>0</v>
      </c>
      <c r="K192" s="4">
        <v>0</v>
      </c>
      <c r="L192" s="4">
        <v>0</v>
      </c>
      <c r="M192" s="4">
        <f t="shared" si="8"/>
        <v>34772</v>
      </c>
      <c r="N192" s="71">
        <f t="shared" si="9"/>
        <v>0</v>
      </c>
      <c r="O192" s="71">
        <f t="shared" si="10"/>
        <v>3.2435837610825944</v>
      </c>
      <c r="P192" s="71">
        <f t="shared" si="11"/>
        <v>3.2451703219785348</v>
      </c>
    </row>
    <row r="193" spans="1:16" ht="13.5" thickBot="1" x14ac:dyDescent="0.25">
      <c r="A193" s="2" t="s">
        <v>427</v>
      </c>
      <c r="B193" s="72" t="s">
        <v>521</v>
      </c>
      <c r="C193" s="2" t="s">
        <v>32</v>
      </c>
      <c r="D193" s="4">
        <v>7424</v>
      </c>
      <c r="E193" s="4">
        <v>25852</v>
      </c>
      <c r="F193" s="4">
        <v>768</v>
      </c>
      <c r="G193" s="4">
        <v>1374</v>
      </c>
      <c r="H193" s="4">
        <v>26</v>
      </c>
      <c r="I193" s="4">
        <v>0</v>
      </c>
      <c r="J193" s="4">
        <v>7508</v>
      </c>
      <c r="K193" s="4">
        <v>3053</v>
      </c>
      <c r="L193" s="4">
        <v>0</v>
      </c>
      <c r="M193" s="4">
        <f t="shared" si="8"/>
        <v>38581</v>
      </c>
      <c r="N193" s="71">
        <f t="shared" si="9"/>
        <v>1.4225484913793103</v>
      </c>
      <c r="O193" s="71">
        <f t="shared" si="10"/>
        <v>3.7707435344827585</v>
      </c>
      <c r="P193" s="71">
        <f t="shared" si="11"/>
        <v>5.1967941810344831</v>
      </c>
    </row>
    <row r="194" spans="1:16" ht="13.5" thickBot="1" x14ac:dyDescent="0.25">
      <c r="A194" s="2" t="s">
        <v>429</v>
      </c>
      <c r="B194" s="72" t="s">
        <v>527</v>
      </c>
      <c r="C194" s="2" t="s">
        <v>32</v>
      </c>
      <c r="D194" s="4">
        <v>9765</v>
      </c>
      <c r="E194" s="4">
        <v>45572</v>
      </c>
      <c r="F194" s="4">
        <v>685</v>
      </c>
      <c r="G194" s="4">
        <v>5360</v>
      </c>
      <c r="H194" s="4">
        <v>25</v>
      </c>
      <c r="I194" s="4">
        <v>0</v>
      </c>
      <c r="J194" s="4">
        <v>15422</v>
      </c>
      <c r="K194" s="4">
        <v>2658</v>
      </c>
      <c r="L194" s="4">
        <v>0</v>
      </c>
      <c r="M194" s="4">
        <f t="shared" si="8"/>
        <v>69722</v>
      </c>
      <c r="N194" s="71">
        <f t="shared" si="9"/>
        <v>1.851510496671787</v>
      </c>
      <c r="O194" s="71">
        <f t="shared" si="10"/>
        <v>5.2859190988223244</v>
      </c>
      <c r="P194" s="71">
        <f t="shared" si="11"/>
        <v>7.1399897593445978</v>
      </c>
    </row>
    <row r="195" spans="1:16" ht="13.5" thickBot="1" x14ac:dyDescent="0.25">
      <c r="A195" s="2" t="s">
        <v>423</v>
      </c>
      <c r="B195" s="72" t="s">
        <v>537</v>
      </c>
      <c r="C195" s="2" t="s">
        <v>32</v>
      </c>
      <c r="D195" s="4">
        <v>9623</v>
      </c>
      <c r="E195" s="4">
        <v>25830</v>
      </c>
      <c r="F195" s="4">
        <v>1384</v>
      </c>
      <c r="G195" s="4">
        <v>1485</v>
      </c>
      <c r="H195" s="4">
        <v>57</v>
      </c>
      <c r="I195" s="4">
        <v>6</v>
      </c>
      <c r="J195" s="4">
        <v>8520</v>
      </c>
      <c r="K195" s="4">
        <v>3374</v>
      </c>
      <c r="L195" s="4">
        <v>285</v>
      </c>
      <c r="M195" s="4">
        <f t="shared" si="8"/>
        <v>40941</v>
      </c>
      <c r="N195" s="71">
        <f t="shared" si="9"/>
        <v>1.2662371401849735</v>
      </c>
      <c r="O195" s="71">
        <f t="shared" si="10"/>
        <v>2.982333991478749</v>
      </c>
      <c r="P195" s="71">
        <f t="shared" si="11"/>
        <v>4.2544944404032004</v>
      </c>
    </row>
    <row r="196" spans="1:16" ht="13.5" thickBot="1" x14ac:dyDescent="0.25">
      <c r="A196" s="2" t="s">
        <v>431</v>
      </c>
      <c r="B196" s="72" t="s">
        <v>541</v>
      </c>
      <c r="C196" s="2" t="s">
        <v>32</v>
      </c>
      <c r="D196" s="4">
        <v>7656</v>
      </c>
      <c r="E196" s="4">
        <v>33481</v>
      </c>
      <c r="F196" s="4">
        <v>1049</v>
      </c>
      <c r="G196" s="4">
        <v>350</v>
      </c>
      <c r="H196" s="4">
        <v>25</v>
      </c>
      <c r="I196" s="4">
        <v>3</v>
      </c>
      <c r="J196" s="4">
        <v>8065</v>
      </c>
      <c r="K196" s="4">
        <v>2957</v>
      </c>
      <c r="L196" s="4">
        <v>284</v>
      </c>
      <c r="M196" s="4">
        <f t="shared" ref="M196:M259" si="12">SUM(E196:L196)</f>
        <v>46214</v>
      </c>
      <c r="N196" s="71">
        <f t="shared" ref="N196:N259" si="13">(J196+K196+L196+I196)/D196</f>
        <v>1.4771421107628004</v>
      </c>
      <c r="O196" s="71">
        <f t="shared" ref="O196:O259" si="14">(E196+F196+G196)/D196</f>
        <v>4.5559038662486939</v>
      </c>
      <c r="P196" s="71">
        <f t="shared" ref="P196:P259" si="15">M196/D196</f>
        <v>6.0363113897596659</v>
      </c>
    </row>
    <row r="197" spans="1:16" ht="13.5" thickBot="1" x14ac:dyDescent="0.25">
      <c r="A197" s="2" t="s">
        <v>433</v>
      </c>
      <c r="B197" s="72" t="s">
        <v>553</v>
      </c>
      <c r="C197" s="2" t="s">
        <v>32</v>
      </c>
      <c r="D197" s="4">
        <v>8354</v>
      </c>
      <c r="E197" s="4">
        <v>16156</v>
      </c>
      <c r="F197" s="4">
        <v>1783</v>
      </c>
      <c r="G197" s="4">
        <v>2498</v>
      </c>
      <c r="H197" s="4">
        <v>4</v>
      </c>
      <c r="I197" s="4">
        <v>0</v>
      </c>
      <c r="J197" s="4">
        <v>42132</v>
      </c>
      <c r="K197" s="4">
        <v>1753</v>
      </c>
      <c r="L197" s="4">
        <v>0</v>
      </c>
      <c r="M197" s="4">
        <f t="shared" si="12"/>
        <v>64326</v>
      </c>
      <c r="N197" s="71">
        <f t="shared" si="13"/>
        <v>5.2531721331098877</v>
      </c>
      <c r="O197" s="71">
        <f t="shared" si="14"/>
        <v>2.4463729949724682</v>
      </c>
      <c r="P197" s="71">
        <f t="shared" si="15"/>
        <v>7.7000239406272444</v>
      </c>
    </row>
    <row r="198" spans="1:16" ht="13.5" thickBot="1" x14ac:dyDescent="0.25">
      <c r="A198" s="2" t="s">
        <v>435</v>
      </c>
      <c r="B198" s="72" t="s">
        <v>571</v>
      </c>
      <c r="C198" s="2" t="s">
        <v>32</v>
      </c>
      <c r="D198" s="4">
        <v>8640</v>
      </c>
      <c r="E198" s="4">
        <v>26155</v>
      </c>
      <c r="F198" s="4">
        <v>241</v>
      </c>
      <c r="G198" s="4">
        <v>1200</v>
      </c>
      <c r="H198" s="4">
        <v>0</v>
      </c>
      <c r="I198" s="4">
        <v>0</v>
      </c>
      <c r="J198" s="4">
        <v>2337</v>
      </c>
      <c r="K198" s="4">
        <v>0</v>
      </c>
      <c r="L198" s="4">
        <v>0</v>
      </c>
      <c r="M198" s="4">
        <f t="shared" si="12"/>
        <v>29933</v>
      </c>
      <c r="N198" s="71">
        <f t="shared" si="13"/>
        <v>0.27048611111111109</v>
      </c>
      <c r="O198" s="71">
        <f t="shared" si="14"/>
        <v>3.1939814814814813</v>
      </c>
      <c r="P198" s="71">
        <f t="shared" si="15"/>
        <v>3.4644675925925927</v>
      </c>
    </row>
    <row r="199" spans="1:16" ht="13.5" thickBot="1" x14ac:dyDescent="0.25">
      <c r="A199" s="2" t="s">
        <v>437</v>
      </c>
      <c r="B199" s="72" t="s">
        <v>581</v>
      </c>
      <c r="C199" s="2" t="s">
        <v>32</v>
      </c>
      <c r="D199" s="4">
        <v>9969</v>
      </c>
      <c r="E199" s="4">
        <v>35064</v>
      </c>
      <c r="F199" s="4">
        <v>3284</v>
      </c>
      <c r="G199" s="4">
        <v>2174</v>
      </c>
      <c r="H199" s="4">
        <v>76</v>
      </c>
      <c r="I199" s="4">
        <v>0</v>
      </c>
      <c r="J199" s="4">
        <v>14439</v>
      </c>
      <c r="K199" s="4">
        <v>2834</v>
      </c>
      <c r="L199" s="4">
        <v>279</v>
      </c>
      <c r="M199" s="4">
        <f t="shared" si="12"/>
        <v>58150</v>
      </c>
      <c r="N199" s="71">
        <f t="shared" si="13"/>
        <v>1.7606580399237637</v>
      </c>
      <c r="O199" s="71">
        <f t="shared" si="14"/>
        <v>4.064800882736483</v>
      </c>
      <c r="P199" s="71">
        <f t="shared" si="15"/>
        <v>5.8330825559233626</v>
      </c>
    </row>
    <row r="200" spans="1:16" ht="13.5" thickBot="1" x14ac:dyDescent="0.25">
      <c r="A200" s="2" t="s">
        <v>439</v>
      </c>
      <c r="B200" s="72" t="s">
        <v>585</v>
      </c>
      <c r="C200" s="2" t="s">
        <v>32</v>
      </c>
      <c r="D200" s="4">
        <v>7034</v>
      </c>
      <c r="E200" s="4">
        <v>40528</v>
      </c>
      <c r="F200" s="4">
        <v>791</v>
      </c>
      <c r="G200" s="4">
        <v>2459</v>
      </c>
      <c r="H200" s="4">
        <v>30</v>
      </c>
      <c r="I200" s="4">
        <v>0</v>
      </c>
      <c r="J200" s="4">
        <v>7182</v>
      </c>
      <c r="K200" s="4">
        <v>2888</v>
      </c>
      <c r="L200" s="4">
        <v>0</v>
      </c>
      <c r="M200" s="4">
        <f t="shared" si="12"/>
        <v>53878</v>
      </c>
      <c r="N200" s="71">
        <f t="shared" si="13"/>
        <v>1.4316178561273813</v>
      </c>
      <c r="O200" s="71">
        <f t="shared" si="14"/>
        <v>6.2237702587432473</v>
      </c>
      <c r="P200" s="71">
        <f t="shared" si="15"/>
        <v>7.6596531134489618</v>
      </c>
    </row>
    <row r="201" spans="1:16" ht="13.5" thickBot="1" x14ac:dyDescent="0.25">
      <c r="A201" s="2" t="s">
        <v>441</v>
      </c>
      <c r="B201" s="72" t="s">
        <v>595</v>
      </c>
      <c r="C201" s="2" t="s">
        <v>32</v>
      </c>
      <c r="D201" s="4">
        <v>8833</v>
      </c>
      <c r="E201" s="4">
        <v>36456</v>
      </c>
      <c r="F201" s="4">
        <v>1819</v>
      </c>
      <c r="G201" s="4">
        <v>2593</v>
      </c>
      <c r="H201" s="4">
        <v>30</v>
      </c>
      <c r="I201" s="4">
        <v>1</v>
      </c>
      <c r="J201" s="4">
        <v>18631</v>
      </c>
      <c r="K201" s="4">
        <v>3710</v>
      </c>
      <c r="L201" s="4">
        <v>102</v>
      </c>
      <c r="M201" s="4">
        <f t="shared" si="12"/>
        <v>63342</v>
      </c>
      <c r="N201" s="71">
        <f t="shared" si="13"/>
        <v>2.5409260726819878</v>
      </c>
      <c r="O201" s="71">
        <f t="shared" si="14"/>
        <v>4.6267406317219519</v>
      </c>
      <c r="P201" s="71">
        <f t="shared" si="15"/>
        <v>7.1710630589833579</v>
      </c>
    </row>
    <row r="202" spans="1:16" ht="13.5" thickBot="1" x14ac:dyDescent="0.25">
      <c r="A202" s="2" t="s">
        <v>443</v>
      </c>
      <c r="B202" s="72" t="s">
        <v>603</v>
      </c>
      <c r="C202" s="2" t="s">
        <v>32</v>
      </c>
      <c r="D202" s="4">
        <v>11503</v>
      </c>
      <c r="E202" s="4">
        <v>52503</v>
      </c>
      <c r="F202" s="4">
        <v>5917</v>
      </c>
      <c r="G202" s="4">
        <v>17799</v>
      </c>
      <c r="H202" s="4">
        <v>62</v>
      </c>
      <c r="I202" s="4">
        <v>9</v>
      </c>
      <c r="J202" s="4">
        <v>3357</v>
      </c>
      <c r="K202" s="4">
        <v>9221</v>
      </c>
      <c r="L202" s="4">
        <v>241</v>
      </c>
      <c r="M202" s="4">
        <f t="shared" si="12"/>
        <v>89109</v>
      </c>
      <c r="N202" s="71">
        <f t="shared" si="13"/>
        <v>1.115187342432409</v>
      </c>
      <c r="O202" s="71">
        <f t="shared" si="14"/>
        <v>6.6260106059288884</v>
      </c>
      <c r="P202" s="71">
        <f t="shared" si="15"/>
        <v>7.7465878466487004</v>
      </c>
    </row>
    <row r="203" spans="1:16" ht="13.5" thickBot="1" x14ac:dyDescent="0.25">
      <c r="A203" s="2" t="s">
        <v>445</v>
      </c>
      <c r="B203" s="72" t="s">
        <v>629</v>
      </c>
      <c r="C203" s="2" t="s">
        <v>32</v>
      </c>
      <c r="D203" s="4">
        <v>8891</v>
      </c>
      <c r="E203" s="4">
        <v>24584</v>
      </c>
      <c r="F203" s="4">
        <v>744</v>
      </c>
      <c r="G203" s="4">
        <v>2000</v>
      </c>
      <c r="H203" s="4">
        <v>81</v>
      </c>
      <c r="I203" s="4">
        <v>0</v>
      </c>
      <c r="J203" s="4">
        <v>7452</v>
      </c>
      <c r="K203" s="4">
        <v>2991</v>
      </c>
      <c r="L203" s="4">
        <v>0</v>
      </c>
      <c r="M203" s="4">
        <f t="shared" si="12"/>
        <v>37852</v>
      </c>
      <c r="N203" s="71">
        <f t="shared" si="13"/>
        <v>1.1745585423461928</v>
      </c>
      <c r="O203" s="71">
        <f t="shared" si="14"/>
        <v>3.0736700033741986</v>
      </c>
      <c r="P203" s="71">
        <f t="shared" si="15"/>
        <v>4.2573388820155209</v>
      </c>
    </row>
    <row r="204" spans="1:16" ht="13.5" thickBot="1" x14ac:dyDescent="0.25">
      <c r="A204" s="2" t="s">
        <v>447</v>
      </c>
      <c r="B204" s="72" t="s">
        <v>637</v>
      </c>
      <c r="C204" s="2" t="s">
        <v>32</v>
      </c>
      <c r="D204" s="4">
        <v>8543</v>
      </c>
      <c r="E204" s="4">
        <v>19456</v>
      </c>
      <c r="F204" s="4">
        <v>785</v>
      </c>
      <c r="G204" s="4">
        <v>600</v>
      </c>
      <c r="H204" s="4">
        <v>80</v>
      </c>
      <c r="I204" s="4">
        <v>4</v>
      </c>
      <c r="J204" s="4">
        <v>200</v>
      </c>
      <c r="K204" s="4">
        <v>6500</v>
      </c>
      <c r="L204" s="4">
        <v>1</v>
      </c>
      <c r="M204" s="4">
        <f t="shared" si="12"/>
        <v>27626</v>
      </c>
      <c r="N204" s="71">
        <f t="shared" si="13"/>
        <v>0.78485309610207188</v>
      </c>
      <c r="O204" s="71">
        <f t="shared" si="14"/>
        <v>2.4395411447969098</v>
      </c>
      <c r="P204" s="71">
        <f t="shared" si="15"/>
        <v>3.2337586327987826</v>
      </c>
    </row>
    <row r="205" spans="1:16" ht="13.5" thickBot="1" x14ac:dyDescent="0.25">
      <c r="A205" s="2" t="s">
        <v>449</v>
      </c>
      <c r="B205" s="72" t="s">
        <v>645</v>
      </c>
      <c r="C205" s="2" t="s">
        <v>32</v>
      </c>
      <c r="D205" s="4">
        <v>7580</v>
      </c>
      <c r="E205" s="4">
        <v>32786</v>
      </c>
      <c r="F205" s="4">
        <v>2145</v>
      </c>
      <c r="G205" s="4">
        <v>4383</v>
      </c>
      <c r="H205" s="4">
        <v>56</v>
      </c>
      <c r="I205" s="4">
        <v>4</v>
      </c>
      <c r="J205" s="4">
        <v>13944</v>
      </c>
      <c r="K205" s="4">
        <v>0</v>
      </c>
      <c r="L205" s="4">
        <v>0</v>
      </c>
      <c r="M205" s="4">
        <f t="shared" si="12"/>
        <v>53318</v>
      </c>
      <c r="N205" s="71">
        <f t="shared" si="13"/>
        <v>1.8401055408970977</v>
      </c>
      <c r="O205" s="71">
        <f t="shared" si="14"/>
        <v>5.1865435356200527</v>
      </c>
      <c r="P205" s="71">
        <f t="shared" si="15"/>
        <v>7.0340369393139843</v>
      </c>
    </row>
    <row r="206" spans="1:16" ht="13.5" thickBot="1" x14ac:dyDescent="0.25">
      <c r="A206" s="2" t="s">
        <v>451</v>
      </c>
      <c r="B206" s="72" t="s">
        <v>655</v>
      </c>
      <c r="C206" s="2" t="s">
        <v>32</v>
      </c>
      <c r="D206" s="4">
        <v>7903</v>
      </c>
      <c r="E206" s="4">
        <v>27400</v>
      </c>
      <c r="F206" s="4">
        <v>599</v>
      </c>
      <c r="G206" s="4">
        <v>1660</v>
      </c>
      <c r="H206" s="4">
        <v>22</v>
      </c>
      <c r="I206" s="4">
        <v>0</v>
      </c>
      <c r="J206" s="4">
        <v>0</v>
      </c>
      <c r="K206" s="4">
        <v>0</v>
      </c>
      <c r="L206" s="4">
        <v>15</v>
      </c>
      <c r="M206" s="4">
        <f t="shared" si="12"/>
        <v>29696</v>
      </c>
      <c r="N206" s="71">
        <f t="shared" si="13"/>
        <v>1.898013412628116E-3</v>
      </c>
      <c r="O206" s="71">
        <f t="shared" si="14"/>
        <v>3.7528786536758192</v>
      </c>
      <c r="P206" s="71">
        <f t="shared" si="15"/>
        <v>3.7575604200936352</v>
      </c>
    </row>
    <row r="207" spans="1:16" ht="13.5" thickBot="1" x14ac:dyDescent="0.25">
      <c r="A207" s="2" t="s">
        <v>453</v>
      </c>
      <c r="B207" s="72" t="s">
        <v>673</v>
      </c>
      <c r="C207" s="2" t="s">
        <v>32</v>
      </c>
      <c r="D207" s="4">
        <v>11480</v>
      </c>
      <c r="E207" s="4">
        <v>39906</v>
      </c>
      <c r="F207" s="4">
        <v>2678</v>
      </c>
      <c r="G207" s="4">
        <v>4618</v>
      </c>
      <c r="H207" s="4">
        <v>49</v>
      </c>
      <c r="I207" s="4">
        <v>0</v>
      </c>
      <c r="J207" s="4">
        <v>245456</v>
      </c>
      <c r="K207" s="4">
        <v>350788</v>
      </c>
      <c r="L207" s="4">
        <v>35351</v>
      </c>
      <c r="M207" s="4">
        <f t="shared" si="12"/>
        <v>678846</v>
      </c>
      <c r="N207" s="71">
        <f t="shared" si="13"/>
        <v>55.01698606271777</v>
      </c>
      <c r="O207" s="71">
        <f t="shared" si="14"/>
        <v>4.1116724738675954</v>
      </c>
      <c r="P207" s="71">
        <f t="shared" si="15"/>
        <v>59.132926829268293</v>
      </c>
    </row>
    <row r="208" spans="1:16" ht="13.5" thickBot="1" x14ac:dyDescent="0.25">
      <c r="A208" s="2" t="s">
        <v>455</v>
      </c>
      <c r="B208" s="72" t="s">
        <v>675</v>
      </c>
      <c r="C208" s="2" t="s">
        <v>32</v>
      </c>
      <c r="D208" s="4">
        <v>7798</v>
      </c>
      <c r="E208" s="4">
        <v>25817</v>
      </c>
      <c r="F208" s="4">
        <v>1748</v>
      </c>
      <c r="G208" s="4">
        <v>1597</v>
      </c>
      <c r="H208" s="4">
        <v>54</v>
      </c>
      <c r="I208" s="4">
        <v>175</v>
      </c>
      <c r="J208" s="4">
        <v>7508</v>
      </c>
      <c r="K208" s="4">
        <v>3053</v>
      </c>
      <c r="L208" s="4">
        <v>0</v>
      </c>
      <c r="M208" s="4">
        <f t="shared" si="12"/>
        <v>39952</v>
      </c>
      <c r="N208" s="71">
        <f t="shared" si="13"/>
        <v>1.3767632726340087</v>
      </c>
      <c r="O208" s="71">
        <f t="shared" si="14"/>
        <v>3.7396768402154397</v>
      </c>
      <c r="P208" s="71">
        <f t="shared" si="15"/>
        <v>5.1233649653757372</v>
      </c>
    </row>
    <row r="209" spans="1:16" ht="13.5" thickBot="1" x14ac:dyDescent="0.25">
      <c r="A209" s="2" t="s">
        <v>459</v>
      </c>
      <c r="B209" s="72" t="s">
        <v>683</v>
      </c>
      <c r="C209" s="2" t="s">
        <v>32</v>
      </c>
      <c r="D209" s="4">
        <v>7357</v>
      </c>
      <c r="E209" s="4">
        <v>27170</v>
      </c>
      <c r="F209" s="4">
        <v>617</v>
      </c>
      <c r="G209" s="4">
        <v>1006</v>
      </c>
      <c r="H209" s="4">
        <v>72</v>
      </c>
      <c r="I209" s="4">
        <v>0</v>
      </c>
      <c r="J209" s="4">
        <v>7363</v>
      </c>
      <c r="K209" s="4">
        <v>2937</v>
      </c>
      <c r="L209" s="4">
        <v>0</v>
      </c>
      <c r="M209" s="4">
        <f t="shared" si="12"/>
        <v>39165</v>
      </c>
      <c r="N209" s="71">
        <f t="shared" si="13"/>
        <v>1.4000271849938835</v>
      </c>
      <c r="O209" s="71">
        <f t="shared" si="14"/>
        <v>3.9136876444202802</v>
      </c>
      <c r="P209" s="71">
        <f t="shared" si="15"/>
        <v>5.3235014272121788</v>
      </c>
    </row>
    <row r="210" spans="1:16" ht="13.5" thickBot="1" x14ac:dyDescent="0.25">
      <c r="A210" s="2" t="s">
        <v>461</v>
      </c>
      <c r="B210" s="72" t="s">
        <v>689</v>
      </c>
      <c r="C210" s="2" t="s">
        <v>32</v>
      </c>
      <c r="D210" s="4">
        <v>7103</v>
      </c>
      <c r="E210" s="4">
        <v>27836</v>
      </c>
      <c r="F210" s="4">
        <v>2347</v>
      </c>
      <c r="G210" s="4">
        <v>0</v>
      </c>
      <c r="H210" s="4">
        <v>44</v>
      </c>
      <c r="I210" s="4">
        <v>1</v>
      </c>
      <c r="J210" s="4">
        <v>8257</v>
      </c>
      <c r="K210" s="4">
        <v>3395</v>
      </c>
      <c r="L210" s="4">
        <v>0</v>
      </c>
      <c r="M210" s="4">
        <f t="shared" si="12"/>
        <v>41880</v>
      </c>
      <c r="N210" s="71">
        <f t="shared" si="13"/>
        <v>1.6405744051809095</v>
      </c>
      <c r="O210" s="71">
        <f t="shared" si="14"/>
        <v>4.2493312684781079</v>
      </c>
      <c r="P210" s="71">
        <f t="shared" si="15"/>
        <v>5.8961002393354924</v>
      </c>
    </row>
    <row r="211" spans="1:16" ht="13.5" thickBot="1" x14ac:dyDescent="0.25">
      <c r="A211" s="2" t="s">
        <v>463</v>
      </c>
      <c r="B211" s="72" t="s">
        <v>693</v>
      </c>
      <c r="C211" s="2" t="s">
        <v>32</v>
      </c>
      <c r="D211" s="4">
        <v>10017</v>
      </c>
      <c r="E211" s="4">
        <v>30976</v>
      </c>
      <c r="F211" s="4">
        <v>1650</v>
      </c>
      <c r="G211" s="4">
        <v>2400</v>
      </c>
      <c r="H211" s="4">
        <v>75</v>
      </c>
      <c r="I211" s="4">
        <v>0</v>
      </c>
      <c r="J211" s="4">
        <v>13000</v>
      </c>
      <c r="K211" s="4">
        <v>12003</v>
      </c>
      <c r="L211" s="4">
        <v>5000</v>
      </c>
      <c r="M211" s="4">
        <f t="shared" si="12"/>
        <v>65104</v>
      </c>
      <c r="N211" s="71">
        <f t="shared" si="13"/>
        <v>2.9952081461515423</v>
      </c>
      <c r="O211" s="71">
        <f t="shared" si="14"/>
        <v>3.4966556853349307</v>
      </c>
      <c r="P211" s="71">
        <f t="shared" si="15"/>
        <v>6.4993511031246882</v>
      </c>
    </row>
    <row r="212" spans="1:16" ht="13.5" thickBot="1" x14ac:dyDescent="0.25">
      <c r="A212" s="2" t="s">
        <v>465</v>
      </c>
      <c r="B212" s="72" t="s">
        <v>699</v>
      </c>
      <c r="C212" s="2" t="s">
        <v>32</v>
      </c>
      <c r="D212" s="4">
        <v>7272</v>
      </c>
      <c r="E212" s="4">
        <v>25657</v>
      </c>
      <c r="F212" s="4">
        <v>425</v>
      </c>
      <c r="G212" s="4">
        <v>3517</v>
      </c>
      <c r="H212" s="4">
        <v>61</v>
      </c>
      <c r="I212" s="4">
        <v>7</v>
      </c>
      <c r="J212" s="4">
        <v>13768</v>
      </c>
      <c r="K212" s="4">
        <v>2924</v>
      </c>
      <c r="L212" s="4">
        <v>0</v>
      </c>
      <c r="M212" s="4">
        <f t="shared" si="12"/>
        <v>46359</v>
      </c>
      <c r="N212" s="71">
        <f t="shared" si="13"/>
        <v>2.2963421342134214</v>
      </c>
      <c r="O212" s="71">
        <f t="shared" si="14"/>
        <v>4.0702695269526954</v>
      </c>
      <c r="P212" s="71">
        <f t="shared" si="15"/>
        <v>6.375</v>
      </c>
    </row>
    <row r="213" spans="1:16" ht="13.5" thickBot="1" x14ac:dyDescent="0.25">
      <c r="A213" s="2" t="s">
        <v>467</v>
      </c>
      <c r="B213" s="72" t="s">
        <v>705</v>
      </c>
      <c r="C213" s="2" t="s">
        <v>32</v>
      </c>
      <c r="D213" s="4">
        <v>11377</v>
      </c>
      <c r="E213" s="4">
        <v>39317</v>
      </c>
      <c r="F213" s="4">
        <v>1004</v>
      </c>
      <c r="G213" s="4">
        <v>1366</v>
      </c>
      <c r="H213" s="4">
        <v>85</v>
      </c>
      <c r="I213" s="4">
        <v>2</v>
      </c>
      <c r="J213" s="4">
        <v>14032</v>
      </c>
      <c r="K213" s="4">
        <v>2789</v>
      </c>
      <c r="L213" s="4">
        <v>192</v>
      </c>
      <c r="M213" s="4">
        <f t="shared" si="12"/>
        <v>58787</v>
      </c>
      <c r="N213" s="71">
        <f t="shared" si="13"/>
        <v>1.4955612200052737</v>
      </c>
      <c r="O213" s="71">
        <f t="shared" si="14"/>
        <v>3.6641469631713104</v>
      </c>
      <c r="P213" s="71">
        <f t="shared" si="15"/>
        <v>5.167179397029094</v>
      </c>
    </row>
    <row r="214" spans="1:16" ht="13.5" thickBot="1" x14ac:dyDescent="0.25">
      <c r="A214" s="2" t="s">
        <v>469</v>
      </c>
      <c r="B214" s="72" t="s">
        <v>717</v>
      </c>
      <c r="C214" s="2" t="s">
        <v>32</v>
      </c>
      <c r="D214" s="4">
        <v>8386</v>
      </c>
      <c r="E214" s="4">
        <v>47766</v>
      </c>
      <c r="F214" s="4">
        <v>1824</v>
      </c>
      <c r="G214" s="4">
        <v>1126</v>
      </c>
      <c r="H214" s="4">
        <v>57</v>
      </c>
      <c r="I214" s="4">
        <v>3</v>
      </c>
      <c r="J214" s="4">
        <v>12644</v>
      </c>
      <c r="K214" s="4">
        <v>2303</v>
      </c>
      <c r="L214" s="4">
        <v>244</v>
      </c>
      <c r="M214" s="4">
        <f t="shared" si="12"/>
        <v>65967</v>
      </c>
      <c r="N214" s="71">
        <f t="shared" si="13"/>
        <v>1.811829239208204</v>
      </c>
      <c r="O214" s="71">
        <f t="shared" si="14"/>
        <v>6.0476985451943719</v>
      </c>
      <c r="P214" s="71">
        <f t="shared" si="15"/>
        <v>7.8663248270927735</v>
      </c>
    </row>
    <row r="215" spans="1:16" ht="13.5" thickBot="1" x14ac:dyDescent="0.25">
      <c r="A215" s="2" t="s">
        <v>472</v>
      </c>
      <c r="B215" s="72" t="s">
        <v>723</v>
      </c>
      <c r="C215" s="2" t="s">
        <v>32</v>
      </c>
      <c r="D215" s="4">
        <v>9110</v>
      </c>
      <c r="E215" s="4">
        <v>38362</v>
      </c>
      <c r="F215" s="4">
        <v>881</v>
      </c>
      <c r="G215" s="4">
        <v>1419</v>
      </c>
      <c r="H215" s="4">
        <v>47</v>
      </c>
      <c r="I215" s="4">
        <v>2</v>
      </c>
      <c r="J215" s="4">
        <v>5393</v>
      </c>
      <c r="K215" s="4">
        <v>1867</v>
      </c>
      <c r="L215" s="4">
        <v>0</v>
      </c>
      <c r="M215" s="4">
        <f t="shared" si="12"/>
        <v>47971</v>
      </c>
      <c r="N215" s="71">
        <f t="shared" si="13"/>
        <v>0.79714599341383097</v>
      </c>
      <c r="O215" s="71">
        <f t="shared" si="14"/>
        <v>4.4634467618002196</v>
      </c>
      <c r="P215" s="71">
        <f t="shared" si="15"/>
        <v>5.2657519209659718</v>
      </c>
    </row>
    <row r="216" spans="1:16" ht="13.5" thickBot="1" x14ac:dyDescent="0.25">
      <c r="A216" s="2" t="s">
        <v>474</v>
      </c>
      <c r="B216" s="72" t="s">
        <v>725</v>
      </c>
      <c r="C216" s="2" t="s">
        <v>32</v>
      </c>
      <c r="D216" s="4">
        <v>9645</v>
      </c>
      <c r="E216" s="4">
        <v>56025</v>
      </c>
      <c r="F216" s="4">
        <v>2206</v>
      </c>
      <c r="G216" s="4">
        <v>2064</v>
      </c>
      <c r="H216" s="4">
        <v>79</v>
      </c>
      <c r="I216" s="4">
        <v>10</v>
      </c>
      <c r="J216" s="4">
        <v>8520</v>
      </c>
      <c r="K216" s="4">
        <v>3374</v>
      </c>
      <c r="L216" s="4">
        <v>285</v>
      </c>
      <c r="M216" s="4">
        <f t="shared" si="12"/>
        <v>72563</v>
      </c>
      <c r="N216" s="71">
        <f t="shared" si="13"/>
        <v>1.2637636080870918</v>
      </c>
      <c r="O216" s="71">
        <f t="shared" si="14"/>
        <v>6.2514256091238982</v>
      </c>
      <c r="P216" s="71">
        <f t="shared" si="15"/>
        <v>7.523379989631934</v>
      </c>
    </row>
    <row r="217" spans="1:16" ht="13.5" thickBot="1" x14ac:dyDescent="0.25">
      <c r="A217" s="2" t="s">
        <v>476</v>
      </c>
      <c r="B217" s="72" t="s">
        <v>741</v>
      </c>
      <c r="C217" s="2" t="s">
        <v>32</v>
      </c>
      <c r="D217" s="4">
        <v>9301</v>
      </c>
      <c r="E217" s="4">
        <v>14727</v>
      </c>
      <c r="F217" s="4">
        <v>881</v>
      </c>
      <c r="G217" s="4">
        <v>1646</v>
      </c>
      <c r="H217" s="4">
        <v>21</v>
      </c>
      <c r="I217" s="4">
        <v>2</v>
      </c>
      <c r="J217" s="4">
        <v>54570</v>
      </c>
      <c r="K217" s="4">
        <v>2765</v>
      </c>
      <c r="L217" s="4">
        <v>134</v>
      </c>
      <c r="M217" s="4">
        <f t="shared" si="12"/>
        <v>74746</v>
      </c>
      <c r="N217" s="71">
        <f t="shared" si="13"/>
        <v>6.1790130093538327</v>
      </c>
      <c r="O217" s="71">
        <f t="shared" si="14"/>
        <v>1.8550693473820019</v>
      </c>
      <c r="P217" s="71">
        <f t="shared" si="15"/>
        <v>8.0363401784754327</v>
      </c>
    </row>
    <row r="218" spans="1:16" ht="13.5" thickBot="1" x14ac:dyDescent="0.25">
      <c r="A218" s="2" t="s">
        <v>478</v>
      </c>
      <c r="B218" s="72" t="s">
        <v>746</v>
      </c>
      <c r="C218" s="2" t="s">
        <v>32</v>
      </c>
      <c r="D218" s="4">
        <v>7851</v>
      </c>
      <c r="E218" s="4">
        <v>26655</v>
      </c>
      <c r="F218" s="4">
        <v>1725</v>
      </c>
      <c r="G218" s="4">
        <v>1498</v>
      </c>
      <c r="H218" s="4">
        <v>58</v>
      </c>
      <c r="I218" s="4">
        <v>0</v>
      </c>
      <c r="J218" s="4">
        <v>8520</v>
      </c>
      <c r="K218" s="4">
        <v>3374</v>
      </c>
      <c r="L218" s="4">
        <v>285</v>
      </c>
      <c r="M218" s="4">
        <f t="shared" si="12"/>
        <v>42115</v>
      </c>
      <c r="N218" s="71">
        <f t="shared" si="13"/>
        <v>1.5512673544771367</v>
      </c>
      <c r="O218" s="71">
        <f t="shared" si="14"/>
        <v>3.8056298560692907</v>
      </c>
      <c r="P218" s="71">
        <f t="shared" si="15"/>
        <v>5.3642848044835052</v>
      </c>
    </row>
    <row r="219" spans="1:16" ht="13.5" thickBot="1" x14ac:dyDescent="0.25">
      <c r="A219" s="2" t="s">
        <v>480</v>
      </c>
      <c r="B219" s="72" t="s">
        <v>748</v>
      </c>
      <c r="C219" s="2" t="s">
        <v>32</v>
      </c>
      <c r="D219" s="4">
        <v>10250</v>
      </c>
      <c r="E219" s="4">
        <v>28068</v>
      </c>
      <c r="F219" s="4">
        <v>1101</v>
      </c>
      <c r="G219" s="4">
        <v>4490</v>
      </c>
      <c r="H219" s="4">
        <v>75</v>
      </c>
      <c r="I219" s="4">
        <v>1</v>
      </c>
      <c r="J219" s="4">
        <v>2923</v>
      </c>
      <c r="K219" s="4">
        <v>2923</v>
      </c>
      <c r="L219" s="4">
        <v>0</v>
      </c>
      <c r="M219" s="4">
        <f t="shared" si="12"/>
        <v>39581</v>
      </c>
      <c r="N219" s="71">
        <f t="shared" si="13"/>
        <v>0.57043902439024385</v>
      </c>
      <c r="O219" s="71">
        <f t="shared" si="14"/>
        <v>3.2838048780487803</v>
      </c>
      <c r="P219" s="71">
        <f t="shared" si="15"/>
        <v>3.861560975609756</v>
      </c>
    </row>
    <row r="220" spans="1:16" ht="13.5" thickBot="1" x14ac:dyDescent="0.25">
      <c r="A220" s="2" t="s">
        <v>482</v>
      </c>
      <c r="B220" s="72" t="s">
        <v>758</v>
      </c>
      <c r="C220" s="2" t="s">
        <v>32</v>
      </c>
      <c r="D220" s="4">
        <v>10662</v>
      </c>
      <c r="E220" s="4">
        <v>29732</v>
      </c>
      <c r="F220" s="4">
        <v>983</v>
      </c>
      <c r="G220" s="4">
        <v>1475</v>
      </c>
      <c r="H220" s="4">
        <v>49</v>
      </c>
      <c r="I220" s="4">
        <v>2</v>
      </c>
      <c r="J220" s="4">
        <v>6381</v>
      </c>
      <c r="K220" s="4">
        <v>3184</v>
      </c>
      <c r="L220" s="4">
        <v>0</v>
      </c>
      <c r="M220" s="4">
        <f t="shared" si="12"/>
        <v>41806</v>
      </c>
      <c r="N220" s="71">
        <f t="shared" si="13"/>
        <v>0.89729881823297697</v>
      </c>
      <c r="O220" s="71">
        <f t="shared" si="14"/>
        <v>3.019133370849747</v>
      </c>
      <c r="P220" s="71">
        <f t="shared" si="15"/>
        <v>3.9210279497280061</v>
      </c>
    </row>
    <row r="221" spans="1:16" ht="13.5" thickBot="1" x14ac:dyDescent="0.25">
      <c r="A221" s="2" t="s">
        <v>484</v>
      </c>
      <c r="B221" s="72" t="s">
        <v>762</v>
      </c>
      <c r="C221" s="2" t="s">
        <v>32</v>
      </c>
      <c r="D221" s="4">
        <v>11985</v>
      </c>
      <c r="E221" s="4">
        <v>71810</v>
      </c>
      <c r="F221" s="4">
        <v>3693</v>
      </c>
      <c r="G221" s="4">
        <v>1801</v>
      </c>
      <c r="H221" s="4">
        <v>170</v>
      </c>
      <c r="I221" s="4">
        <v>1</v>
      </c>
      <c r="J221" s="4">
        <v>7508</v>
      </c>
      <c r="K221" s="4">
        <v>3053</v>
      </c>
      <c r="L221" s="4">
        <v>0</v>
      </c>
      <c r="M221" s="4">
        <f t="shared" si="12"/>
        <v>88036</v>
      </c>
      <c r="N221" s="71">
        <f t="shared" si="13"/>
        <v>0.88126825198164371</v>
      </c>
      <c r="O221" s="71">
        <f t="shared" si="14"/>
        <v>6.4500625782227781</v>
      </c>
      <c r="P221" s="71">
        <f t="shared" si="15"/>
        <v>7.3455152273675424</v>
      </c>
    </row>
    <row r="222" spans="1:16" ht="13.5" thickBot="1" x14ac:dyDescent="0.25">
      <c r="A222" s="2" t="s">
        <v>488</v>
      </c>
      <c r="B222" s="72" t="s">
        <v>764</v>
      </c>
      <c r="C222" s="2" t="s">
        <v>32</v>
      </c>
      <c r="D222" s="4">
        <v>8147</v>
      </c>
      <c r="E222" s="4">
        <v>26996</v>
      </c>
      <c r="F222" s="4">
        <v>732</v>
      </c>
      <c r="G222" s="4">
        <v>1124</v>
      </c>
      <c r="H222" s="4">
        <v>38</v>
      </c>
      <c r="I222" s="4">
        <v>0</v>
      </c>
      <c r="J222" s="4">
        <v>6350</v>
      </c>
      <c r="K222" s="4">
        <v>3111</v>
      </c>
      <c r="L222" s="4">
        <v>0</v>
      </c>
      <c r="M222" s="4">
        <f t="shared" si="12"/>
        <v>38351</v>
      </c>
      <c r="N222" s="71">
        <f t="shared" si="13"/>
        <v>1.1612863630784338</v>
      </c>
      <c r="O222" s="71">
        <f t="shared" si="14"/>
        <v>3.5414262918865842</v>
      </c>
      <c r="P222" s="71">
        <f t="shared" si="15"/>
        <v>4.7073769485700261</v>
      </c>
    </row>
    <row r="223" spans="1:16" ht="13.5" thickBot="1" x14ac:dyDescent="0.25">
      <c r="A223" s="2" t="s">
        <v>490</v>
      </c>
      <c r="B223" s="72" t="s">
        <v>772</v>
      </c>
      <c r="C223" s="2" t="s">
        <v>32</v>
      </c>
      <c r="D223" s="4">
        <v>9714</v>
      </c>
      <c r="E223" s="4">
        <v>29400</v>
      </c>
      <c r="F223" s="4">
        <v>1647</v>
      </c>
      <c r="G223" s="4">
        <v>2248</v>
      </c>
      <c r="H223" s="4">
        <v>12</v>
      </c>
      <c r="I223" s="4">
        <v>0</v>
      </c>
      <c r="J223" s="4">
        <v>7186</v>
      </c>
      <c r="K223" s="4">
        <v>2248</v>
      </c>
      <c r="L223" s="4">
        <v>0</v>
      </c>
      <c r="M223" s="4">
        <f t="shared" si="12"/>
        <v>42741</v>
      </c>
      <c r="N223" s="71">
        <f t="shared" si="13"/>
        <v>0.97117562281243563</v>
      </c>
      <c r="O223" s="71">
        <f t="shared" si="14"/>
        <v>3.4275272802141239</v>
      </c>
      <c r="P223" s="71">
        <f t="shared" si="15"/>
        <v>4.3999382334774548</v>
      </c>
    </row>
    <row r="224" spans="1:16" ht="13.5" thickBot="1" x14ac:dyDescent="0.25">
      <c r="A224" s="2" t="s">
        <v>492</v>
      </c>
      <c r="B224" s="72" t="s">
        <v>802</v>
      </c>
      <c r="C224" s="2" t="s">
        <v>32</v>
      </c>
      <c r="D224" s="4">
        <v>9514</v>
      </c>
      <c r="E224" s="4">
        <v>32385</v>
      </c>
      <c r="F224" s="4">
        <v>280</v>
      </c>
      <c r="G224" s="4">
        <v>948</v>
      </c>
      <c r="H224" s="4">
        <v>1</v>
      </c>
      <c r="I224" s="4">
        <v>2</v>
      </c>
      <c r="J224" s="4">
        <v>1500</v>
      </c>
      <c r="K224" s="4">
        <v>300</v>
      </c>
      <c r="L224" s="4">
        <v>0</v>
      </c>
      <c r="M224" s="4">
        <f t="shared" si="12"/>
        <v>35416</v>
      </c>
      <c r="N224" s="71">
        <f t="shared" si="13"/>
        <v>0.18940508723985705</v>
      </c>
      <c r="O224" s="71">
        <f t="shared" si="14"/>
        <v>3.5330039941139373</v>
      </c>
      <c r="P224" s="71">
        <f t="shared" si="15"/>
        <v>3.7225141896153038</v>
      </c>
    </row>
    <row r="225" spans="1:16" ht="13.5" thickBot="1" x14ac:dyDescent="0.25">
      <c r="A225" s="2" t="s">
        <v>494</v>
      </c>
      <c r="B225" s="72" t="s">
        <v>816</v>
      </c>
      <c r="C225" s="2" t="s">
        <v>32</v>
      </c>
      <c r="D225" s="4">
        <v>9138</v>
      </c>
      <c r="E225" s="4">
        <v>33005</v>
      </c>
      <c r="F225" s="4">
        <v>2033</v>
      </c>
      <c r="G225" s="4">
        <v>964</v>
      </c>
      <c r="H225" s="4">
        <v>58</v>
      </c>
      <c r="I225" s="4">
        <v>0</v>
      </c>
      <c r="J225" s="4">
        <v>11250</v>
      </c>
      <c r="K225" s="4">
        <v>3184</v>
      </c>
      <c r="L225" s="4">
        <v>0</v>
      </c>
      <c r="M225" s="4">
        <f t="shared" si="12"/>
        <v>50494</v>
      </c>
      <c r="N225" s="71">
        <f t="shared" si="13"/>
        <v>1.5795578901291312</v>
      </c>
      <c r="O225" s="71">
        <f t="shared" si="14"/>
        <v>3.9398117750054715</v>
      </c>
      <c r="P225" s="71">
        <f t="shared" si="15"/>
        <v>5.525716787043117</v>
      </c>
    </row>
    <row r="226" spans="1:16" ht="13.5" thickBot="1" x14ac:dyDescent="0.25">
      <c r="A226" s="2" t="s">
        <v>496</v>
      </c>
      <c r="B226" s="72" t="s">
        <v>818</v>
      </c>
      <c r="C226" s="2" t="s">
        <v>32</v>
      </c>
      <c r="D226" s="4">
        <v>7370</v>
      </c>
      <c r="E226" s="4">
        <v>60844</v>
      </c>
      <c r="F226" s="4">
        <v>3361</v>
      </c>
      <c r="G226" s="4">
        <v>3471</v>
      </c>
      <c r="H226" s="4">
        <v>130</v>
      </c>
      <c r="I226" s="4">
        <v>2</v>
      </c>
      <c r="J226" s="4">
        <v>8012</v>
      </c>
      <c r="K226" s="4">
        <v>3347</v>
      </c>
      <c r="L226" s="4">
        <v>285</v>
      </c>
      <c r="M226" s="4">
        <f t="shared" si="12"/>
        <v>79452</v>
      </c>
      <c r="N226" s="71">
        <f t="shared" si="13"/>
        <v>1.5801899592944368</v>
      </c>
      <c r="O226" s="71">
        <f t="shared" si="14"/>
        <v>9.1826322930800544</v>
      </c>
      <c r="P226" s="71">
        <f t="shared" si="15"/>
        <v>10.780461329715061</v>
      </c>
    </row>
    <row r="227" spans="1:16" ht="13.5" thickBot="1" x14ac:dyDescent="0.25">
      <c r="A227" s="2" t="s">
        <v>498</v>
      </c>
      <c r="B227" s="72" t="s">
        <v>822</v>
      </c>
      <c r="C227" s="2" t="s">
        <v>32</v>
      </c>
      <c r="D227" s="4">
        <v>8533</v>
      </c>
      <c r="E227" s="4">
        <v>47886</v>
      </c>
      <c r="F227" s="4">
        <v>5945</v>
      </c>
      <c r="G227" s="4">
        <v>8521</v>
      </c>
      <c r="H227" s="4">
        <v>88</v>
      </c>
      <c r="I227" s="4">
        <v>0</v>
      </c>
      <c r="J227" s="4">
        <v>10286</v>
      </c>
      <c r="K227" s="4">
        <v>2923</v>
      </c>
      <c r="L227" s="4">
        <v>0</v>
      </c>
      <c r="M227" s="4">
        <f t="shared" si="12"/>
        <v>75649</v>
      </c>
      <c r="N227" s="71">
        <f t="shared" si="13"/>
        <v>1.5479901558654634</v>
      </c>
      <c r="O227" s="71">
        <f t="shared" si="14"/>
        <v>7.3071604359545299</v>
      </c>
      <c r="P227" s="71">
        <f t="shared" si="15"/>
        <v>8.8654634946677611</v>
      </c>
    </row>
    <row r="228" spans="1:16" ht="13.5" thickBot="1" x14ac:dyDescent="0.25">
      <c r="A228" s="2" t="s">
        <v>500</v>
      </c>
      <c r="B228" s="72" t="s">
        <v>824</v>
      </c>
      <c r="C228" s="2" t="s">
        <v>32</v>
      </c>
      <c r="D228" s="4">
        <v>11811</v>
      </c>
      <c r="E228" s="4">
        <v>41149</v>
      </c>
      <c r="F228" s="4">
        <v>2746</v>
      </c>
      <c r="G228" s="4">
        <v>4380</v>
      </c>
      <c r="H228" s="4">
        <v>119</v>
      </c>
      <c r="I228" s="4">
        <v>2</v>
      </c>
      <c r="J228" s="4">
        <v>9409</v>
      </c>
      <c r="K228" s="4">
        <v>3343</v>
      </c>
      <c r="L228" s="4">
        <v>0</v>
      </c>
      <c r="M228" s="4">
        <f t="shared" si="12"/>
        <v>61148</v>
      </c>
      <c r="N228" s="71">
        <f t="shared" si="13"/>
        <v>1.0798408263483195</v>
      </c>
      <c r="O228" s="71">
        <f t="shared" si="14"/>
        <v>4.0872915079163494</v>
      </c>
      <c r="P228" s="71">
        <f t="shared" si="15"/>
        <v>5.1772076877487088</v>
      </c>
    </row>
    <row r="229" spans="1:16" ht="13.5" thickBot="1" x14ac:dyDescent="0.25">
      <c r="A229" s="2" t="s">
        <v>502</v>
      </c>
      <c r="B229" s="72" t="s">
        <v>830</v>
      </c>
      <c r="C229" s="2" t="s">
        <v>32</v>
      </c>
      <c r="D229" s="4">
        <v>10014</v>
      </c>
      <c r="E229" s="4">
        <v>23579</v>
      </c>
      <c r="F229" s="4">
        <v>1231</v>
      </c>
      <c r="G229" s="4">
        <v>2694</v>
      </c>
      <c r="H229" s="4">
        <v>26</v>
      </c>
      <c r="I229" s="4">
        <v>27</v>
      </c>
      <c r="J229" s="4">
        <v>22354</v>
      </c>
      <c r="K229" s="4">
        <v>3365</v>
      </c>
      <c r="L229" s="4">
        <v>137</v>
      </c>
      <c r="M229" s="4">
        <f t="shared" si="12"/>
        <v>53413</v>
      </c>
      <c r="N229" s="71">
        <f t="shared" si="13"/>
        <v>2.584681445975634</v>
      </c>
      <c r="O229" s="71">
        <f t="shared" si="14"/>
        <v>2.7465548232474535</v>
      </c>
      <c r="P229" s="71">
        <f t="shared" si="15"/>
        <v>5.3338326343119631</v>
      </c>
    </row>
    <row r="230" spans="1:16" ht="13.5" thickBot="1" x14ac:dyDescent="0.25">
      <c r="A230" s="2" t="s">
        <v>504</v>
      </c>
      <c r="B230" s="72" t="s">
        <v>25</v>
      </c>
      <c r="C230" s="2" t="s">
        <v>29</v>
      </c>
      <c r="D230" s="4">
        <v>21133</v>
      </c>
      <c r="E230" s="4">
        <v>74601</v>
      </c>
      <c r="F230" s="4">
        <v>3105</v>
      </c>
      <c r="G230" s="4">
        <v>5050</v>
      </c>
      <c r="H230" s="4">
        <v>110</v>
      </c>
      <c r="I230" s="4">
        <v>18</v>
      </c>
      <c r="J230" s="4">
        <v>11446</v>
      </c>
      <c r="K230" s="4">
        <v>4878</v>
      </c>
      <c r="L230" s="4">
        <v>0</v>
      </c>
      <c r="M230" s="4">
        <f t="shared" si="12"/>
        <v>99208</v>
      </c>
      <c r="N230" s="71">
        <f t="shared" si="13"/>
        <v>0.77329295414754173</v>
      </c>
      <c r="O230" s="71">
        <f t="shared" si="14"/>
        <v>3.9159608195712865</v>
      </c>
      <c r="P230" s="71">
        <f t="shared" si="15"/>
        <v>4.6944589031372734</v>
      </c>
    </row>
    <row r="231" spans="1:16" ht="13.5" thickBot="1" x14ac:dyDescent="0.25">
      <c r="A231" s="2" t="s">
        <v>506</v>
      </c>
      <c r="B231" s="72" t="s">
        <v>41</v>
      </c>
      <c r="C231" s="2" t="s">
        <v>29</v>
      </c>
      <c r="D231" s="4">
        <v>17401</v>
      </c>
      <c r="E231" s="4">
        <v>39370</v>
      </c>
      <c r="F231" s="4">
        <v>1617</v>
      </c>
      <c r="G231" s="4">
        <v>2208</v>
      </c>
      <c r="H231" s="4">
        <v>76</v>
      </c>
      <c r="I231" s="4">
        <v>2</v>
      </c>
      <c r="J231" s="4">
        <v>17194</v>
      </c>
      <c r="K231" s="4">
        <v>4061</v>
      </c>
      <c r="L231" s="4">
        <v>561</v>
      </c>
      <c r="M231" s="4">
        <f t="shared" si="12"/>
        <v>65089</v>
      </c>
      <c r="N231" s="71">
        <f t="shared" si="13"/>
        <v>1.253835986437561</v>
      </c>
      <c r="O231" s="71">
        <f t="shared" si="14"/>
        <v>2.4823286018044941</v>
      </c>
      <c r="P231" s="71">
        <f t="shared" si="15"/>
        <v>3.7405321533245215</v>
      </c>
    </row>
    <row r="232" spans="1:16" ht="13.5" thickBot="1" x14ac:dyDescent="0.25">
      <c r="A232" s="2" t="s">
        <v>508</v>
      </c>
      <c r="B232" s="72" t="s">
        <v>69</v>
      </c>
      <c r="C232" s="2" t="s">
        <v>29</v>
      </c>
      <c r="D232" s="4">
        <v>21412</v>
      </c>
      <c r="E232" s="4">
        <v>57437</v>
      </c>
      <c r="F232" s="4">
        <v>5137</v>
      </c>
      <c r="G232" s="4">
        <v>10489</v>
      </c>
      <c r="H232" s="4">
        <v>118</v>
      </c>
      <c r="I232" s="4">
        <v>9</v>
      </c>
      <c r="J232" s="4">
        <v>41496</v>
      </c>
      <c r="K232" s="4">
        <v>40372</v>
      </c>
      <c r="L232" s="4">
        <v>935</v>
      </c>
      <c r="M232" s="4">
        <f t="shared" si="12"/>
        <v>155993</v>
      </c>
      <c r="N232" s="71">
        <f t="shared" si="13"/>
        <v>3.8675509060339994</v>
      </c>
      <c r="O232" s="71">
        <f t="shared" si="14"/>
        <v>3.412245469830002</v>
      </c>
      <c r="P232" s="71">
        <f t="shared" si="15"/>
        <v>7.2853073043153369</v>
      </c>
    </row>
    <row r="233" spans="1:16" ht="13.5" thickBot="1" x14ac:dyDescent="0.25">
      <c r="A233" s="2" t="s">
        <v>510</v>
      </c>
      <c r="B233" s="72" t="s">
        <v>75</v>
      </c>
      <c r="C233" s="2" t="s">
        <v>29</v>
      </c>
      <c r="D233" s="4">
        <v>25883</v>
      </c>
      <c r="E233" s="4">
        <v>56125</v>
      </c>
      <c r="F233" s="4">
        <v>4339</v>
      </c>
      <c r="G233" s="4">
        <v>7135</v>
      </c>
      <c r="H233" s="4">
        <v>113</v>
      </c>
      <c r="I233" s="4">
        <v>6</v>
      </c>
      <c r="J233" s="4">
        <v>15634</v>
      </c>
      <c r="K233" s="4">
        <v>4101</v>
      </c>
      <c r="L233" s="4">
        <v>759</v>
      </c>
      <c r="M233" s="4">
        <f t="shared" si="12"/>
        <v>88212</v>
      </c>
      <c r="N233" s="71">
        <f t="shared" si="13"/>
        <v>0.79202565390410695</v>
      </c>
      <c r="O233" s="71">
        <f t="shared" si="14"/>
        <v>2.6117142525982304</v>
      </c>
      <c r="P233" s="71">
        <f t="shared" si="15"/>
        <v>3.4081057064482478</v>
      </c>
    </row>
    <row r="234" spans="1:16" ht="13.5" thickBot="1" x14ac:dyDescent="0.25">
      <c r="A234" s="2" t="s">
        <v>512</v>
      </c>
      <c r="B234" s="72" t="s">
        <v>95</v>
      </c>
      <c r="C234" s="2" t="s">
        <v>29</v>
      </c>
      <c r="D234" s="4">
        <v>24787</v>
      </c>
      <c r="E234" s="4">
        <v>108360</v>
      </c>
      <c r="F234" s="4">
        <v>3048</v>
      </c>
      <c r="G234" s="4">
        <v>6238</v>
      </c>
      <c r="H234" s="4">
        <v>91</v>
      </c>
      <c r="I234" s="4">
        <v>0</v>
      </c>
      <c r="J234" s="4">
        <v>15435</v>
      </c>
      <c r="K234" s="4">
        <v>2950</v>
      </c>
      <c r="L234" s="4">
        <v>280</v>
      </c>
      <c r="M234" s="4">
        <f t="shared" si="12"/>
        <v>136402</v>
      </c>
      <c r="N234" s="71">
        <f t="shared" si="13"/>
        <v>0.75301569371041277</v>
      </c>
      <c r="O234" s="71">
        <f t="shared" si="14"/>
        <v>4.7462782910396575</v>
      </c>
      <c r="P234" s="71">
        <f t="shared" si="15"/>
        <v>5.5029652640497035</v>
      </c>
    </row>
    <row r="235" spans="1:16" ht="13.5" thickBot="1" x14ac:dyDescent="0.25">
      <c r="A235" s="2" t="s">
        <v>514</v>
      </c>
      <c r="B235" s="72" t="s">
        <v>101</v>
      </c>
      <c r="C235" s="2" t="s">
        <v>29</v>
      </c>
      <c r="D235" s="4">
        <v>14970</v>
      </c>
      <c r="E235" s="4">
        <v>57220</v>
      </c>
      <c r="F235" s="4">
        <v>6130</v>
      </c>
      <c r="G235" s="4">
        <v>8240</v>
      </c>
      <c r="H235" s="4">
        <v>110</v>
      </c>
      <c r="I235" s="4">
        <v>0</v>
      </c>
      <c r="J235" s="4">
        <v>43703</v>
      </c>
      <c r="K235" s="4">
        <v>11429</v>
      </c>
      <c r="L235" s="4">
        <v>761</v>
      </c>
      <c r="M235" s="4">
        <f t="shared" si="12"/>
        <v>127593</v>
      </c>
      <c r="N235" s="71">
        <f t="shared" si="13"/>
        <v>3.7336673346693385</v>
      </c>
      <c r="O235" s="71">
        <f t="shared" si="14"/>
        <v>4.7822311289245159</v>
      </c>
      <c r="P235" s="71">
        <f t="shared" si="15"/>
        <v>8.5232464929859724</v>
      </c>
    </row>
    <row r="236" spans="1:16" ht="13.5" thickBot="1" x14ac:dyDescent="0.25">
      <c r="A236" s="2" t="s">
        <v>516</v>
      </c>
      <c r="B236" s="72" t="s">
        <v>109</v>
      </c>
      <c r="C236" s="2" t="s">
        <v>29</v>
      </c>
      <c r="D236" s="4">
        <v>20025</v>
      </c>
      <c r="E236" s="4">
        <v>48184</v>
      </c>
      <c r="F236" s="4">
        <v>2356</v>
      </c>
      <c r="G236" s="4">
        <v>4204</v>
      </c>
      <c r="H236" s="4">
        <v>2</v>
      </c>
      <c r="I236" s="4">
        <v>0</v>
      </c>
      <c r="J236" s="4">
        <v>814</v>
      </c>
      <c r="K236" s="4">
        <v>965</v>
      </c>
      <c r="L236" s="4">
        <v>0</v>
      </c>
      <c r="M236" s="4">
        <f t="shared" si="12"/>
        <v>56525</v>
      </c>
      <c r="N236" s="71">
        <f t="shared" si="13"/>
        <v>8.8838951310861419E-2</v>
      </c>
      <c r="O236" s="71">
        <f t="shared" si="14"/>
        <v>2.7337827715355805</v>
      </c>
      <c r="P236" s="71">
        <f t="shared" si="15"/>
        <v>2.8227215980024969</v>
      </c>
    </row>
    <row r="237" spans="1:16" ht="13.5" thickBot="1" x14ac:dyDescent="0.25">
      <c r="A237" s="2" t="s">
        <v>518</v>
      </c>
      <c r="B237" s="72" t="s">
        <v>121</v>
      </c>
      <c r="C237" s="2" t="s">
        <v>29</v>
      </c>
      <c r="D237" s="4">
        <v>15175</v>
      </c>
      <c r="E237" s="4">
        <v>51121</v>
      </c>
      <c r="F237" s="4">
        <v>4507</v>
      </c>
      <c r="G237" s="4">
        <v>5264</v>
      </c>
      <c r="H237" s="4">
        <v>78</v>
      </c>
      <c r="I237" s="4">
        <v>4</v>
      </c>
      <c r="J237" s="4">
        <v>36148</v>
      </c>
      <c r="K237" s="4">
        <v>17433</v>
      </c>
      <c r="L237" s="4">
        <v>0</v>
      </c>
      <c r="M237" s="4">
        <f t="shared" si="12"/>
        <v>114555</v>
      </c>
      <c r="N237" s="71">
        <f t="shared" si="13"/>
        <v>3.5311367380560132</v>
      </c>
      <c r="O237" s="71">
        <f t="shared" si="14"/>
        <v>4.0126523887973642</v>
      </c>
      <c r="P237" s="71">
        <f t="shared" si="15"/>
        <v>7.5489291598023067</v>
      </c>
    </row>
    <row r="238" spans="1:16" ht="13.5" thickBot="1" x14ac:dyDescent="0.25">
      <c r="A238" s="2" t="s">
        <v>520</v>
      </c>
      <c r="B238" s="72" t="s">
        <v>123</v>
      </c>
      <c r="C238" s="2" t="s">
        <v>29</v>
      </c>
      <c r="D238" s="4">
        <v>12667</v>
      </c>
      <c r="E238" s="4">
        <v>36232</v>
      </c>
      <c r="F238" s="4">
        <v>1525</v>
      </c>
      <c r="G238" s="4">
        <v>711</v>
      </c>
      <c r="H238" s="4">
        <v>125</v>
      </c>
      <c r="I238" s="4">
        <v>2</v>
      </c>
      <c r="J238" s="4">
        <v>7437</v>
      </c>
      <c r="K238" s="4">
        <v>2983</v>
      </c>
      <c r="L238" s="4">
        <v>0</v>
      </c>
      <c r="M238" s="4">
        <f t="shared" si="12"/>
        <v>49015</v>
      </c>
      <c r="N238" s="71">
        <f t="shared" si="13"/>
        <v>0.82276782189942366</v>
      </c>
      <c r="O238" s="71">
        <f t="shared" si="14"/>
        <v>3.0368674508565565</v>
      </c>
      <c r="P238" s="71">
        <f t="shared" si="15"/>
        <v>3.8695034341201549</v>
      </c>
    </row>
    <row r="239" spans="1:16" ht="13.5" thickBot="1" x14ac:dyDescent="0.25">
      <c r="A239" s="2" t="s">
        <v>522</v>
      </c>
      <c r="B239" s="72" t="s">
        <v>127</v>
      </c>
      <c r="C239" s="2" t="s">
        <v>29</v>
      </c>
      <c r="D239" s="4">
        <v>21705</v>
      </c>
      <c r="E239" s="4">
        <v>36902</v>
      </c>
      <c r="F239" s="4">
        <v>2709</v>
      </c>
      <c r="G239" s="4">
        <v>2409</v>
      </c>
      <c r="H239" s="4">
        <v>81</v>
      </c>
      <c r="I239" s="4">
        <v>4</v>
      </c>
      <c r="J239" s="4">
        <v>8391</v>
      </c>
      <c r="K239" s="4">
        <v>3196</v>
      </c>
      <c r="L239" s="4">
        <v>0</v>
      </c>
      <c r="M239" s="4">
        <f t="shared" si="12"/>
        <v>53692</v>
      </c>
      <c r="N239" s="71">
        <f t="shared" si="13"/>
        <v>0.53402441833678871</v>
      </c>
      <c r="O239" s="71">
        <f t="shared" si="14"/>
        <v>1.9359594563464639</v>
      </c>
      <c r="P239" s="71">
        <f t="shared" si="15"/>
        <v>2.473715733701912</v>
      </c>
    </row>
    <row r="240" spans="1:16" ht="13.5" thickBot="1" x14ac:dyDescent="0.25">
      <c r="A240" s="2" t="s">
        <v>524</v>
      </c>
      <c r="B240" s="72" t="s">
        <v>165</v>
      </c>
      <c r="C240" s="2" t="s">
        <v>29</v>
      </c>
      <c r="D240" s="4">
        <v>15068</v>
      </c>
      <c r="E240" s="4">
        <v>46927</v>
      </c>
      <c r="F240" s="4">
        <v>3036</v>
      </c>
      <c r="G240" s="4">
        <v>4649</v>
      </c>
      <c r="H240" s="4">
        <v>67</v>
      </c>
      <c r="I240" s="4">
        <v>6</v>
      </c>
      <c r="J240" s="4">
        <v>14439</v>
      </c>
      <c r="K240" s="4">
        <v>2779</v>
      </c>
      <c r="L240" s="4">
        <v>279</v>
      </c>
      <c r="M240" s="4">
        <f t="shared" si="12"/>
        <v>72182</v>
      </c>
      <c r="N240" s="71">
        <f t="shared" si="13"/>
        <v>1.1616007432970534</v>
      </c>
      <c r="O240" s="71">
        <f t="shared" si="14"/>
        <v>3.6243695248208123</v>
      </c>
      <c r="P240" s="71">
        <f t="shared" si="15"/>
        <v>4.7904167772763468</v>
      </c>
    </row>
    <row r="241" spans="1:16" ht="13.5" thickBot="1" x14ac:dyDescent="0.25">
      <c r="A241" s="2" t="s">
        <v>526</v>
      </c>
      <c r="B241" s="72" t="s">
        <v>169</v>
      </c>
      <c r="C241" s="2" t="s">
        <v>29</v>
      </c>
      <c r="D241" s="4">
        <v>23157</v>
      </c>
      <c r="E241" s="4">
        <v>48155</v>
      </c>
      <c r="F241" s="4">
        <v>1791</v>
      </c>
      <c r="G241" s="4">
        <v>3726</v>
      </c>
      <c r="H241" s="4">
        <v>82</v>
      </c>
      <c r="I241" s="4">
        <v>2</v>
      </c>
      <c r="J241" s="4">
        <v>18767</v>
      </c>
      <c r="K241" s="4">
        <v>5635</v>
      </c>
      <c r="L241" s="4">
        <v>356</v>
      </c>
      <c r="M241" s="4">
        <f t="shared" si="12"/>
        <v>78514</v>
      </c>
      <c r="N241" s="71">
        <f t="shared" si="13"/>
        <v>1.0692231290754415</v>
      </c>
      <c r="O241" s="71">
        <f t="shared" si="14"/>
        <v>2.3177440946582029</v>
      </c>
      <c r="P241" s="71">
        <f t="shared" si="15"/>
        <v>3.3905082696376905</v>
      </c>
    </row>
    <row r="242" spans="1:16" ht="13.5" thickBot="1" x14ac:dyDescent="0.25">
      <c r="A242" s="2" t="s">
        <v>528</v>
      </c>
      <c r="B242" s="72" t="s">
        <v>173</v>
      </c>
      <c r="C242" s="2" t="s">
        <v>29</v>
      </c>
      <c r="D242" s="4">
        <v>13894</v>
      </c>
      <c r="E242" s="4">
        <v>58318</v>
      </c>
      <c r="F242" s="4">
        <v>3442</v>
      </c>
      <c r="G242" s="4">
        <v>3036</v>
      </c>
      <c r="H242" s="4">
        <v>131</v>
      </c>
      <c r="I242" s="4">
        <v>3</v>
      </c>
      <c r="J242" s="4">
        <v>14775</v>
      </c>
      <c r="K242" s="4">
        <v>2531</v>
      </c>
      <c r="L242" s="4">
        <v>3</v>
      </c>
      <c r="M242" s="4">
        <f t="shared" si="12"/>
        <v>82239</v>
      </c>
      <c r="N242" s="71">
        <f t="shared" si="13"/>
        <v>1.2460054699870449</v>
      </c>
      <c r="O242" s="71">
        <f t="shared" si="14"/>
        <v>4.6635957967467974</v>
      </c>
      <c r="P242" s="71">
        <f t="shared" si="15"/>
        <v>5.9190297970346917</v>
      </c>
    </row>
    <row r="243" spans="1:16" ht="13.5" thickBot="1" x14ac:dyDescent="0.25">
      <c r="A243" s="2" t="s">
        <v>530</v>
      </c>
      <c r="B243" s="72" t="s">
        <v>175</v>
      </c>
      <c r="C243" s="2" t="s">
        <v>29</v>
      </c>
      <c r="D243" s="4">
        <v>15010</v>
      </c>
      <c r="E243" s="4">
        <v>51225</v>
      </c>
      <c r="F243" s="4">
        <v>6612</v>
      </c>
      <c r="G243" s="4">
        <v>7427</v>
      </c>
      <c r="H243" s="4">
        <v>125</v>
      </c>
      <c r="I243" s="4">
        <v>10</v>
      </c>
      <c r="J243" s="4">
        <v>42409</v>
      </c>
      <c r="K243" s="4">
        <v>9493</v>
      </c>
      <c r="L243" s="4">
        <v>978</v>
      </c>
      <c r="M243" s="4">
        <f t="shared" si="12"/>
        <v>118279</v>
      </c>
      <c r="N243" s="71">
        <f t="shared" si="13"/>
        <v>3.5236508994003999</v>
      </c>
      <c r="O243" s="71">
        <f t="shared" si="14"/>
        <v>4.3480346435709523</v>
      </c>
      <c r="P243" s="71">
        <f t="shared" si="15"/>
        <v>7.8800133244503661</v>
      </c>
    </row>
    <row r="244" spans="1:16" ht="13.5" thickBot="1" x14ac:dyDescent="0.25">
      <c r="A244" s="2" t="s">
        <v>532</v>
      </c>
      <c r="B244" s="72" t="s">
        <v>189</v>
      </c>
      <c r="C244" s="2" t="s">
        <v>29</v>
      </c>
      <c r="D244" s="4">
        <v>12982</v>
      </c>
      <c r="E244" s="4">
        <v>59570</v>
      </c>
      <c r="F244" s="4">
        <v>1756</v>
      </c>
      <c r="G244" s="4">
        <v>4592</v>
      </c>
      <c r="H244" s="4">
        <v>114</v>
      </c>
      <c r="I244" s="4">
        <v>2</v>
      </c>
      <c r="J244" s="4">
        <v>14520</v>
      </c>
      <c r="K244" s="4">
        <v>2795</v>
      </c>
      <c r="L244" s="4">
        <v>279</v>
      </c>
      <c r="M244" s="4">
        <f t="shared" si="12"/>
        <v>83628</v>
      </c>
      <c r="N244" s="71">
        <f t="shared" si="13"/>
        <v>1.3554151902634417</v>
      </c>
      <c r="O244" s="71">
        <f t="shared" si="14"/>
        <v>5.0776459713449391</v>
      </c>
      <c r="P244" s="71">
        <f t="shared" si="15"/>
        <v>6.4418425512247728</v>
      </c>
    </row>
    <row r="245" spans="1:16" ht="13.5" thickBot="1" x14ac:dyDescent="0.25">
      <c r="A245" s="2" t="s">
        <v>534</v>
      </c>
      <c r="B245" s="72" t="s">
        <v>199</v>
      </c>
      <c r="C245" s="2" t="s">
        <v>29</v>
      </c>
      <c r="D245" s="4">
        <v>14854</v>
      </c>
      <c r="E245" s="4">
        <v>90182</v>
      </c>
      <c r="F245" s="4">
        <v>3233</v>
      </c>
      <c r="G245" s="4">
        <v>7213</v>
      </c>
      <c r="H245" s="4">
        <v>70</v>
      </c>
      <c r="I245" s="4">
        <v>3</v>
      </c>
      <c r="J245" s="4">
        <v>1164</v>
      </c>
      <c r="K245" s="4">
        <v>267</v>
      </c>
      <c r="L245" s="4">
        <v>0</v>
      </c>
      <c r="M245" s="4">
        <f t="shared" si="12"/>
        <v>102132</v>
      </c>
      <c r="N245" s="71">
        <f t="shared" si="13"/>
        <v>9.6539652618823218E-2</v>
      </c>
      <c r="O245" s="71">
        <f t="shared" si="14"/>
        <v>6.7744715228221351</v>
      </c>
      <c r="P245" s="71">
        <f t="shared" si="15"/>
        <v>6.8757237107849738</v>
      </c>
    </row>
    <row r="246" spans="1:16" ht="13.5" thickBot="1" x14ac:dyDescent="0.25">
      <c r="A246" s="2" t="s">
        <v>536</v>
      </c>
      <c r="B246" s="72" t="s">
        <v>205</v>
      </c>
      <c r="C246" s="2" t="s">
        <v>29</v>
      </c>
      <c r="D246" s="4">
        <v>14074</v>
      </c>
      <c r="E246" s="4">
        <v>49109</v>
      </c>
      <c r="F246" s="4">
        <v>2597</v>
      </c>
      <c r="G246" s="4">
        <v>5474</v>
      </c>
      <c r="H246" s="4">
        <v>34</v>
      </c>
      <c r="I246" s="4">
        <v>3</v>
      </c>
      <c r="J246" s="4">
        <v>8949</v>
      </c>
      <c r="K246" s="4">
        <v>3524</v>
      </c>
      <c r="L246" s="4">
        <v>285</v>
      </c>
      <c r="M246" s="4">
        <f t="shared" si="12"/>
        <v>69975</v>
      </c>
      <c r="N246" s="71">
        <f t="shared" si="13"/>
        <v>0.90670740372317749</v>
      </c>
      <c r="O246" s="71">
        <f t="shared" si="14"/>
        <v>4.0628108568992465</v>
      </c>
      <c r="P246" s="71">
        <f t="shared" si="15"/>
        <v>4.971934062810857</v>
      </c>
    </row>
    <row r="247" spans="1:16" ht="13.5" thickBot="1" x14ac:dyDescent="0.25">
      <c r="A247" s="2" t="s">
        <v>538</v>
      </c>
      <c r="B247" s="72" t="s">
        <v>234</v>
      </c>
      <c r="C247" s="2" t="s">
        <v>29</v>
      </c>
      <c r="D247" s="4">
        <v>20542</v>
      </c>
      <c r="E247" s="4">
        <v>30974</v>
      </c>
      <c r="F247" s="4">
        <v>1252</v>
      </c>
      <c r="G247" s="4">
        <v>4690</v>
      </c>
      <c r="H247" s="4">
        <v>65</v>
      </c>
      <c r="I247" s="4">
        <v>3</v>
      </c>
      <c r="J247" s="4">
        <v>13511</v>
      </c>
      <c r="K247" s="4">
        <v>2009</v>
      </c>
      <c r="L247" s="4">
        <v>524</v>
      </c>
      <c r="M247" s="4">
        <f t="shared" si="12"/>
        <v>53028</v>
      </c>
      <c r="N247" s="71">
        <f t="shared" si="13"/>
        <v>0.78118002141953069</v>
      </c>
      <c r="O247" s="71">
        <f t="shared" si="14"/>
        <v>1.797098627202804</v>
      </c>
      <c r="P247" s="71">
        <f t="shared" si="15"/>
        <v>2.581442897478337</v>
      </c>
    </row>
    <row r="248" spans="1:16" ht="13.5" thickBot="1" x14ac:dyDescent="0.25">
      <c r="A248" s="2" t="s">
        <v>540</v>
      </c>
      <c r="B248" s="72" t="s">
        <v>236</v>
      </c>
      <c r="C248" s="2" t="s">
        <v>29</v>
      </c>
      <c r="D248" s="4">
        <v>19591</v>
      </c>
      <c r="E248" s="4">
        <v>86546</v>
      </c>
      <c r="F248" s="4">
        <v>13249</v>
      </c>
      <c r="G248" s="4">
        <v>11306</v>
      </c>
      <c r="H248" s="4">
        <v>148</v>
      </c>
      <c r="I248" s="4">
        <v>9</v>
      </c>
      <c r="J248" s="4">
        <v>41833</v>
      </c>
      <c r="K248" s="4">
        <v>29893</v>
      </c>
      <c r="L248" s="4">
        <v>871</v>
      </c>
      <c r="M248" s="4">
        <f t="shared" si="12"/>
        <v>183855</v>
      </c>
      <c r="N248" s="71">
        <f t="shared" si="13"/>
        <v>3.706089530907049</v>
      </c>
      <c r="O248" s="71">
        <f t="shared" si="14"/>
        <v>5.6710224082486853</v>
      </c>
      <c r="P248" s="71">
        <f t="shared" si="15"/>
        <v>9.3846664284620491</v>
      </c>
    </row>
    <row r="249" spans="1:16" ht="13.5" thickBot="1" x14ac:dyDescent="0.25">
      <c r="A249" s="2" t="s">
        <v>542</v>
      </c>
      <c r="B249" s="72" t="s">
        <v>244</v>
      </c>
      <c r="C249" s="2" t="s">
        <v>29</v>
      </c>
      <c r="D249" s="4">
        <v>13306</v>
      </c>
      <c r="E249" s="4">
        <v>26313</v>
      </c>
      <c r="F249" s="4">
        <v>769</v>
      </c>
      <c r="G249" s="4">
        <v>3251</v>
      </c>
      <c r="H249" s="4">
        <v>30</v>
      </c>
      <c r="I249" s="4">
        <v>3</v>
      </c>
      <c r="J249" s="4">
        <v>14439</v>
      </c>
      <c r="K249" s="4">
        <v>2779</v>
      </c>
      <c r="L249" s="4">
        <v>279</v>
      </c>
      <c r="M249" s="4">
        <f t="shared" si="12"/>
        <v>47863</v>
      </c>
      <c r="N249" s="71">
        <f t="shared" si="13"/>
        <v>1.3151961521118292</v>
      </c>
      <c r="O249" s="71">
        <f t="shared" si="14"/>
        <v>2.2796482789718926</v>
      </c>
      <c r="P249" s="71">
        <f t="shared" si="15"/>
        <v>3.5970990530587703</v>
      </c>
    </row>
    <row r="250" spans="1:16" ht="13.5" thickBot="1" x14ac:dyDescent="0.25">
      <c r="A250" s="2" t="s">
        <v>544</v>
      </c>
      <c r="B250" s="72" t="s">
        <v>254</v>
      </c>
      <c r="C250" s="2" t="s">
        <v>29</v>
      </c>
      <c r="D250" s="4">
        <v>12670</v>
      </c>
      <c r="E250" s="4">
        <v>12820</v>
      </c>
      <c r="F250" s="4">
        <v>475</v>
      </c>
      <c r="G250" s="4">
        <v>858</v>
      </c>
      <c r="H250" s="4">
        <v>44</v>
      </c>
      <c r="I250" s="4">
        <v>2</v>
      </c>
      <c r="J250" s="4">
        <v>330821</v>
      </c>
      <c r="K250" s="4">
        <v>636944</v>
      </c>
      <c r="L250" s="4">
        <v>47143</v>
      </c>
      <c r="M250" s="4">
        <f t="shared" si="12"/>
        <v>1029107</v>
      </c>
      <c r="N250" s="71">
        <f t="shared" si="13"/>
        <v>80.103393843725328</v>
      </c>
      <c r="O250" s="71">
        <f t="shared" si="14"/>
        <v>1.1170481452249408</v>
      </c>
      <c r="P250" s="71">
        <f t="shared" si="15"/>
        <v>81.223914759273882</v>
      </c>
    </row>
    <row r="251" spans="1:16" ht="13.5" thickBot="1" x14ac:dyDescent="0.25">
      <c r="A251" s="2" t="s">
        <v>546</v>
      </c>
      <c r="B251" s="72" t="s">
        <v>270</v>
      </c>
      <c r="C251" s="2" t="s">
        <v>29</v>
      </c>
      <c r="D251" s="4">
        <v>25830</v>
      </c>
      <c r="E251" s="4">
        <v>83510</v>
      </c>
      <c r="F251" s="4">
        <v>3020</v>
      </c>
      <c r="G251" s="4">
        <v>4590</v>
      </c>
      <c r="H251" s="4">
        <v>73</v>
      </c>
      <c r="I251" s="4">
        <v>5</v>
      </c>
      <c r="J251" s="4">
        <v>8520</v>
      </c>
      <c r="K251" s="4">
        <v>3374</v>
      </c>
      <c r="L251" s="4">
        <v>285</v>
      </c>
      <c r="M251" s="4">
        <f t="shared" si="12"/>
        <v>103377</v>
      </c>
      <c r="N251" s="71">
        <f t="shared" si="13"/>
        <v>0.47169957413859853</v>
      </c>
      <c r="O251" s="71">
        <f t="shared" si="14"/>
        <v>3.5276809910956253</v>
      </c>
      <c r="P251" s="71">
        <f t="shared" si="15"/>
        <v>4.0022067363530782</v>
      </c>
    </row>
    <row r="252" spans="1:16" ht="13.5" thickBot="1" x14ac:dyDescent="0.25">
      <c r="A252" s="2" t="s">
        <v>548</v>
      </c>
      <c r="B252" s="72" t="s">
        <v>278</v>
      </c>
      <c r="C252" s="2" t="s">
        <v>29</v>
      </c>
      <c r="D252" s="4">
        <v>14230</v>
      </c>
      <c r="E252" s="4">
        <v>42529</v>
      </c>
      <c r="F252" s="4">
        <v>367</v>
      </c>
      <c r="G252" s="4">
        <v>2232</v>
      </c>
      <c r="H252" s="4">
        <v>36</v>
      </c>
      <c r="I252" s="4">
        <v>2</v>
      </c>
      <c r="J252" s="4">
        <v>7669</v>
      </c>
      <c r="K252" s="4">
        <v>3066</v>
      </c>
      <c r="L252" s="4">
        <v>0</v>
      </c>
      <c r="M252" s="4">
        <f t="shared" si="12"/>
        <v>55901</v>
      </c>
      <c r="N252" s="71">
        <f t="shared" si="13"/>
        <v>0.7545326774420239</v>
      </c>
      <c r="O252" s="71">
        <f t="shared" si="14"/>
        <v>3.1713281799016162</v>
      </c>
      <c r="P252" s="71">
        <f t="shared" si="15"/>
        <v>3.9283907238229094</v>
      </c>
    </row>
    <row r="253" spans="1:16" ht="13.5" thickBot="1" x14ac:dyDescent="0.25">
      <c r="A253" s="2" t="s">
        <v>550</v>
      </c>
      <c r="B253" s="72" t="s">
        <v>280</v>
      </c>
      <c r="C253" s="2" t="s">
        <v>29</v>
      </c>
      <c r="D253" s="4">
        <v>19900</v>
      </c>
      <c r="E253" s="4">
        <v>54090</v>
      </c>
      <c r="F253" s="4">
        <v>7265</v>
      </c>
      <c r="G253" s="4">
        <v>8879</v>
      </c>
      <c r="H253" s="4">
        <v>93</v>
      </c>
      <c r="I253" s="4">
        <v>7</v>
      </c>
      <c r="J253" s="4">
        <v>26004</v>
      </c>
      <c r="K253" s="4">
        <v>8518</v>
      </c>
      <c r="L253" s="4">
        <v>1530</v>
      </c>
      <c r="M253" s="4">
        <f t="shared" si="12"/>
        <v>106386</v>
      </c>
      <c r="N253" s="71">
        <f t="shared" si="13"/>
        <v>1.8120100502512564</v>
      </c>
      <c r="O253" s="71">
        <f t="shared" si="14"/>
        <v>3.5293467336683415</v>
      </c>
      <c r="P253" s="71">
        <f t="shared" si="15"/>
        <v>5.3460301507537684</v>
      </c>
    </row>
    <row r="254" spans="1:16" ht="13.5" thickBot="1" x14ac:dyDescent="0.25">
      <c r="A254" s="2" t="s">
        <v>552</v>
      </c>
      <c r="B254" s="72" t="s">
        <v>284</v>
      </c>
      <c r="C254" s="2" t="s">
        <v>29</v>
      </c>
      <c r="D254" s="4">
        <v>17626</v>
      </c>
      <c r="E254" s="4">
        <v>75751</v>
      </c>
      <c r="F254" s="4">
        <v>4952</v>
      </c>
      <c r="G254" s="4">
        <v>5994</v>
      </c>
      <c r="H254" s="4">
        <v>59</v>
      </c>
      <c r="I254" s="4">
        <v>5</v>
      </c>
      <c r="J254" s="4">
        <v>14443</v>
      </c>
      <c r="K254" s="4">
        <v>5499</v>
      </c>
      <c r="L254" s="4">
        <v>2557</v>
      </c>
      <c r="M254" s="4">
        <f t="shared" si="12"/>
        <v>109260</v>
      </c>
      <c r="N254" s="71">
        <f t="shared" si="13"/>
        <v>1.2767502553046635</v>
      </c>
      <c r="O254" s="71">
        <f t="shared" si="14"/>
        <v>4.9186996482469079</v>
      </c>
      <c r="P254" s="71">
        <f t="shared" si="15"/>
        <v>6.19879723136276</v>
      </c>
    </row>
    <row r="255" spans="1:16" ht="13.5" thickBot="1" x14ac:dyDescent="0.25">
      <c r="A255" s="2" t="s">
        <v>554</v>
      </c>
      <c r="B255" s="72" t="s">
        <v>286</v>
      </c>
      <c r="C255" s="2" t="s">
        <v>29</v>
      </c>
      <c r="D255" s="4">
        <v>17823</v>
      </c>
      <c r="E255" s="4">
        <v>58453</v>
      </c>
      <c r="F255" s="4">
        <v>4275</v>
      </c>
      <c r="G255" s="4">
        <v>6314</v>
      </c>
      <c r="H255" s="4">
        <v>65</v>
      </c>
      <c r="I255" s="4">
        <v>1</v>
      </c>
      <c r="J255" s="4">
        <v>0</v>
      </c>
      <c r="K255" s="4">
        <v>0</v>
      </c>
      <c r="L255" s="4">
        <v>0</v>
      </c>
      <c r="M255" s="4">
        <f t="shared" si="12"/>
        <v>69108</v>
      </c>
      <c r="N255" s="71">
        <f t="shared" si="13"/>
        <v>5.6107277113841663E-5</v>
      </c>
      <c r="O255" s="71">
        <f t="shared" si="14"/>
        <v>3.8737586264938564</v>
      </c>
      <c r="P255" s="71">
        <f t="shared" si="15"/>
        <v>3.8774617067833699</v>
      </c>
    </row>
    <row r="256" spans="1:16" ht="13.5" thickBot="1" x14ac:dyDescent="0.25">
      <c r="A256" s="2" t="s">
        <v>556</v>
      </c>
      <c r="B256" s="72" t="s">
        <v>294</v>
      </c>
      <c r="C256" s="2" t="s">
        <v>29</v>
      </c>
      <c r="D256" s="4">
        <v>17068</v>
      </c>
      <c r="E256" s="4">
        <v>32889</v>
      </c>
      <c r="F256" s="4">
        <v>3116</v>
      </c>
      <c r="G256" s="4">
        <v>4545</v>
      </c>
      <c r="H256" s="4">
        <v>22</v>
      </c>
      <c r="I256" s="4">
        <v>3</v>
      </c>
      <c r="J256" s="4">
        <v>6647</v>
      </c>
      <c r="K256" s="4">
        <v>997</v>
      </c>
      <c r="L256" s="4">
        <v>0</v>
      </c>
      <c r="M256" s="4">
        <f t="shared" si="12"/>
        <v>48219</v>
      </c>
      <c r="N256" s="71">
        <f t="shared" si="13"/>
        <v>0.44803140379657841</v>
      </c>
      <c r="O256" s="71">
        <f t="shared" si="14"/>
        <v>2.3757909538317321</v>
      </c>
      <c r="P256" s="71">
        <f t="shared" si="15"/>
        <v>2.8251113194281698</v>
      </c>
    </row>
    <row r="257" spans="1:16" ht="13.5" thickBot="1" x14ac:dyDescent="0.25">
      <c r="A257" s="2" t="s">
        <v>558</v>
      </c>
      <c r="B257" s="72" t="s">
        <v>300</v>
      </c>
      <c r="C257" s="2" t="s">
        <v>29</v>
      </c>
      <c r="D257" s="4">
        <v>14480</v>
      </c>
      <c r="E257" s="4">
        <v>52164</v>
      </c>
      <c r="F257" s="4">
        <v>3324</v>
      </c>
      <c r="G257" s="4">
        <v>5027</v>
      </c>
      <c r="H257" s="4">
        <v>57</v>
      </c>
      <c r="I257" s="4">
        <v>6</v>
      </c>
      <c r="J257" s="4">
        <v>10523</v>
      </c>
      <c r="K257" s="4">
        <v>1866</v>
      </c>
      <c r="L257" s="4">
        <v>33</v>
      </c>
      <c r="M257" s="4">
        <f t="shared" si="12"/>
        <v>73000</v>
      </c>
      <c r="N257" s="71">
        <f t="shared" si="13"/>
        <v>0.85828729281767957</v>
      </c>
      <c r="O257" s="71">
        <f t="shared" si="14"/>
        <v>4.1792127071823204</v>
      </c>
      <c r="P257" s="71">
        <f t="shared" si="15"/>
        <v>5.041436464088398</v>
      </c>
    </row>
    <row r="258" spans="1:16" ht="13.5" thickBot="1" x14ac:dyDescent="0.25">
      <c r="A258" s="2" t="s">
        <v>560</v>
      </c>
      <c r="B258" s="72" t="s">
        <v>304</v>
      </c>
      <c r="C258" s="2" t="s">
        <v>29</v>
      </c>
      <c r="D258" s="4">
        <v>13326</v>
      </c>
      <c r="E258" s="4">
        <v>93867</v>
      </c>
      <c r="F258" s="4">
        <v>7598</v>
      </c>
      <c r="G258" s="4">
        <v>5350</v>
      </c>
      <c r="H258" s="4">
        <v>148</v>
      </c>
      <c r="I258" s="4">
        <v>7</v>
      </c>
      <c r="J258" s="4">
        <v>21993</v>
      </c>
      <c r="K258" s="4">
        <v>9007</v>
      </c>
      <c r="L258" s="4">
        <v>0</v>
      </c>
      <c r="M258" s="4">
        <f t="shared" si="12"/>
        <v>137970</v>
      </c>
      <c r="N258" s="71">
        <f t="shared" si="13"/>
        <v>2.3268047426084348</v>
      </c>
      <c r="O258" s="71">
        <f t="shared" si="14"/>
        <v>8.0155335434488961</v>
      </c>
      <c r="P258" s="71">
        <f t="shared" si="15"/>
        <v>10.353444394416929</v>
      </c>
    </row>
    <row r="259" spans="1:16" ht="13.5" thickBot="1" x14ac:dyDescent="0.25">
      <c r="A259" s="2" t="s">
        <v>562</v>
      </c>
      <c r="B259" s="72" t="s">
        <v>306</v>
      </c>
      <c r="C259" s="2" t="s">
        <v>29</v>
      </c>
      <c r="D259" s="4">
        <v>13598</v>
      </c>
      <c r="E259" s="4">
        <v>15369</v>
      </c>
      <c r="F259" s="4">
        <v>340</v>
      </c>
      <c r="G259" s="4">
        <v>763</v>
      </c>
      <c r="H259" s="4">
        <v>-1</v>
      </c>
      <c r="I259" s="4">
        <v>2</v>
      </c>
      <c r="J259" s="4">
        <v>7182</v>
      </c>
      <c r="K259" s="4">
        <v>2874</v>
      </c>
      <c r="L259" s="4">
        <v>0</v>
      </c>
      <c r="M259" s="4">
        <f t="shared" si="12"/>
        <v>26529</v>
      </c>
      <c r="N259" s="71">
        <f t="shared" si="13"/>
        <v>0.73966759817620242</v>
      </c>
      <c r="O259" s="71">
        <f t="shared" si="14"/>
        <v>1.2113546109722018</v>
      </c>
      <c r="P259" s="71">
        <f t="shared" si="15"/>
        <v>1.9509486689219002</v>
      </c>
    </row>
    <row r="260" spans="1:16" ht="13.5" thickBot="1" x14ac:dyDescent="0.25">
      <c r="A260" s="2" t="s">
        <v>564</v>
      </c>
      <c r="B260" s="72" t="s">
        <v>324</v>
      </c>
      <c r="C260" s="2" t="s">
        <v>29</v>
      </c>
      <c r="D260" s="4">
        <v>25692</v>
      </c>
      <c r="E260" s="4">
        <v>63754</v>
      </c>
      <c r="F260" s="4">
        <v>4030</v>
      </c>
      <c r="G260" s="4">
        <v>5005</v>
      </c>
      <c r="H260" s="4">
        <v>74</v>
      </c>
      <c r="I260" s="4">
        <v>3</v>
      </c>
      <c r="J260" s="4">
        <v>4960</v>
      </c>
      <c r="K260" s="4">
        <v>3128</v>
      </c>
      <c r="L260" s="4">
        <v>0</v>
      </c>
      <c r="M260" s="4">
        <f t="shared" ref="M260:M323" si="16">SUM(E260:L260)</f>
        <v>80954</v>
      </c>
      <c r="N260" s="71">
        <f t="shared" ref="N260:N323" si="17">(J260+K260+L260+I260)/D260</f>
        <v>0.31492293320878095</v>
      </c>
      <c r="O260" s="71">
        <f t="shared" ref="O260:O323" si="18">(E260+F260+G260)/D260</f>
        <v>2.8331387202241944</v>
      </c>
      <c r="P260" s="71">
        <f t="shared" ref="P260:P323" si="19">M260/D260</f>
        <v>3.1509419274482329</v>
      </c>
    </row>
    <row r="261" spans="1:16" ht="13.5" thickBot="1" x14ac:dyDescent="0.25">
      <c r="A261" s="2" t="s">
        <v>566</v>
      </c>
      <c r="B261" s="72" t="s">
        <v>332</v>
      </c>
      <c r="C261" s="2" t="s">
        <v>29</v>
      </c>
      <c r="D261" s="4">
        <v>15959</v>
      </c>
      <c r="E261" s="4">
        <v>29094</v>
      </c>
      <c r="F261" s="4">
        <v>1809</v>
      </c>
      <c r="G261" s="4">
        <v>3036</v>
      </c>
      <c r="H261" s="4">
        <v>33</v>
      </c>
      <c r="I261" s="4">
        <v>9</v>
      </c>
      <c r="J261" s="4">
        <v>58627</v>
      </c>
      <c r="K261" s="4">
        <v>21704</v>
      </c>
      <c r="L261" s="4">
        <v>0</v>
      </c>
      <c r="M261" s="4">
        <f t="shared" si="16"/>
        <v>114312</v>
      </c>
      <c r="N261" s="71">
        <f t="shared" si="17"/>
        <v>5.0341500093990854</v>
      </c>
      <c r="O261" s="71">
        <f t="shared" si="18"/>
        <v>2.1266370073312864</v>
      </c>
      <c r="P261" s="71">
        <f t="shared" si="19"/>
        <v>7.1628548154646285</v>
      </c>
    </row>
    <row r="262" spans="1:16" ht="13.5" thickBot="1" x14ac:dyDescent="0.25">
      <c r="A262" s="2" t="s">
        <v>568</v>
      </c>
      <c r="B262" s="72" t="s">
        <v>342</v>
      </c>
      <c r="C262" s="2" t="s">
        <v>29</v>
      </c>
      <c r="D262" s="4">
        <v>21165</v>
      </c>
      <c r="E262" s="4">
        <v>44379</v>
      </c>
      <c r="F262" s="4">
        <v>4069</v>
      </c>
      <c r="G262" s="4">
        <v>5022</v>
      </c>
      <c r="H262" s="4">
        <v>53</v>
      </c>
      <c r="I262" s="4">
        <v>3</v>
      </c>
      <c r="J262" s="4">
        <v>1926</v>
      </c>
      <c r="K262" s="4">
        <v>273</v>
      </c>
      <c r="L262" s="4">
        <v>0</v>
      </c>
      <c r="M262" s="4">
        <f t="shared" si="16"/>
        <v>55725</v>
      </c>
      <c r="N262" s="71">
        <f t="shared" si="17"/>
        <v>0.1040396881644224</v>
      </c>
      <c r="O262" s="71">
        <f t="shared" si="18"/>
        <v>2.5263406567446256</v>
      </c>
      <c r="P262" s="71">
        <f t="shared" si="19"/>
        <v>2.6328844790928421</v>
      </c>
    </row>
    <row r="263" spans="1:16" ht="13.5" thickBot="1" x14ac:dyDescent="0.25">
      <c r="A263" s="2" t="s">
        <v>570</v>
      </c>
      <c r="B263" s="72" t="s">
        <v>344</v>
      </c>
      <c r="C263" s="2" t="s">
        <v>29</v>
      </c>
      <c r="D263" s="4">
        <v>22423</v>
      </c>
      <c r="E263" s="4">
        <v>74235</v>
      </c>
      <c r="F263" s="4">
        <v>380</v>
      </c>
      <c r="G263" s="4">
        <v>1370</v>
      </c>
      <c r="H263" s="4">
        <v>52</v>
      </c>
      <c r="I263" s="4">
        <v>0</v>
      </c>
      <c r="J263" s="4">
        <v>0</v>
      </c>
      <c r="K263" s="4">
        <v>0</v>
      </c>
      <c r="L263" s="4">
        <v>0</v>
      </c>
      <c r="M263" s="4">
        <f t="shared" si="16"/>
        <v>76037</v>
      </c>
      <c r="N263" s="71">
        <f t="shared" si="17"/>
        <v>0</v>
      </c>
      <c r="O263" s="71">
        <f t="shared" si="18"/>
        <v>3.3887080230120858</v>
      </c>
      <c r="P263" s="71">
        <f t="shared" si="19"/>
        <v>3.3910270704187666</v>
      </c>
    </row>
    <row r="264" spans="1:16" ht="13.5" thickBot="1" x14ac:dyDescent="0.25">
      <c r="A264" s="2" t="s">
        <v>572</v>
      </c>
      <c r="B264" s="72" t="s">
        <v>350</v>
      </c>
      <c r="C264" s="2" t="s">
        <v>29</v>
      </c>
      <c r="D264" s="4">
        <v>14236</v>
      </c>
      <c r="E264" s="4">
        <v>42277</v>
      </c>
      <c r="F264" s="4">
        <v>3028</v>
      </c>
      <c r="G264" s="4">
        <v>3069</v>
      </c>
      <c r="H264" s="4">
        <v>26</v>
      </c>
      <c r="I264" s="4">
        <v>4</v>
      </c>
      <c r="J264" s="4">
        <v>10534</v>
      </c>
      <c r="K264" s="4">
        <v>1866</v>
      </c>
      <c r="L264" s="4">
        <v>33</v>
      </c>
      <c r="M264" s="4">
        <f t="shared" si="16"/>
        <v>60837</v>
      </c>
      <c r="N264" s="71">
        <f t="shared" si="17"/>
        <v>0.87363023321157629</v>
      </c>
      <c r="O264" s="71">
        <f t="shared" si="18"/>
        <v>3.3980050576004497</v>
      </c>
      <c r="P264" s="71">
        <f t="shared" si="19"/>
        <v>4.273461646529924</v>
      </c>
    </row>
    <row r="265" spans="1:16" ht="13.5" thickBot="1" x14ac:dyDescent="0.25">
      <c r="A265" s="2" t="s">
        <v>574</v>
      </c>
      <c r="B265" s="72" t="s">
        <v>352</v>
      </c>
      <c r="C265" s="2" t="s">
        <v>29</v>
      </c>
      <c r="D265" s="4">
        <v>12920</v>
      </c>
      <c r="E265" s="4">
        <v>28409</v>
      </c>
      <c r="F265" s="4">
        <v>740</v>
      </c>
      <c r="G265" s="4">
        <v>992</v>
      </c>
      <c r="H265" s="4">
        <v>52</v>
      </c>
      <c r="I265" s="4">
        <v>1</v>
      </c>
      <c r="J265" s="4">
        <v>7718</v>
      </c>
      <c r="K265" s="4">
        <v>3184</v>
      </c>
      <c r="L265" s="4">
        <v>0</v>
      </c>
      <c r="M265" s="4">
        <f t="shared" si="16"/>
        <v>41096</v>
      </c>
      <c r="N265" s="71">
        <f t="shared" si="17"/>
        <v>0.84388544891640871</v>
      </c>
      <c r="O265" s="71">
        <f t="shared" si="18"/>
        <v>2.3328947368421051</v>
      </c>
      <c r="P265" s="71">
        <f t="shared" si="19"/>
        <v>3.1808049535603713</v>
      </c>
    </row>
    <row r="266" spans="1:16" ht="13.5" thickBot="1" x14ac:dyDescent="0.25">
      <c r="A266" s="2" t="s">
        <v>576</v>
      </c>
      <c r="B266" s="72" t="s">
        <v>354</v>
      </c>
      <c r="C266" s="2" t="s">
        <v>29</v>
      </c>
      <c r="D266" s="4">
        <v>24587</v>
      </c>
      <c r="E266" s="4">
        <v>23457</v>
      </c>
      <c r="F266" s="4">
        <v>2003</v>
      </c>
      <c r="G266" s="4">
        <v>3934</v>
      </c>
      <c r="H266" s="4">
        <v>7</v>
      </c>
      <c r="I266" s="4">
        <v>5</v>
      </c>
      <c r="J266" s="4">
        <v>7424</v>
      </c>
      <c r="K266" s="4">
        <v>2015</v>
      </c>
      <c r="L266" s="4">
        <v>32</v>
      </c>
      <c r="M266" s="4">
        <f t="shared" si="16"/>
        <v>38877</v>
      </c>
      <c r="N266" s="71">
        <f t="shared" si="17"/>
        <v>0.38540692235734331</v>
      </c>
      <c r="O266" s="71">
        <f t="shared" si="18"/>
        <v>1.1955098222637979</v>
      </c>
      <c r="P266" s="71">
        <f t="shared" si="19"/>
        <v>1.5812014479196324</v>
      </c>
    </row>
    <row r="267" spans="1:16" ht="13.5" thickBot="1" x14ac:dyDescent="0.25">
      <c r="A267" s="2" t="s">
        <v>578</v>
      </c>
      <c r="B267" s="72" t="s">
        <v>360</v>
      </c>
      <c r="C267" s="2" t="s">
        <v>29</v>
      </c>
      <c r="D267" s="4">
        <v>13233</v>
      </c>
      <c r="E267" s="4">
        <v>34253</v>
      </c>
      <c r="F267" s="4">
        <v>2148</v>
      </c>
      <c r="G267" s="4">
        <v>4622</v>
      </c>
      <c r="H267" s="4">
        <v>52</v>
      </c>
      <c r="I267" s="4">
        <v>2</v>
      </c>
      <c r="J267" s="4">
        <v>24108</v>
      </c>
      <c r="K267" s="4">
        <v>10332</v>
      </c>
      <c r="L267" s="4">
        <v>0</v>
      </c>
      <c r="M267" s="4">
        <f t="shared" si="16"/>
        <v>75517</v>
      </c>
      <c r="N267" s="71">
        <f t="shared" si="17"/>
        <v>2.602735585279226</v>
      </c>
      <c r="O267" s="71">
        <f t="shared" si="18"/>
        <v>3.1000528980578856</v>
      </c>
      <c r="P267" s="71">
        <f t="shared" si="19"/>
        <v>5.7067180533514694</v>
      </c>
    </row>
    <row r="268" spans="1:16" ht="13.5" thickBot="1" x14ac:dyDescent="0.25">
      <c r="A268" s="2" t="s">
        <v>580</v>
      </c>
      <c r="B268" s="72" t="s">
        <v>362</v>
      </c>
      <c r="C268" s="2" t="s">
        <v>29</v>
      </c>
      <c r="D268" s="4">
        <v>16422</v>
      </c>
      <c r="E268" s="4">
        <v>72534</v>
      </c>
      <c r="F268" s="4">
        <v>3005</v>
      </c>
      <c r="G268" s="4">
        <v>3823</v>
      </c>
      <c r="H268" s="4">
        <v>53</v>
      </c>
      <c r="I268" s="4">
        <v>2</v>
      </c>
      <c r="J268" s="4">
        <v>15505</v>
      </c>
      <c r="K268" s="4">
        <v>5082</v>
      </c>
      <c r="L268" s="4">
        <v>761</v>
      </c>
      <c r="M268" s="4">
        <f t="shared" si="16"/>
        <v>100765</v>
      </c>
      <c r="N268" s="71">
        <f t="shared" si="17"/>
        <v>1.300085251491901</v>
      </c>
      <c r="O268" s="71">
        <f t="shared" si="18"/>
        <v>4.8326635001826821</v>
      </c>
      <c r="P268" s="71">
        <f t="shared" si="19"/>
        <v>6.1359761295822679</v>
      </c>
    </row>
    <row r="269" spans="1:16" ht="13.5" thickBot="1" x14ac:dyDescent="0.25">
      <c r="A269" s="2" t="s">
        <v>582</v>
      </c>
      <c r="B269" s="72" t="s">
        <v>370</v>
      </c>
      <c r="C269" s="2" t="s">
        <v>29</v>
      </c>
      <c r="D269" s="4">
        <v>19202</v>
      </c>
      <c r="E269" s="4">
        <v>74491</v>
      </c>
      <c r="F269" s="4">
        <v>5320</v>
      </c>
      <c r="G269" s="4">
        <v>6850</v>
      </c>
      <c r="H269" s="4">
        <v>140</v>
      </c>
      <c r="I269" s="4">
        <v>5</v>
      </c>
      <c r="J269" s="4">
        <v>30453</v>
      </c>
      <c r="K269" s="4">
        <v>12886</v>
      </c>
      <c r="L269" s="4">
        <v>853</v>
      </c>
      <c r="M269" s="4">
        <f t="shared" si="16"/>
        <v>130998</v>
      </c>
      <c r="N269" s="71">
        <f t="shared" si="17"/>
        <v>2.3016873242370588</v>
      </c>
      <c r="O269" s="71">
        <f t="shared" si="18"/>
        <v>4.5131236329549003</v>
      </c>
      <c r="P269" s="71">
        <f t="shared" si="19"/>
        <v>6.8221018643891265</v>
      </c>
    </row>
    <row r="270" spans="1:16" ht="13.5" thickBot="1" x14ac:dyDescent="0.25">
      <c r="A270" s="2" t="s">
        <v>584</v>
      </c>
      <c r="B270" s="72" t="s">
        <v>374</v>
      </c>
      <c r="C270" s="2" t="s">
        <v>29</v>
      </c>
      <c r="D270" s="4">
        <v>23088</v>
      </c>
      <c r="E270" s="4">
        <v>31392</v>
      </c>
      <c r="F270" s="4">
        <v>2532</v>
      </c>
      <c r="G270" s="4">
        <v>2308</v>
      </c>
      <c r="H270" s="4">
        <v>37</v>
      </c>
      <c r="I270" s="4">
        <v>0</v>
      </c>
      <c r="J270" s="4">
        <v>11747</v>
      </c>
      <c r="K270" s="4">
        <v>1602</v>
      </c>
      <c r="L270" s="4">
        <v>0</v>
      </c>
      <c r="M270" s="4">
        <f t="shared" si="16"/>
        <v>49618</v>
      </c>
      <c r="N270" s="71">
        <f t="shared" si="17"/>
        <v>0.57817914067914067</v>
      </c>
      <c r="O270" s="71">
        <f t="shared" si="18"/>
        <v>1.5693000693000694</v>
      </c>
      <c r="P270" s="71">
        <f t="shared" si="19"/>
        <v>2.149081774081774</v>
      </c>
    </row>
    <row r="271" spans="1:16" ht="13.5" thickBot="1" x14ac:dyDescent="0.25">
      <c r="A271" s="2" t="s">
        <v>586</v>
      </c>
      <c r="B271" s="72" t="s">
        <v>382</v>
      </c>
      <c r="C271" s="2" t="s">
        <v>29</v>
      </c>
      <c r="D271" s="4">
        <v>15322</v>
      </c>
      <c r="E271" s="4">
        <v>30023</v>
      </c>
      <c r="F271" s="4">
        <v>1963</v>
      </c>
      <c r="G271" s="4">
        <v>3359</v>
      </c>
      <c r="H271" s="4">
        <v>90</v>
      </c>
      <c r="I271" s="4">
        <v>3</v>
      </c>
      <c r="J271" s="4">
        <v>6843</v>
      </c>
      <c r="K271" s="4">
        <v>1150</v>
      </c>
      <c r="L271" s="4">
        <v>80</v>
      </c>
      <c r="M271" s="4">
        <f t="shared" si="16"/>
        <v>43511</v>
      </c>
      <c r="N271" s="71">
        <f t="shared" si="17"/>
        <v>0.52708523691424092</v>
      </c>
      <c r="O271" s="71">
        <f t="shared" si="18"/>
        <v>2.3068137318887874</v>
      </c>
      <c r="P271" s="71">
        <f t="shared" si="19"/>
        <v>2.8397728756037073</v>
      </c>
    </row>
    <row r="272" spans="1:16" ht="13.5" thickBot="1" x14ac:dyDescent="0.25">
      <c r="A272" s="2" t="s">
        <v>588</v>
      </c>
      <c r="B272" s="72" t="s">
        <v>384</v>
      </c>
      <c r="C272" s="2" t="s">
        <v>29</v>
      </c>
      <c r="D272" s="4">
        <v>22115</v>
      </c>
      <c r="E272" s="4">
        <v>70420</v>
      </c>
      <c r="F272" s="4">
        <v>6408</v>
      </c>
      <c r="G272" s="4">
        <v>5708</v>
      </c>
      <c r="H272" s="4">
        <v>138</v>
      </c>
      <c r="I272" s="4">
        <v>1</v>
      </c>
      <c r="J272" s="4">
        <v>14274</v>
      </c>
      <c r="K272" s="4">
        <v>5907</v>
      </c>
      <c r="L272" s="4">
        <v>293</v>
      </c>
      <c r="M272" s="4">
        <f t="shared" si="16"/>
        <v>103149</v>
      </c>
      <c r="N272" s="71">
        <f t="shared" si="17"/>
        <v>0.92584218855980105</v>
      </c>
      <c r="O272" s="71">
        <f t="shared" si="18"/>
        <v>3.7321275152611348</v>
      </c>
      <c r="P272" s="71">
        <f t="shared" si="19"/>
        <v>4.6642098123445628</v>
      </c>
    </row>
    <row r="273" spans="1:16" ht="13.5" thickBot="1" x14ac:dyDescent="0.25">
      <c r="A273" s="2" t="s">
        <v>590</v>
      </c>
      <c r="B273" s="72" t="s">
        <v>398</v>
      </c>
      <c r="C273" s="2" t="s">
        <v>29</v>
      </c>
      <c r="D273" s="4">
        <v>21871</v>
      </c>
      <c r="E273" s="4">
        <v>31350</v>
      </c>
      <c r="F273" s="4">
        <v>1589</v>
      </c>
      <c r="G273" s="4">
        <v>1451</v>
      </c>
      <c r="H273" s="4">
        <v>41</v>
      </c>
      <c r="I273" s="4">
        <v>4</v>
      </c>
      <c r="J273" s="4">
        <v>7363</v>
      </c>
      <c r="K273" s="4">
        <v>2925</v>
      </c>
      <c r="L273" s="4">
        <v>0</v>
      </c>
      <c r="M273" s="4">
        <f t="shared" si="16"/>
        <v>44723</v>
      </c>
      <c r="N273" s="71">
        <f t="shared" si="17"/>
        <v>0.47057747702437019</v>
      </c>
      <c r="O273" s="71">
        <f t="shared" si="18"/>
        <v>1.5724018106167985</v>
      </c>
      <c r="P273" s="71">
        <f t="shared" si="19"/>
        <v>2.0448539161446666</v>
      </c>
    </row>
    <row r="274" spans="1:16" ht="13.5" thickBot="1" x14ac:dyDescent="0.25">
      <c r="A274" s="2" t="s">
        <v>592</v>
      </c>
      <c r="B274" s="72" t="s">
        <v>404</v>
      </c>
      <c r="C274" s="2" t="s">
        <v>29</v>
      </c>
      <c r="D274" s="4">
        <v>13600</v>
      </c>
      <c r="E274" s="4">
        <v>45826</v>
      </c>
      <c r="F274" s="4">
        <v>1526</v>
      </c>
      <c r="G274" s="4">
        <v>1432</v>
      </c>
      <c r="H274" s="4">
        <v>15</v>
      </c>
      <c r="I274" s="4">
        <v>1</v>
      </c>
      <c r="J274" s="4">
        <v>8186</v>
      </c>
      <c r="K274" s="4">
        <v>2957</v>
      </c>
      <c r="L274" s="4">
        <v>284</v>
      </c>
      <c r="M274" s="4">
        <f t="shared" si="16"/>
        <v>60227</v>
      </c>
      <c r="N274" s="71">
        <f t="shared" si="17"/>
        <v>0.84029411764705886</v>
      </c>
      <c r="O274" s="71">
        <f t="shared" si="18"/>
        <v>3.5870588235294116</v>
      </c>
      <c r="P274" s="71">
        <f t="shared" si="19"/>
        <v>4.4284558823529414</v>
      </c>
    </row>
    <row r="275" spans="1:16" ht="13.5" thickBot="1" x14ac:dyDescent="0.25">
      <c r="A275" s="2" t="s">
        <v>596</v>
      </c>
      <c r="B275" s="72" t="s">
        <v>418</v>
      </c>
      <c r="C275" s="2" t="s">
        <v>29</v>
      </c>
      <c r="D275" s="4">
        <v>17153</v>
      </c>
      <c r="E275" s="4">
        <v>33166</v>
      </c>
      <c r="F275" s="4">
        <v>1435</v>
      </c>
      <c r="G275" s="4">
        <v>1264</v>
      </c>
      <c r="H275" s="4">
        <v>16</v>
      </c>
      <c r="I275" s="4">
        <v>1</v>
      </c>
      <c r="J275" s="4">
        <v>1411</v>
      </c>
      <c r="K275" s="4">
        <v>429</v>
      </c>
      <c r="L275" s="4">
        <v>22</v>
      </c>
      <c r="M275" s="4">
        <f t="shared" si="16"/>
        <v>37744</v>
      </c>
      <c r="N275" s="71">
        <f t="shared" si="17"/>
        <v>0.10861073864630094</v>
      </c>
      <c r="O275" s="71">
        <f t="shared" si="18"/>
        <v>2.0908878913309623</v>
      </c>
      <c r="P275" s="71">
        <f t="shared" si="19"/>
        <v>2.2004314114149128</v>
      </c>
    </row>
    <row r="276" spans="1:16" ht="13.5" thickBot="1" x14ac:dyDescent="0.25">
      <c r="A276" s="2" t="s">
        <v>598</v>
      </c>
      <c r="B276" s="72" t="s">
        <v>436</v>
      </c>
      <c r="C276" s="2" t="s">
        <v>29</v>
      </c>
      <c r="D276" s="4">
        <v>25369</v>
      </c>
      <c r="E276" s="4">
        <v>33596</v>
      </c>
      <c r="F276" s="4">
        <v>756</v>
      </c>
      <c r="G276" s="4">
        <v>1023</v>
      </c>
      <c r="H276" s="4">
        <v>22</v>
      </c>
      <c r="I276" s="4">
        <v>0</v>
      </c>
      <c r="J276" s="4">
        <v>13856</v>
      </c>
      <c r="K276" s="4">
        <v>4678</v>
      </c>
      <c r="L276" s="4">
        <v>699</v>
      </c>
      <c r="M276" s="4">
        <f t="shared" si="16"/>
        <v>54630</v>
      </c>
      <c r="N276" s="71">
        <f t="shared" si="17"/>
        <v>0.75813000118254559</v>
      </c>
      <c r="O276" s="71">
        <f t="shared" si="18"/>
        <v>1.3944183846426741</v>
      </c>
      <c r="P276" s="71">
        <f t="shared" si="19"/>
        <v>2.153415585951358</v>
      </c>
    </row>
    <row r="277" spans="1:16" ht="13.5" thickBot="1" x14ac:dyDescent="0.25">
      <c r="A277" s="2" t="s">
        <v>600</v>
      </c>
      <c r="B277" s="72" t="s">
        <v>452</v>
      </c>
      <c r="C277" s="2" t="s">
        <v>29</v>
      </c>
      <c r="D277" s="4">
        <v>22258</v>
      </c>
      <c r="E277" s="4">
        <v>81395</v>
      </c>
      <c r="F277" s="4">
        <v>8309</v>
      </c>
      <c r="G277" s="4">
        <v>3690</v>
      </c>
      <c r="H277" s="4">
        <v>145</v>
      </c>
      <c r="I277" s="4">
        <v>12</v>
      </c>
      <c r="J277" s="4">
        <v>14439</v>
      </c>
      <c r="K277" s="4">
        <v>44476</v>
      </c>
      <c r="L277" s="4">
        <v>770</v>
      </c>
      <c r="M277" s="4">
        <f t="shared" si="16"/>
        <v>153236</v>
      </c>
      <c r="N277" s="71">
        <f t="shared" si="17"/>
        <v>2.6820469044837809</v>
      </c>
      <c r="O277" s="71">
        <f t="shared" si="18"/>
        <v>4.195974481085452</v>
      </c>
      <c r="P277" s="71">
        <f t="shared" si="19"/>
        <v>6.8845358972054989</v>
      </c>
    </row>
    <row r="278" spans="1:16" ht="13.5" thickBot="1" x14ac:dyDescent="0.25">
      <c r="A278" s="2" t="s">
        <v>602</v>
      </c>
      <c r="B278" s="72" t="s">
        <v>466</v>
      </c>
      <c r="C278" s="2" t="s">
        <v>29</v>
      </c>
      <c r="D278" s="4">
        <v>14545</v>
      </c>
      <c r="E278" s="4">
        <v>42377</v>
      </c>
      <c r="F278" s="4">
        <v>1506</v>
      </c>
      <c r="G278" s="4">
        <v>4677</v>
      </c>
      <c r="H278" s="4">
        <v>160</v>
      </c>
      <c r="I278" s="4">
        <v>5</v>
      </c>
      <c r="J278" s="4">
        <v>9600</v>
      </c>
      <c r="K278" s="4">
        <v>5696</v>
      </c>
      <c r="L278" s="4">
        <v>815</v>
      </c>
      <c r="M278" s="4">
        <f t="shared" si="16"/>
        <v>64836</v>
      </c>
      <c r="N278" s="71">
        <f t="shared" si="17"/>
        <v>1.1080096253007907</v>
      </c>
      <c r="O278" s="71">
        <f t="shared" si="18"/>
        <v>3.3386043313853557</v>
      </c>
      <c r="P278" s="71">
        <f t="shared" si="19"/>
        <v>4.4576143004468891</v>
      </c>
    </row>
    <row r="279" spans="1:16" ht="13.5" thickBot="1" x14ac:dyDescent="0.25">
      <c r="A279" s="2" t="s">
        <v>604</v>
      </c>
      <c r="B279" s="72" t="s">
        <v>473</v>
      </c>
      <c r="C279" s="2" t="s">
        <v>29</v>
      </c>
      <c r="D279" s="4">
        <v>13452</v>
      </c>
      <c r="E279" s="4">
        <v>40495</v>
      </c>
      <c r="F279" s="4">
        <v>1882</v>
      </c>
      <c r="G279" s="4">
        <v>1973</v>
      </c>
      <c r="H279" s="4">
        <v>72</v>
      </c>
      <c r="I279" s="4">
        <v>10</v>
      </c>
      <c r="J279" s="4">
        <v>10412</v>
      </c>
      <c r="K279" s="4">
        <v>1845</v>
      </c>
      <c r="L279" s="4">
        <v>33</v>
      </c>
      <c r="M279" s="4">
        <f t="shared" si="16"/>
        <v>56722</v>
      </c>
      <c r="N279" s="71">
        <f t="shared" si="17"/>
        <v>0.91436217662801067</v>
      </c>
      <c r="O279" s="71">
        <f t="shared" si="18"/>
        <v>3.2969075230449003</v>
      </c>
      <c r="P279" s="71">
        <f t="shared" si="19"/>
        <v>4.2166220636336602</v>
      </c>
    </row>
    <row r="280" spans="1:16" ht="13.5" thickBot="1" x14ac:dyDescent="0.25">
      <c r="A280" s="2" t="s">
        <v>606</v>
      </c>
      <c r="B280" s="72" t="s">
        <v>487</v>
      </c>
      <c r="C280" s="2" t="s">
        <v>29</v>
      </c>
      <c r="D280" s="4">
        <v>22995</v>
      </c>
      <c r="E280" s="4">
        <v>91999</v>
      </c>
      <c r="F280" s="4">
        <v>8008</v>
      </c>
      <c r="G280" s="4">
        <v>14105</v>
      </c>
      <c r="H280" s="4">
        <v>248</v>
      </c>
      <c r="I280" s="4">
        <v>12</v>
      </c>
      <c r="J280" s="4">
        <v>25804</v>
      </c>
      <c r="K280" s="4">
        <v>13254</v>
      </c>
      <c r="L280" s="4">
        <v>786</v>
      </c>
      <c r="M280" s="4">
        <f t="shared" si="16"/>
        <v>154216</v>
      </c>
      <c r="N280" s="71">
        <f t="shared" si="17"/>
        <v>1.7332463579038921</v>
      </c>
      <c r="O280" s="71">
        <f t="shared" si="18"/>
        <v>4.9624701021961295</v>
      </c>
      <c r="P280" s="71">
        <f t="shared" si="19"/>
        <v>6.7065014133507281</v>
      </c>
    </row>
    <row r="281" spans="1:16" ht="13.5" thickBot="1" x14ac:dyDescent="0.25">
      <c r="A281" s="2" t="s">
        <v>608</v>
      </c>
      <c r="B281" s="72" t="s">
        <v>497</v>
      </c>
      <c r="C281" s="2" t="s">
        <v>29</v>
      </c>
      <c r="D281" s="4">
        <v>14948</v>
      </c>
      <c r="E281" s="4">
        <v>48367</v>
      </c>
      <c r="F281" s="4">
        <v>3970</v>
      </c>
      <c r="G281" s="4">
        <v>5424</v>
      </c>
      <c r="H281" s="4">
        <v>98</v>
      </c>
      <c r="I281" s="4">
        <v>3</v>
      </c>
      <c r="J281" s="4">
        <v>9343</v>
      </c>
      <c r="K281" s="4">
        <v>2425</v>
      </c>
      <c r="L281" s="4">
        <v>0</v>
      </c>
      <c r="M281" s="4">
        <f t="shared" si="16"/>
        <v>69630</v>
      </c>
      <c r="N281" s="71">
        <f t="shared" si="17"/>
        <v>0.78746320578003748</v>
      </c>
      <c r="O281" s="71">
        <f t="shared" si="18"/>
        <v>3.864128980465614</v>
      </c>
      <c r="P281" s="71">
        <f t="shared" si="19"/>
        <v>4.6581482472571585</v>
      </c>
    </row>
    <row r="282" spans="1:16" ht="13.5" thickBot="1" x14ac:dyDescent="0.25">
      <c r="A282" s="2" t="s">
        <v>610</v>
      </c>
      <c r="B282" s="72" t="s">
        <v>501</v>
      </c>
      <c r="C282" s="2" t="s">
        <v>29</v>
      </c>
      <c r="D282" s="4">
        <v>18393</v>
      </c>
      <c r="E282" s="4">
        <v>91365</v>
      </c>
      <c r="F282" s="4">
        <v>5134</v>
      </c>
      <c r="G282" s="4">
        <v>2875</v>
      </c>
      <c r="H282" s="4">
        <v>186</v>
      </c>
      <c r="I282" s="4">
        <v>4</v>
      </c>
      <c r="J282" s="4">
        <v>1682</v>
      </c>
      <c r="K282" s="4">
        <v>524</v>
      </c>
      <c r="L282" s="4">
        <v>58</v>
      </c>
      <c r="M282" s="4">
        <f t="shared" si="16"/>
        <v>101828</v>
      </c>
      <c r="N282" s="71">
        <f t="shared" si="17"/>
        <v>0.12330778013374653</v>
      </c>
      <c r="O282" s="71">
        <f t="shared" si="18"/>
        <v>5.402816288805524</v>
      </c>
      <c r="P282" s="71">
        <f t="shared" si="19"/>
        <v>5.5362366117544717</v>
      </c>
    </row>
    <row r="283" spans="1:16" ht="13.5" thickBot="1" x14ac:dyDescent="0.25">
      <c r="A283" s="2" t="s">
        <v>612</v>
      </c>
      <c r="B283" s="72" t="s">
        <v>513</v>
      </c>
      <c r="C283" s="2" t="s">
        <v>29</v>
      </c>
      <c r="D283" s="4">
        <v>14384</v>
      </c>
      <c r="E283" s="4">
        <v>50028</v>
      </c>
      <c r="F283" s="4">
        <v>1665</v>
      </c>
      <c r="G283" s="4">
        <v>2234</v>
      </c>
      <c r="H283" s="4">
        <v>72</v>
      </c>
      <c r="I283" s="4">
        <v>1</v>
      </c>
      <c r="J283" s="4">
        <v>6030</v>
      </c>
      <c r="K283" s="4">
        <v>2728</v>
      </c>
      <c r="L283" s="4">
        <v>284</v>
      </c>
      <c r="M283" s="4">
        <f t="shared" si="16"/>
        <v>63042</v>
      </c>
      <c r="N283" s="71">
        <f t="shared" si="17"/>
        <v>0.62868464961067849</v>
      </c>
      <c r="O283" s="71">
        <f t="shared" si="18"/>
        <v>3.7490962180200222</v>
      </c>
      <c r="P283" s="71">
        <f t="shared" si="19"/>
        <v>4.3827864293659617</v>
      </c>
    </row>
    <row r="284" spans="1:16" ht="13.5" thickBot="1" x14ac:dyDescent="0.25">
      <c r="A284" s="2" t="s">
        <v>614</v>
      </c>
      <c r="B284" s="72" t="s">
        <v>517</v>
      </c>
      <c r="C284" s="2" t="s">
        <v>29</v>
      </c>
      <c r="D284" s="4">
        <v>17511</v>
      </c>
      <c r="E284" s="4">
        <v>28194</v>
      </c>
      <c r="F284" s="4">
        <v>2842</v>
      </c>
      <c r="G284" s="4">
        <v>5558</v>
      </c>
      <c r="H284" s="4">
        <v>97</v>
      </c>
      <c r="I284" s="4">
        <v>0</v>
      </c>
      <c r="J284" s="4">
        <v>13131</v>
      </c>
      <c r="K284" s="4">
        <v>2781</v>
      </c>
      <c r="L284" s="4">
        <v>0</v>
      </c>
      <c r="M284" s="4">
        <f t="shared" si="16"/>
        <v>52603</v>
      </c>
      <c r="N284" s="71">
        <f t="shared" si="17"/>
        <v>0.90868596881959907</v>
      </c>
      <c r="O284" s="71">
        <f t="shared" si="18"/>
        <v>2.0897721432242591</v>
      </c>
      <c r="P284" s="71">
        <f t="shared" si="19"/>
        <v>3.003997487293701</v>
      </c>
    </row>
    <row r="285" spans="1:16" ht="13.5" thickBot="1" x14ac:dyDescent="0.25">
      <c r="A285" s="2" t="s">
        <v>616</v>
      </c>
      <c r="B285" s="72" t="s">
        <v>519</v>
      </c>
      <c r="C285" s="2" t="s">
        <v>29</v>
      </c>
      <c r="D285" s="4">
        <v>15736</v>
      </c>
      <c r="E285" s="4">
        <v>68628</v>
      </c>
      <c r="F285" s="4">
        <v>5593</v>
      </c>
      <c r="G285" s="4">
        <v>6609</v>
      </c>
      <c r="H285" s="4">
        <v>195</v>
      </c>
      <c r="I285" s="4">
        <v>2</v>
      </c>
      <c r="J285" s="4">
        <v>15156</v>
      </c>
      <c r="K285" s="4">
        <v>4926</v>
      </c>
      <c r="L285" s="4">
        <v>759</v>
      </c>
      <c r="M285" s="4">
        <f t="shared" si="16"/>
        <v>101868</v>
      </c>
      <c r="N285" s="71">
        <f t="shared" si="17"/>
        <v>1.3245424504321301</v>
      </c>
      <c r="O285" s="71">
        <f t="shared" si="18"/>
        <v>5.1366293848500257</v>
      </c>
      <c r="P285" s="71">
        <f t="shared" si="19"/>
        <v>6.4735638027452973</v>
      </c>
    </row>
    <row r="286" spans="1:16" ht="13.5" thickBot="1" x14ac:dyDescent="0.25">
      <c r="A286" s="2" t="s">
        <v>618</v>
      </c>
      <c r="B286" s="72" t="s">
        <v>523</v>
      </c>
      <c r="C286" s="2" t="s">
        <v>29</v>
      </c>
      <c r="D286" s="4">
        <v>13097</v>
      </c>
      <c r="E286" s="4">
        <v>29299</v>
      </c>
      <c r="F286" s="4">
        <v>742</v>
      </c>
      <c r="G286" s="4">
        <v>1914</v>
      </c>
      <c r="H286" s="4">
        <v>60</v>
      </c>
      <c r="I286" s="4">
        <v>1</v>
      </c>
      <c r="J286" s="4">
        <v>17276</v>
      </c>
      <c r="K286" s="4">
        <v>0</v>
      </c>
      <c r="L286" s="4">
        <v>0</v>
      </c>
      <c r="M286" s="4">
        <f t="shared" si="16"/>
        <v>49292</v>
      </c>
      <c r="N286" s="71">
        <f t="shared" si="17"/>
        <v>1.3191570588684431</v>
      </c>
      <c r="O286" s="71">
        <f t="shared" si="18"/>
        <v>2.4398717263495455</v>
      </c>
      <c r="P286" s="71">
        <f t="shared" si="19"/>
        <v>3.7636099870199282</v>
      </c>
    </row>
    <row r="287" spans="1:16" ht="13.5" thickBot="1" x14ac:dyDescent="0.25">
      <c r="A287" s="2" t="s">
        <v>620</v>
      </c>
      <c r="B287" s="72" t="s">
        <v>533</v>
      </c>
      <c r="C287" s="2" t="s">
        <v>29</v>
      </c>
      <c r="D287" s="4">
        <v>22857</v>
      </c>
      <c r="E287" s="4">
        <v>109641</v>
      </c>
      <c r="F287" s="4">
        <v>5011</v>
      </c>
      <c r="G287" s="4">
        <v>8559</v>
      </c>
      <c r="H287" s="4">
        <v>95</v>
      </c>
      <c r="I287" s="4">
        <v>17</v>
      </c>
      <c r="J287" s="4">
        <v>8000</v>
      </c>
      <c r="K287" s="4">
        <v>10000</v>
      </c>
      <c r="L287" s="4">
        <v>200</v>
      </c>
      <c r="M287" s="4">
        <f t="shared" si="16"/>
        <v>141523</v>
      </c>
      <c r="N287" s="71">
        <f t="shared" si="17"/>
        <v>0.79699873124207021</v>
      </c>
      <c r="O287" s="71">
        <f t="shared" si="18"/>
        <v>5.3905149407183792</v>
      </c>
      <c r="P287" s="71">
        <f t="shared" si="19"/>
        <v>6.1916699479371742</v>
      </c>
    </row>
    <row r="288" spans="1:16" ht="13.5" thickBot="1" x14ac:dyDescent="0.25">
      <c r="A288" s="2" t="s">
        <v>622</v>
      </c>
      <c r="B288" s="72" t="s">
        <v>547</v>
      </c>
      <c r="C288" s="2" t="s">
        <v>29</v>
      </c>
      <c r="D288" s="4">
        <v>25686</v>
      </c>
      <c r="E288" s="4">
        <v>74478</v>
      </c>
      <c r="F288" s="4">
        <v>2161</v>
      </c>
      <c r="G288" s="4">
        <v>4155</v>
      </c>
      <c r="H288" s="4">
        <v>98</v>
      </c>
      <c r="I288" s="4">
        <v>0</v>
      </c>
      <c r="J288" s="4">
        <v>11218</v>
      </c>
      <c r="K288" s="4">
        <v>2281</v>
      </c>
      <c r="L288" s="4">
        <v>120</v>
      </c>
      <c r="M288" s="4">
        <f t="shared" si="16"/>
        <v>94511</v>
      </c>
      <c r="N288" s="71">
        <f t="shared" si="17"/>
        <v>0.53021100988865533</v>
      </c>
      <c r="O288" s="71">
        <f t="shared" si="18"/>
        <v>3.1454488826598146</v>
      </c>
      <c r="P288" s="71">
        <f t="shared" si="19"/>
        <v>3.679475200498326</v>
      </c>
    </row>
    <row r="289" spans="1:16" ht="13.5" thickBot="1" x14ac:dyDescent="0.25">
      <c r="A289" s="2" t="s">
        <v>624</v>
      </c>
      <c r="B289" s="72" t="s">
        <v>563</v>
      </c>
      <c r="C289" s="2" t="s">
        <v>29</v>
      </c>
      <c r="D289" s="4">
        <v>12561</v>
      </c>
      <c r="E289" s="4">
        <v>77096</v>
      </c>
      <c r="F289" s="4">
        <v>2606</v>
      </c>
      <c r="G289" s="4">
        <v>3773</v>
      </c>
      <c r="H289" s="4">
        <v>94</v>
      </c>
      <c r="I289" s="4">
        <v>0</v>
      </c>
      <c r="J289" s="4">
        <v>11365</v>
      </c>
      <c r="K289" s="4">
        <v>3326</v>
      </c>
      <c r="L289" s="4">
        <v>0</v>
      </c>
      <c r="M289" s="4">
        <f t="shared" si="16"/>
        <v>98260</v>
      </c>
      <c r="N289" s="71">
        <f t="shared" si="17"/>
        <v>1.1695724862670169</v>
      </c>
      <c r="O289" s="71">
        <f t="shared" si="18"/>
        <v>6.6455696202531644</v>
      </c>
      <c r="P289" s="71">
        <f t="shared" si="19"/>
        <v>7.8226255871347821</v>
      </c>
    </row>
    <row r="290" spans="1:16" ht="13.5" thickBot="1" x14ac:dyDescent="0.25">
      <c r="A290" s="2" t="s">
        <v>626</v>
      </c>
      <c r="B290" s="72" t="s">
        <v>573</v>
      </c>
      <c r="C290" s="2" t="s">
        <v>29</v>
      </c>
      <c r="D290" s="4">
        <v>24164</v>
      </c>
      <c r="E290" s="4">
        <v>80445</v>
      </c>
      <c r="F290" s="4">
        <v>5035</v>
      </c>
      <c r="G290" s="4">
        <v>6749</v>
      </c>
      <c r="H290" s="4">
        <v>0</v>
      </c>
      <c r="I290" s="4">
        <v>7</v>
      </c>
      <c r="J290" s="4">
        <v>16626</v>
      </c>
      <c r="K290" s="4">
        <v>3213</v>
      </c>
      <c r="L290" s="4">
        <v>134</v>
      </c>
      <c r="M290" s="4">
        <f t="shared" si="16"/>
        <v>112209</v>
      </c>
      <c r="N290" s="71">
        <f t="shared" si="17"/>
        <v>0.82684985929481869</v>
      </c>
      <c r="O290" s="71">
        <f t="shared" si="18"/>
        <v>3.816793577222314</v>
      </c>
      <c r="P290" s="71">
        <f t="shared" si="19"/>
        <v>4.6436434365171326</v>
      </c>
    </row>
    <row r="291" spans="1:16" ht="13.5" thickBot="1" x14ac:dyDescent="0.25">
      <c r="A291" s="2" t="s">
        <v>628</v>
      </c>
      <c r="B291" s="72" t="s">
        <v>575</v>
      </c>
      <c r="C291" s="2" t="s">
        <v>29</v>
      </c>
      <c r="D291" s="4">
        <v>14230</v>
      </c>
      <c r="E291" s="4">
        <v>36120</v>
      </c>
      <c r="F291" s="4">
        <v>2877</v>
      </c>
      <c r="G291" s="4">
        <v>6990</v>
      </c>
      <c r="H291" s="4">
        <v>90</v>
      </c>
      <c r="I291" s="4">
        <v>2</v>
      </c>
      <c r="J291" s="4">
        <v>307109</v>
      </c>
      <c r="K291" s="4">
        <v>69568</v>
      </c>
      <c r="L291" s="4">
        <v>254763</v>
      </c>
      <c r="M291" s="4">
        <f t="shared" si="16"/>
        <v>677519</v>
      </c>
      <c r="N291" s="71">
        <f t="shared" si="17"/>
        <v>44.373998594518625</v>
      </c>
      <c r="O291" s="71">
        <f t="shared" si="18"/>
        <v>3.2316936050597329</v>
      </c>
      <c r="P291" s="71">
        <f t="shared" si="19"/>
        <v>47.612016865776532</v>
      </c>
    </row>
    <row r="292" spans="1:16" ht="13.5" thickBot="1" x14ac:dyDescent="0.25">
      <c r="A292" s="2" t="s">
        <v>630</v>
      </c>
      <c r="B292" s="72" t="s">
        <v>579</v>
      </c>
      <c r="C292" s="2" t="s">
        <v>29</v>
      </c>
      <c r="D292" s="4">
        <v>20526</v>
      </c>
      <c r="E292" s="4">
        <v>68497</v>
      </c>
      <c r="F292" s="4">
        <v>6632</v>
      </c>
      <c r="G292" s="4">
        <v>7811</v>
      </c>
      <c r="H292" s="4">
        <v>130</v>
      </c>
      <c r="I292" s="4">
        <v>8</v>
      </c>
      <c r="J292" s="4">
        <v>15927</v>
      </c>
      <c r="K292" s="4">
        <v>5225</v>
      </c>
      <c r="L292" s="4">
        <v>759</v>
      </c>
      <c r="M292" s="4">
        <f t="shared" si="16"/>
        <v>104989</v>
      </c>
      <c r="N292" s="71">
        <f t="shared" si="17"/>
        <v>1.0678651466432816</v>
      </c>
      <c r="O292" s="71">
        <f t="shared" si="18"/>
        <v>4.040728831725616</v>
      </c>
      <c r="P292" s="71">
        <f t="shared" si="19"/>
        <v>5.1149274091396277</v>
      </c>
    </row>
    <row r="293" spans="1:16" ht="13.5" thickBot="1" x14ac:dyDescent="0.25">
      <c r="A293" s="2" t="s">
        <v>632</v>
      </c>
      <c r="B293" s="72" t="s">
        <v>587</v>
      </c>
      <c r="C293" s="2" t="s">
        <v>29</v>
      </c>
      <c r="D293" s="4">
        <v>13579</v>
      </c>
      <c r="E293" s="4">
        <v>42845</v>
      </c>
      <c r="F293" s="4">
        <v>2596</v>
      </c>
      <c r="G293" s="4">
        <v>3601</v>
      </c>
      <c r="H293" s="4">
        <v>79</v>
      </c>
      <c r="I293" s="4">
        <v>1</v>
      </c>
      <c r="J293" s="4">
        <v>14365</v>
      </c>
      <c r="K293" s="4">
        <v>2293</v>
      </c>
      <c r="L293" s="4">
        <v>267</v>
      </c>
      <c r="M293" s="4">
        <f t="shared" si="16"/>
        <v>66047</v>
      </c>
      <c r="N293" s="71">
        <f t="shared" si="17"/>
        <v>1.2464835407614698</v>
      </c>
      <c r="O293" s="71">
        <f t="shared" si="18"/>
        <v>3.6116061565652848</v>
      </c>
      <c r="P293" s="71">
        <f t="shared" si="19"/>
        <v>4.8639075042344802</v>
      </c>
    </row>
    <row r="294" spans="1:16" ht="13.5" thickBot="1" x14ac:dyDescent="0.25">
      <c r="A294" s="2" t="s">
        <v>634</v>
      </c>
      <c r="B294" s="72" t="s">
        <v>599</v>
      </c>
      <c r="C294" s="2" t="s">
        <v>29</v>
      </c>
      <c r="D294" s="4">
        <v>16709</v>
      </c>
      <c r="E294" s="4">
        <v>54677</v>
      </c>
      <c r="F294" s="4">
        <v>7119</v>
      </c>
      <c r="G294" s="4">
        <v>3386</v>
      </c>
      <c r="H294" s="4">
        <v>120</v>
      </c>
      <c r="I294" s="4">
        <v>2</v>
      </c>
      <c r="J294" s="4">
        <v>13339</v>
      </c>
      <c r="K294" s="4">
        <v>2728</v>
      </c>
      <c r="L294" s="4">
        <v>22</v>
      </c>
      <c r="M294" s="4">
        <f t="shared" si="16"/>
        <v>81393</v>
      </c>
      <c r="N294" s="71">
        <f t="shared" si="17"/>
        <v>0.96301394458076484</v>
      </c>
      <c r="O294" s="71">
        <f t="shared" si="18"/>
        <v>3.9010114309653479</v>
      </c>
      <c r="P294" s="71">
        <f t="shared" si="19"/>
        <v>4.8712071338799445</v>
      </c>
    </row>
    <row r="295" spans="1:16" ht="13.5" thickBot="1" x14ac:dyDescent="0.25">
      <c r="A295" s="2" t="s">
        <v>636</v>
      </c>
      <c r="B295" s="72" t="s">
        <v>615</v>
      </c>
      <c r="C295" s="2" t="s">
        <v>29</v>
      </c>
      <c r="D295" s="4">
        <v>12798</v>
      </c>
      <c r="E295" s="4">
        <v>46535</v>
      </c>
      <c r="F295" s="4">
        <v>4438</v>
      </c>
      <c r="G295" s="4">
        <v>2300</v>
      </c>
      <c r="H295" s="4">
        <v>95</v>
      </c>
      <c r="I295" s="4">
        <v>6</v>
      </c>
      <c r="J295" s="4">
        <v>8520</v>
      </c>
      <c r="K295" s="4">
        <v>3374</v>
      </c>
      <c r="L295" s="4">
        <v>285</v>
      </c>
      <c r="M295" s="4">
        <f t="shared" si="16"/>
        <v>65553</v>
      </c>
      <c r="N295" s="71">
        <f t="shared" si="17"/>
        <v>0.95210189092045627</v>
      </c>
      <c r="O295" s="71">
        <f t="shared" si="18"/>
        <v>4.1626035318018442</v>
      </c>
      <c r="P295" s="71">
        <f t="shared" si="19"/>
        <v>5.1221284575714954</v>
      </c>
    </row>
    <row r="296" spans="1:16" ht="13.5" thickBot="1" x14ac:dyDescent="0.25">
      <c r="A296" s="2" t="s">
        <v>638</v>
      </c>
      <c r="B296" s="72" t="s">
        <v>617</v>
      </c>
      <c r="C296" s="2" t="s">
        <v>29</v>
      </c>
      <c r="D296" s="4">
        <v>13912</v>
      </c>
      <c r="E296" s="4">
        <v>34763</v>
      </c>
      <c r="F296" s="4">
        <v>3521</v>
      </c>
      <c r="G296" s="4">
        <v>3339</v>
      </c>
      <c r="H296" s="4">
        <v>61</v>
      </c>
      <c r="I296" s="4">
        <v>3</v>
      </c>
      <c r="J296" s="4">
        <v>14491</v>
      </c>
      <c r="K296" s="4">
        <v>3233</v>
      </c>
      <c r="L296" s="4">
        <v>0</v>
      </c>
      <c r="M296" s="4">
        <f t="shared" si="16"/>
        <v>59411</v>
      </c>
      <c r="N296" s="71">
        <f t="shared" si="17"/>
        <v>1.2742236917768832</v>
      </c>
      <c r="O296" s="71">
        <f t="shared" si="18"/>
        <v>2.9918775158136861</v>
      </c>
      <c r="P296" s="71">
        <f t="shared" si="19"/>
        <v>4.270485911443358</v>
      </c>
    </row>
    <row r="297" spans="1:16" ht="13.5" thickBot="1" x14ac:dyDescent="0.25">
      <c r="A297" s="2" t="s">
        <v>640</v>
      </c>
      <c r="B297" s="72" t="s">
        <v>621</v>
      </c>
      <c r="C297" s="2" t="s">
        <v>29</v>
      </c>
      <c r="D297" s="4">
        <v>14878</v>
      </c>
      <c r="E297" s="4">
        <v>59633</v>
      </c>
      <c r="F297" s="4">
        <v>1333</v>
      </c>
      <c r="G297" s="4">
        <v>4836</v>
      </c>
      <c r="H297" s="4">
        <v>132</v>
      </c>
      <c r="I297" s="4">
        <v>6</v>
      </c>
      <c r="J297" s="4">
        <v>15523</v>
      </c>
      <c r="K297" s="4">
        <v>2675</v>
      </c>
      <c r="L297" s="4">
        <v>130</v>
      </c>
      <c r="M297" s="4">
        <f t="shared" si="16"/>
        <v>84268</v>
      </c>
      <c r="N297" s="71">
        <f t="shared" si="17"/>
        <v>1.2322892861943811</v>
      </c>
      <c r="O297" s="71">
        <f t="shared" si="18"/>
        <v>4.4227718779405834</v>
      </c>
      <c r="P297" s="71">
        <f t="shared" si="19"/>
        <v>5.6639333243715555</v>
      </c>
    </row>
    <row r="298" spans="1:16" ht="13.5" thickBot="1" x14ac:dyDescent="0.25">
      <c r="A298" s="2" t="s">
        <v>642</v>
      </c>
      <c r="B298" s="72" t="s">
        <v>657</v>
      </c>
      <c r="C298" s="2" t="s">
        <v>29</v>
      </c>
      <c r="D298" s="4">
        <v>12486</v>
      </c>
      <c r="E298" s="4">
        <v>56310</v>
      </c>
      <c r="F298" s="4">
        <v>1476</v>
      </c>
      <c r="G298" s="4">
        <v>6796</v>
      </c>
      <c r="H298" s="4">
        <v>21</v>
      </c>
      <c r="I298" s="4">
        <v>1</v>
      </c>
      <c r="J298" s="4">
        <v>11000</v>
      </c>
      <c r="K298" s="4">
        <v>5000</v>
      </c>
      <c r="L298" s="4">
        <v>0</v>
      </c>
      <c r="M298" s="4">
        <f t="shared" si="16"/>
        <v>80604</v>
      </c>
      <c r="N298" s="71">
        <f t="shared" si="17"/>
        <v>1.2815152971327888</v>
      </c>
      <c r="O298" s="71">
        <f t="shared" si="18"/>
        <v>5.1723530353996479</v>
      </c>
      <c r="P298" s="71">
        <f t="shared" si="19"/>
        <v>6.4555502162421909</v>
      </c>
    </row>
    <row r="299" spans="1:16" ht="13.5" thickBot="1" x14ac:dyDescent="0.25">
      <c r="A299" s="2" t="s">
        <v>644</v>
      </c>
      <c r="B299" s="72" t="s">
        <v>685</v>
      </c>
      <c r="C299" s="2" t="s">
        <v>29</v>
      </c>
      <c r="D299" s="4">
        <v>16753</v>
      </c>
      <c r="E299" s="4">
        <v>62173</v>
      </c>
      <c r="F299" s="4">
        <v>6971</v>
      </c>
      <c r="G299" s="4">
        <v>11205</v>
      </c>
      <c r="H299" s="4">
        <v>296</v>
      </c>
      <c r="I299" s="4">
        <v>15</v>
      </c>
      <c r="J299" s="4">
        <v>58073</v>
      </c>
      <c r="K299" s="4">
        <v>17337</v>
      </c>
      <c r="L299" s="4">
        <v>0</v>
      </c>
      <c r="M299" s="4">
        <f t="shared" si="16"/>
        <v>156070</v>
      </c>
      <c r="N299" s="71">
        <f t="shared" si="17"/>
        <v>4.5021787142601326</v>
      </c>
      <c r="O299" s="71">
        <f t="shared" si="18"/>
        <v>4.796096221572256</v>
      </c>
      <c r="P299" s="71">
        <f t="shared" si="19"/>
        <v>9.3159434131200385</v>
      </c>
    </row>
    <row r="300" spans="1:16" ht="13.5" thickBot="1" x14ac:dyDescent="0.25">
      <c r="A300" s="2" t="s">
        <v>646</v>
      </c>
      <c r="B300" s="72" t="s">
        <v>727</v>
      </c>
      <c r="C300" s="2" t="s">
        <v>29</v>
      </c>
      <c r="D300" s="4">
        <v>18260</v>
      </c>
      <c r="E300" s="4">
        <v>74555</v>
      </c>
      <c r="F300" s="4">
        <v>9036</v>
      </c>
      <c r="G300" s="4">
        <v>8872</v>
      </c>
      <c r="H300" s="4">
        <v>117</v>
      </c>
      <c r="I300" s="4">
        <v>20</v>
      </c>
      <c r="J300" s="4">
        <v>31163</v>
      </c>
      <c r="K300" s="4">
        <v>25460</v>
      </c>
      <c r="L300" s="4">
        <v>6857</v>
      </c>
      <c r="M300" s="4">
        <f t="shared" si="16"/>
        <v>156080</v>
      </c>
      <c r="N300" s="71">
        <f t="shared" si="17"/>
        <v>3.4775465498357065</v>
      </c>
      <c r="O300" s="71">
        <f t="shared" si="18"/>
        <v>5.0636911281489594</v>
      </c>
      <c r="P300" s="71">
        <f t="shared" si="19"/>
        <v>8.547645125958379</v>
      </c>
    </row>
    <row r="301" spans="1:16" ht="13.5" thickBot="1" x14ac:dyDescent="0.25">
      <c r="A301" s="2" t="s">
        <v>650</v>
      </c>
      <c r="B301" s="72" t="s">
        <v>729</v>
      </c>
      <c r="C301" s="2" t="s">
        <v>29</v>
      </c>
      <c r="D301" s="4">
        <v>13940</v>
      </c>
      <c r="E301" s="4">
        <v>65157</v>
      </c>
      <c r="F301" s="4">
        <v>6833</v>
      </c>
      <c r="G301" s="4">
        <v>6252</v>
      </c>
      <c r="H301" s="4">
        <v>97</v>
      </c>
      <c r="I301" s="4">
        <v>5</v>
      </c>
      <c r="J301" s="4">
        <v>46251</v>
      </c>
      <c r="K301" s="4">
        <v>12055</v>
      </c>
      <c r="L301" s="4">
        <v>0</v>
      </c>
      <c r="M301" s="4">
        <f t="shared" si="16"/>
        <v>136650</v>
      </c>
      <c r="N301" s="71">
        <f t="shared" si="17"/>
        <v>4.1829985652797701</v>
      </c>
      <c r="O301" s="71">
        <f t="shared" si="18"/>
        <v>5.6127690100430412</v>
      </c>
      <c r="P301" s="71">
        <f t="shared" si="19"/>
        <v>9.802725968436155</v>
      </c>
    </row>
    <row r="302" spans="1:16" ht="13.5" thickBot="1" x14ac:dyDescent="0.25">
      <c r="A302" s="2" t="s">
        <v>652</v>
      </c>
      <c r="B302" s="72" t="s">
        <v>735</v>
      </c>
      <c r="C302" s="2" t="s">
        <v>29</v>
      </c>
      <c r="D302" s="4">
        <v>17937</v>
      </c>
      <c r="E302" s="4">
        <v>48064</v>
      </c>
      <c r="F302" s="4">
        <v>956</v>
      </c>
      <c r="G302" s="4">
        <v>3242</v>
      </c>
      <c r="H302" s="4">
        <v>86</v>
      </c>
      <c r="I302" s="4">
        <v>1</v>
      </c>
      <c r="J302" s="4">
        <v>12189</v>
      </c>
      <c r="K302" s="4">
        <v>2319</v>
      </c>
      <c r="L302" s="4">
        <v>244</v>
      </c>
      <c r="M302" s="4">
        <f t="shared" si="16"/>
        <v>67101</v>
      </c>
      <c r="N302" s="71">
        <f t="shared" si="17"/>
        <v>0.82248982550036243</v>
      </c>
      <c r="O302" s="71">
        <f t="shared" si="18"/>
        <v>2.9136421921168534</v>
      </c>
      <c r="P302" s="71">
        <f t="shared" si="19"/>
        <v>3.7409265763505601</v>
      </c>
    </row>
    <row r="303" spans="1:16" ht="13.5" thickBot="1" x14ac:dyDescent="0.25">
      <c r="A303" s="2" t="s">
        <v>654</v>
      </c>
      <c r="B303" s="72" t="s">
        <v>754</v>
      </c>
      <c r="C303" s="2" t="s">
        <v>29</v>
      </c>
      <c r="D303" s="4">
        <v>18134</v>
      </c>
      <c r="E303" s="4">
        <v>43239</v>
      </c>
      <c r="F303" s="4">
        <v>2453</v>
      </c>
      <c r="G303" s="4">
        <v>2367</v>
      </c>
      <c r="H303" s="4">
        <v>141</v>
      </c>
      <c r="I303" s="4">
        <v>5</v>
      </c>
      <c r="J303" s="4">
        <v>301964</v>
      </c>
      <c r="K303" s="4">
        <v>69685</v>
      </c>
      <c r="L303" s="4">
        <v>14271</v>
      </c>
      <c r="M303" s="4">
        <f t="shared" si="16"/>
        <v>434125</v>
      </c>
      <c r="N303" s="71">
        <f t="shared" si="17"/>
        <v>21.281846255652365</v>
      </c>
      <c r="O303" s="71">
        <f t="shared" si="18"/>
        <v>2.6502150656225876</v>
      </c>
      <c r="P303" s="71">
        <f t="shared" si="19"/>
        <v>23.939836770706961</v>
      </c>
    </row>
    <row r="304" spans="1:16" ht="13.5" thickBot="1" x14ac:dyDescent="0.25">
      <c r="A304" s="2" t="s">
        <v>656</v>
      </c>
      <c r="B304" s="72" t="s">
        <v>766</v>
      </c>
      <c r="C304" s="2" t="s">
        <v>29</v>
      </c>
      <c r="D304" s="4">
        <v>16881</v>
      </c>
      <c r="E304" s="4">
        <v>27263</v>
      </c>
      <c r="F304" s="4">
        <v>141</v>
      </c>
      <c r="G304" s="4">
        <v>538</v>
      </c>
      <c r="H304" s="4">
        <v>24</v>
      </c>
      <c r="I304" s="4">
        <v>0</v>
      </c>
      <c r="J304" s="4">
        <v>7363</v>
      </c>
      <c r="K304" s="4">
        <v>2923</v>
      </c>
      <c r="L304" s="4">
        <v>0</v>
      </c>
      <c r="M304" s="4">
        <f t="shared" si="16"/>
        <v>38252</v>
      </c>
      <c r="N304" s="71">
        <f t="shared" si="17"/>
        <v>0.60932409217463424</v>
      </c>
      <c r="O304" s="71">
        <f t="shared" si="18"/>
        <v>1.6552336946863337</v>
      </c>
      <c r="P304" s="71">
        <f t="shared" si="19"/>
        <v>2.2659795035839108</v>
      </c>
    </row>
    <row r="305" spans="1:16" ht="13.5" thickBot="1" x14ac:dyDescent="0.25">
      <c r="A305" s="2" t="s">
        <v>658</v>
      </c>
      <c r="B305" s="72" t="s">
        <v>770</v>
      </c>
      <c r="C305" s="2" t="s">
        <v>29</v>
      </c>
      <c r="D305" s="4">
        <v>14253</v>
      </c>
      <c r="E305" s="4">
        <v>40961</v>
      </c>
      <c r="F305" s="4">
        <v>1938</v>
      </c>
      <c r="G305" s="4">
        <v>2269</v>
      </c>
      <c r="H305" s="4">
        <v>68</v>
      </c>
      <c r="I305" s="4">
        <v>3</v>
      </c>
      <c r="J305" s="4">
        <v>14439</v>
      </c>
      <c r="K305" s="4">
        <v>2779</v>
      </c>
      <c r="L305" s="4">
        <v>58</v>
      </c>
      <c r="M305" s="4">
        <f t="shared" si="16"/>
        <v>62515</v>
      </c>
      <c r="N305" s="71">
        <f t="shared" si="17"/>
        <v>1.2123061811548446</v>
      </c>
      <c r="O305" s="71">
        <f t="shared" si="18"/>
        <v>3.1690170490423069</v>
      </c>
      <c r="P305" s="71">
        <f t="shared" si="19"/>
        <v>4.3860941556163615</v>
      </c>
    </row>
    <row r="306" spans="1:16" ht="13.5" thickBot="1" x14ac:dyDescent="0.25">
      <c r="A306" s="2" t="s">
        <v>660</v>
      </c>
      <c r="B306" s="72" t="s">
        <v>790</v>
      </c>
      <c r="C306" s="2" t="s">
        <v>29</v>
      </c>
      <c r="D306" s="4">
        <v>12238</v>
      </c>
      <c r="E306" s="4">
        <v>29313</v>
      </c>
      <c r="F306" s="4">
        <v>2167</v>
      </c>
      <c r="G306" s="4">
        <v>5654</v>
      </c>
      <c r="H306" s="4">
        <v>55</v>
      </c>
      <c r="I306" s="4">
        <v>0</v>
      </c>
      <c r="J306" s="4">
        <v>2421</v>
      </c>
      <c r="K306" s="4">
        <v>2779</v>
      </c>
      <c r="L306" s="4">
        <v>0</v>
      </c>
      <c r="M306" s="4">
        <f t="shared" si="16"/>
        <v>42389</v>
      </c>
      <c r="N306" s="71">
        <f t="shared" si="17"/>
        <v>0.42490603039712371</v>
      </c>
      <c r="O306" s="71">
        <f t="shared" si="18"/>
        <v>3.0343193332243832</v>
      </c>
      <c r="P306" s="71">
        <f t="shared" si="19"/>
        <v>3.4637195620199379</v>
      </c>
    </row>
    <row r="307" spans="1:16" ht="13.5" thickBot="1" x14ac:dyDescent="0.25">
      <c r="A307" s="2" t="s">
        <v>662</v>
      </c>
      <c r="B307" s="72" t="s">
        <v>812</v>
      </c>
      <c r="C307" s="2" t="s">
        <v>29</v>
      </c>
      <c r="D307" s="4">
        <v>17593</v>
      </c>
      <c r="E307" s="4">
        <v>79685</v>
      </c>
      <c r="F307" s="4">
        <v>5327</v>
      </c>
      <c r="G307" s="4">
        <v>5976</v>
      </c>
      <c r="H307" s="4">
        <v>36</v>
      </c>
      <c r="I307" s="4">
        <v>0</v>
      </c>
      <c r="J307" s="4">
        <v>23944</v>
      </c>
      <c r="K307" s="4">
        <v>5299</v>
      </c>
      <c r="L307" s="4">
        <v>815</v>
      </c>
      <c r="M307" s="4">
        <f t="shared" si="16"/>
        <v>121082</v>
      </c>
      <c r="N307" s="71">
        <f t="shared" si="17"/>
        <v>1.7085204342636275</v>
      </c>
      <c r="O307" s="71">
        <f t="shared" si="18"/>
        <v>5.1718297049963056</v>
      </c>
      <c r="P307" s="71">
        <f t="shared" si="19"/>
        <v>6.8823964076621387</v>
      </c>
    </row>
    <row r="308" spans="1:16" ht="13.5" thickBot="1" x14ac:dyDescent="0.25">
      <c r="A308" s="2" t="s">
        <v>664</v>
      </c>
      <c r="B308" s="72" t="s">
        <v>838</v>
      </c>
      <c r="C308" s="2" t="s">
        <v>29</v>
      </c>
      <c r="D308" s="4">
        <v>13498</v>
      </c>
      <c r="E308" s="4">
        <v>48905</v>
      </c>
      <c r="F308" s="4">
        <v>4389</v>
      </c>
      <c r="G308" s="4">
        <v>6301</v>
      </c>
      <c r="H308" s="4">
        <v>100</v>
      </c>
      <c r="I308" s="4">
        <v>5</v>
      </c>
      <c r="J308" s="4">
        <v>43246</v>
      </c>
      <c r="K308" s="4">
        <v>10379</v>
      </c>
      <c r="L308" s="4">
        <v>761</v>
      </c>
      <c r="M308" s="4">
        <f t="shared" si="16"/>
        <v>114086</v>
      </c>
      <c r="N308" s="71">
        <f t="shared" si="17"/>
        <v>4.0295599348051567</v>
      </c>
      <c r="O308" s="71">
        <f t="shared" si="18"/>
        <v>4.4150985331160175</v>
      </c>
      <c r="P308" s="71">
        <f t="shared" si="19"/>
        <v>8.4520669728848716</v>
      </c>
    </row>
    <row r="309" spans="1:16" ht="13.5" thickBot="1" x14ac:dyDescent="0.25">
      <c r="A309" s="2" t="s">
        <v>666</v>
      </c>
      <c r="B309" s="72" t="s">
        <v>43</v>
      </c>
      <c r="C309" s="2" t="s">
        <v>45</v>
      </c>
      <c r="D309" s="4">
        <v>28210</v>
      </c>
      <c r="E309" s="4">
        <v>53461</v>
      </c>
      <c r="F309" s="4">
        <v>4785</v>
      </c>
      <c r="G309" s="4">
        <v>6229</v>
      </c>
      <c r="H309" s="4">
        <v>74</v>
      </c>
      <c r="I309" s="4">
        <v>49</v>
      </c>
      <c r="J309" s="4">
        <v>52795</v>
      </c>
      <c r="K309" s="4">
        <v>15342</v>
      </c>
      <c r="L309" s="4">
        <v>1447</v>
      </c>
      <c r="M309" s="4">
        <f t="shared" si="16"/>
        <v>134182</v>
      </c>
      <c r="N309" s="71">
        <f t="shared" si="17"/>
        <v>2.4683800070896846</v>
      </c>
      <c r="O309" s="71">
        <f t="shared" si="18"/>
        <v>2.2855370436015598</v>
      </c>
      <c r="P309" s="71">
        <f t="shared" si="19"/>
        <v>4.7565402339595888</v>
      </c>
    </row>
    <row r="310" spans="1:16" ht="13.5" thickBot="1" x14ac:dyDescent="0.25">
      <c r="A310" s="2" t="s">
        <v>668</v>
      </c>
      <c r="B310" s="72" t="s">
        <v>46</v>
      </c>
      <c r="C310" s="2" t="s">
        <v>45</v>
      </c>
      <c r="D310" s="4">
        <v>28283</v>
      </c>
      <c r="E310" s="4">
        <v>44273</v>
      </c>
      <c r="F310" s="4">
        <v>7289</v>
      </c>
      <c r="G310" s="4">
        <v>5604</v>
      </c>
      <c r="H310" s="4">
        <v>1084</v>
      </c>
      <c r="I310" s="4">
        <v>4</v>
      </c>
      <c r="J310" s="4">
        <v>17203</v>
      </c>
      <c r="K310" s="4">
        <v>19441</v>
      </c>
      <c r="L310" s="4">
        <v>6964</v>
      </c>
      <c r="M310" s="4">
        <f t="shared" si="16"/>
        <v>101862</v>
      </c>
      <c r="N310" s="71">
        <f t="shared" si="17"/>
        <v>1.5419863522257187</v>
      </c>
      <c r="O310" s="71">
        <f t="shared" si="18"/>
        <v>2.0212141569140472</v>
      </c>
      <c r="P310" s="71">
        <f t="shared" si="19"/>
        <v>3.6015274192978115</v>
      </c>
    </row>
    <row r="311" spans="1:16" ht="13.5" thickBot="1" x14ac:dyDescent="0.25">
      <c r="A311" s="2" t="s">
        <v>670</v>
      </c>
      <c r="B311" s="72" t="s">
        <v>54</v>
      </c>
      <c r="C311" s="2" t="s">
        <v>45</v>
      </c>
      <c r="D311" s="4">
        <v>29598</v>
      </c>
      <c r="E311" s="4">
        <v>64196</v>
      </c>
      <c r="F311" s="4">
        <v>4182</v>
      </c>
      <c r="G311" s="4">
        <v>2246</v>
      </c>
      <c r="H311" s="4">
        <v>105</v>
      </c>
      <c r="I311" s="4">
        <v>7</v>
      </c>
      <c r="J311" s="4">
        <v>8012</v>
      </c>
      <c r="K311" s="4">
        <v>3347</v>
      </c>
      <c r="L311" s="4">
        <v>285</v>
      </c>
      <c r="M311" s="4">
        <f t="shared" si="16"/>
        <v>82380</v>
      </c>
      <c r="N311" s="71">
        <f t="shared" si="17"/>
        <v>0.39364146226096358</v>
      </c>
      <c r="O311" s="71">
        <f t="shared" si="18"/>
        <v>2.386107169403338</v>
      </c>
      <c r="P311" s="71">
        <f t="shared" si="19"/>
        <v>2.7832961686600446</v>
      </c>
    </row>
    <row r="312" spans="1:16" ht="13.5" thickBot="1" x14ac:dyDescent="0.25">
      <c r="A312" s="2" t="s">
        <v>672</v>
      </c>
      <c r="B312" s="72" t="s">
        <v>79</v>
      </c>
      <c r="C312" s="2" t="s">
        <v>45</v>
      </c>
      <c r="D312" s="4">
        <v>35350</v>
      </c>
      <c r="E312" s="4">
        <v>110733</v>
      </c>
      <c r="F312" s="4">
        <v>9026</v>
      </c>
      <c r="G312" s="4">
        <v>18432</v>
      </c>
      <c r="H312" s="4">
        <v>303</v>
      </c>
      <c r="I312" s="4">
        <v>26</v>
      </c>
      <c r="J312" s="4">
        <v>9143</v>
      </c>
      <c r="K312" s="4">
        <v>4649</v>
      </c>
      <c r="L312" s="4">
        <v>0</v>
      </c>
      <c r="M312" s="4">
        <f t="shared" si="16"/>
        <v>152312</v>
      </c>
      <c r="N312" s="71">
        <f t="shared" si="17"/>
        <v>0.39089108910891091</v>
      </c>
      <c r="O312" s="71">
        <f t="shared" si="18"/>
        <v>3.9092220650636493</v>
      </c>
      <c r="P312" s="71">
        <f t="shared" si="19"/>
        <v>4.3086845827439886</v>
      </c>
    </row>
    <row r="313" spans="1:16" ht="13.5" thickBot="1" x14ac:dyDescent="0.25">
      <c r="A313" s="2" t="s">
        <v>674</v>
      </c>
      <c r="B313" s="72" t="s">
        <v>91</v>
      </c>
      <c r="C313" s="2" t="s">
        <v>45</v>
      </c>
      <c r="D313" s="4">
        <v>42361</v>
      </c>
      <c r="E313" s="4">
        <v>74903</v>
      </c>
      <c r="F313" s="4">
        <v>4380</v>
      </c>
      <c r="G313" s="4">
        <v>5248</v>
      </c>
      <c r="H313" s="4">
        <v>151</v>
      </c>
      <c r="I313" s="4">
        <v>4</v>
      </c>
      <c r="J313" s="4">
        <v>47319</v>
      </c>
      <c r="K313" s="4">
        <v>11479</v>
      </c>
      <c r="L313" s="4">
        <v>761</v>
      </c>
      <c r="M313" s="4">
        <f t="shared" si="16"/>
        <v>144245</v>
      </c>
      <c r="N313" s="71">
        <f t="shared" si="17"/>
        <v>1.4060810651306626</v>
      </c>
      <c r="O313" s="71">
        <f t="shared" si="18"/>
        <v>1.9954911357144542</v>
      </c>
      <c r="P313" s="71">
        <f t="shared" si="19"/>
        <v>3.4051368003588207</v>
      </c>
    </row>
    <row r="314" spans="1:16" ht="13.5" thickBot="1" x14ac:dyDescent="0.25">
      <c r="A314" s="2" t="s">
        <v>676</v>
      </c>
      <c r="B314" s="72" t="s">
        <v>113</v>
      </c>
      <c r="C314" s="2" t="s">
        <v>45</v>
      </c>
      <c r="D314" s="4">
        <v>41070</v>
      </c>
      <c r="E314" s="4">
        <v>270205</v>
      </c>
      <c r="F314" s="4">
        <v>14425</v>
      </c>
      <c r="G314" s="4">
        <v>27775</v>
      </c>
      <c r="H314" s="4">
        <v>471</v>
      </c>
      <c r="I314" s="4">
        <v>109</v>
      </c>
      <c r="J314" s="4">
        <v>14361</v>
      </c>
      <c r="K314" s="4">
        <v>5410</v>
      </c>
      <c r="L314" s="4">
        <v>0</v>
      </c>
      <c r="M314" s="4">
        <f t="shared" si="16"/>
        <v>332756</v>
      </c>
      <c r="N314" s="71">
        <f t="shared" si="17"/>
        <v>0.48405161918675432</v>
      </c>
      <c r="O314" s="71">
        <f t="shared" si="18"/>
        <v>7.6066471877282691</v>
      </c>
      <c r="P314" s="71">
        <f t="shared" si="19"/>
        <v>8.1021670318967622</v>
      </c>
    </row>
    <row r="315" spans="1:16" ht="13.5" thickBot="1" x14ac:dyDescent="0.25">
      <c r="A315" s="2" t="s">
        <v>678</v>
      </c>
      <c r="B315" s="72" t="s">
        <v>119</v>
      </c>
      <c r="C315" s="2" t="s">
        <v>45</v>
      </c>
      <c r="D315" s="4">
        <v>46905</v>
      </c>
      <c r="E315" s="4">
        <v>100293</v>
      </c>
      <c r="F315" s="4">
        <v>2197</v>
      </c>
      <c r="G315" s="4">
        <v>10519</v>
      </c>
      <c r="H315" s="4">
        <v>158</v>
      </c>
      <c r="I315" s="4">
        <v>7</v>
      </c>
      <c r="J315" s="4">
        <v>230178</v>
      </c>
      <c r="K315" s="4">
        <v>52833</v>
      </c>
      <c r="L315" s="4">
        <v>15767</v>
      </c>
      <c r="M315" s="4">
        <f t="shared" si="16"/>
        <v>411952</v>
      </c>
      <c r="N315" s="71">
        <f t="shared" si="17"/>
        <v>6.3700031979533103</v>
      </c>
      <c r="O315" s="71">
        <f t="shared" si="18"/>
        <v>2.4093167039761219</v>
      </c>
      <c r="P315" s="71">
        <f t="shared" si="19"/>
        <v>8.7826884127491738</v>
      </c>
    </row>
    <row r="316" spans="1:16" ht="13.5" thickBot="1" x14ac:dyDescent="0.25">
      <c r="A316" s="2" t="s">
        <v>680</v>
      </c>
      <c r="B316" s="72" t="s">
        <v>129</v>
      </c>
      <c r="C316" s="2" t="s">
        <v>45</v>
      </c>
      <c r="D316" s="4">
        <v>43254</v>
      </c>
      <c r="E316" s="4">
        <v>82819</v>
      </c>
      <c r="F316" s="4">
        <v>10261</v>
      </c>
      <c r="G316" s="4">
        <v>8784</v>
      </c>
      <c r="H316" s="4">
        <v>160</v>
      </c>
      <c r="I316" s="4">
        <v>10</v>
      </c>
      <c r="J316" s="4">
        <v>42634</v>
      </c>
      <c r="K316" s="4">
        <v>13056</v>
      </c>
      <c r="L316" s="4">
        <v>1450</v>
      </c>
      <c r="M316" s="4">
        <f t="shared" si="16"/>
        <v>159174</v>
      </c>
      <c r="N316" s="71">
        <f t="shared" si="17"/>
        <v>1.3212650853100292</v>
      </c>
      <c r="O316" s="71">
        <f t="shared" si="18"/>
        <v>2.3550191889767422</v>
      </c>
      <c r="P316" s="71">
        <f t="shared" si="19"/>
        <v>3.6799833541406577</v>
      </c>
    </row>
    <row r="317" spans="1:16" ht="13.5" thickBot="1" x14ac:dyDescent="0.25">
      <c r="A317" s="2" t="s">
        <v>682</v>
      </c>
      <c r="B317" s="72" t="s">
        <v>141</v>
      </c>
      <c r="C317" s="2" t="s">
        <v>45</v>
      </c>
      <c r="D317" s="4">
        <v>35087</v>
      </c>
      <c r="E317" s="4">
        <v>80194</v>
      </c>
      <c r="F317" s="4">
        <v>3301</v>
      </c>
      <c r="G317" s="4">
        <v>4764</v>
      </c>
      <c r="H317" s="4">
        <v>121</v>
      </c>
      <c r="I317" s="4">
        <v>3</v>
      </c>
      <c r="J317" s="4">
        <v>22790</v>
      </c>
      <c r="K317" s="4">
        <v>3428</v>
      </c>
      <c r="L317" s="4">
        <v>195</v>
      </c>
      <c r="M317" s="4">
        <f t="shared" si="16"/>
        <v>114796</v>
      </c>
      <c r="N317" s="71">
        <f t="shared" si="17"/>
        <v>0.75287143386439426</v>
      </c>
      <c r="O317" s="71">
        <f t="shared" si="18"/>
        <v>2.5154330663778608</v>
      </c>
      <c r="P317" s="71">
        <f t="shared" si="19"/>
        <v>3.2717530709379541</v>
      </c>
    </row>
    <row r="318" spans="1:16" ht="13.5" thickBot="1" x14ac:dyDescent="0.25">
      <c r="A318" s="2" t="s">
        <v>684</v>
      </c>
      <c r="B318" s="72" t="s">
        <v>157</v>
      </c>
      <c r="C318" s="2" t="s">
        <v>45</v>
      </c>
      <c r="D318" s="4">
        <v>38002</v>
      </c>
      <c r="E318" s="4">
        <v>79055</v>
      </c>
      <c r="F318" s="4">
        <v>5264</v>
      </c>
      <c r="G318" s="4">
        <v>8829</v>
      </c>
      <c r="H318" s="4">
        <v>222</v>
      </c>
      <c r="I318" s="4">
        <v>7</v>
      </c>
      <c r="J318" s="4">
        <v>308848</v>
      </c>
      <c r="K318" s="4">
        <v>7051</v>
      </c>
      <c r="L318" s="4">
        <v>1555</v>
      </c>
      <c r="M318" s="4">
        <f t="shared" si="16"/>
        <v>410831</v>
      </c>
      <c r="N318" s="71">
        <f t="shared" si="17"/>
        <v>8.3537971685700754</v>
      </c>
      <c r="O318" s="71">
        <f t="shared" si="18"/>
        <v>2.4511341508341666</v>
      </c>
      <c r="P318" s="71">
        <f t="shared" si="19"/>
        <v>10.810773117204358</v>
      </c>
    </row>
    <row r="319" spans="1:16" ht="13.5" thickBot="1" x14ac:dyDescent="0.25">
      <c r="A319" s="2" t="s">
        <v>686</v>
      </c>
      <c r="B319" s="72" t="s">
        <v>177</v>
      </c>
      <c r="C319" s="2" t="s">
        <v>45</v>
      </c>
      <c r="D319" s="4">
        <v>43381</v>
      </c>
      <c r="E319" s="4">
        <v>75877</v>
      </c>
      <c r="F319" s="4">
        <v>6049</v>
      </c>
      <c r="G319" s="4">
        <v>5777</v>
      </c>
      <c r="H319" s="4">
        <v>177</v>
      </c>
      <c r="I319" s="4">
        <v>3</v>
      </c>
      <c r="J319" s="4">
        <v>25744</v>
      </c>
      <c r="K319" s="4">
        <v>8672</v>
      </c>
      <c r="L319" s="4">
        <v>0</v>
      </c>
      <c r="M319" s="4">
        <f t="shared" si="16"/>
        <v>122299</v>
      </c>
      <c r="N319" s="71">
        <f t="shared" si="17"/>
        <v>0.79341186233604577</v>
      </c>
      <c r="O319" s="71">
        <f t="shared" si="18"/>
        <v>2.0216915239390518</v>
      </c>
      <c r="P319" s="71">
        <f t="shared" si="19"/>
        <v>2.8191835135197438</v>
      </c>
    </row>
    <row r="320" spans="1:16" ht="13.5" thickBot="1" x14ac:dyDescent="0.25">
      <c r="A320" s="2" t="s">
        <v>688</v>
      </c>
      <c r="B320" s="72" t="s">
        <v>181</v>
      </c>
      <c r="C320" s="2" t="s">
        <v>45</v>
      </c>
      <c r="D320" s="4">
        <v>35563</v>
      </c>
      <c r="E320" s="4">
        <v>83097</v>
      </c>
      <c r="F320" s="4">
        <v>10245</v>
      </c>
      <c r="G320" s="4">
        <v>12558</v>
      </c>
      <c r="H320" s="4">
        <v>119</v>
      </c>
      <c r="I320" s="4">
        <v>14</v>
      </c>
      <c r="J320" s="4">
        <v>24506</v>
      </c>
      <c r="K320" s="4">
        <v>8365</v>
      </c>
      <c r="L320" s="4">
        <v>1504</v>
      </c>
      <c r="M320" s="4">
        <f t="shared" si="16"/>
        <v>140408</v>
      </c>
      <c r="N320" s="71">
        <f t="shared" si="17"/>
        <v>0.96698816185361192</v>
      </c>
      <c r="O320" s="71">
        <f t="shared" si="18"/>
        <v>2.9778140201895229</v>
      </c>
      <c r="P320" s="71">
        <f t="shared" si="19"/>
        <v>3.948148356437871</v>
      </c>
    </row>
    <row r="321" spans="1:16" ht="13.5" thickBot="1" x14ac:dyDescent="0.25">
      <c r="A321" s="2" t="s">
        <v>690</v>
      </c>
      <c r="B321" s="72" t="s">
        <v>195</v>
      </c>
      <c r="C321" s="2" t="s">
        <v>45</v>
      </c>
      <c r="D321" s="4">
        <v>40186</v>
      </c>
      <c r="E321" s="4">
        <v>70123</v>
      </c>
      <c r="F321" s="4">
        <v>6404</v>
      </c>
      <c r="G321" s="4">
        <v>9307</v>
      </c>
      <c r="H321" s="4">
        <v>172</v>
      </c>
      <c r="I321" s="4">
        <v>8</v>
      </c>
      <c r="J321" s="4">
        <v>31400</v>
      </c>
      <c r="K321" s="4">
        <v>8471</v>
      </c>
      <c r="L321" s="4">
        <v>1513</v>
      </c>
      <c r="M321" s="4">
        <f t="shared" si="16"/>
        <v>127398</v>
      </c>
      <c r="N321" s="71">
        <f t="shared" si="17"/>
        <v>1.0300104514009853</v>
      </c>
      <c r="O321" s="71">
        <f t="shared" si="18"/>
        <v>2.1359179813865525</v>
      </c>
      <c r="P321" s="71">
        <f t="shared" si="19"/>
        <v>3.1702085303339471</v>
      </c>
    </row>
    <row r="322" spans="1:16" ht="13.5" thickBot="1" x14ac:dyDescent="0.25">
      <c r="A322" s="2" t="s">
        <v>692</v>
      </c>
      <c r="B322" s="72" t="s">
        <v>197</v>
      </c>
      <c r="C322" s="2" t="s">
        <v>45</v>
      </c>
      <c r="D322" s="4">
        <v>28263</v>
      </c>
      <c r="E322" s="4">
        <v>37576</v>
      </c>
      <c r="F322" s="4">
        <v>1775</v>
      </c>
      <c r="G322" s="4">
        <v>4698</v>
      </c>
      <c r="H322" s="4">
        <v>23</v>
      </c>
      <c r="I322" s="4">
        <v>3</v>
      </c>
      <c r="J322" s="4">
        <v>15030</v>
      </c>
      <c r="K322" s="4">
        <v>1347</v>
      </c>
      <c r="L322" s="4">
        <v>500</v>
      </c>
      <c r="M322" s="4">
        <f t="shared" si="16"/>
        <v>60952</v>
      </c>
      <c r="N322" s="71">
        <f t="shared" si="17"/>
        <v>0.59724728443548103</v>
      </c>
      <c r="O322" s="71">
        <f t="shared" si="18"/>
        <v>1.558539433181191</v>
      </c>
      <c r="P322" s="71">
        <f t="shared" si="19"/>
        <v>2.1566005024236636</v>
      </c>
    </row>
    <row r="323" spans="1:16" ht="13.5" thickBot="1" x14ac:dyDescent="0.25">
      <c r="A323" s="2" t="s">
        <v>694</v>
      </c>
      <c r="B323" s="72" t="s">
        <v>207</v>
      </c>
      <c r="C323" s="2" t="s">
        <v>45</v>
      </c>
      <c r="D323" s="4">
        <v>26391</v>
      </c>
      <c r="E323" s="4">
        <v>57829</v>
      </c>
      <c r="F323" s="4">
        <v>6928</v>
      </c>
      <c r="G323" s="4">
        <v>6969</v>
      </c>
      <c r="H323" s="4">
        <v>141</v>
      </c>
      <c r="I323" s="4">
        <v>11</v>
      </c>
      <c r="J323" s="4">
        <v>376388</v>
      </c>
      <c r="K323" s="4">
        <v>596606</v>
      </c>
      <c r="L323" s="4">
        <v>79143</v>
      </c>
      <c r="M323" s="4">
        <f t="shared" si="16"/>
        <v>1124015</v>
      </c>
      <c r="N323" s="71">
        <f t="shared" si="17"/>
        <v>39.867682164374216</v>
      </c>
      <c r="O323" s="71">
        <f t="shared" si="18"/>
        <v>2.7178204690993142</v>
      </c>
      <c r="P323" s="71">
        <f t="shared" si="19"/>
        <v>42.590845363949832</v>
      </c>
    </row>
    <row r="324" spans="1:16" ht="13.5" thickBot="1" x14ac:dyDescent="0.25">
      <c r="A324" s="2" t="s">
        <v>696</v>
      </c>
      <c r="B324" s="72" t="s">
        <v>226</v>
      </c>
      <c r="C324" s="2" t="s">
        <v>45</v>
      </c>
      <c r="D324" s="4">
        <v>32799</v>
      </c>
      <c r="E324" s="4">
        <v>54514</v>
      </c>
      <c r="F324" s="4">
        <v>6544</v>
      </c>
      <c r="G324" s="4">
        <v>5949</v>
      </c>
      <c r="H324" s="4">
        <v>147</v>
      </c>
      <c r="I324" s="4">
        <v>2</v>
      </c>
      <c r="J324" s="4">
        <v>15131</v>
      </c>
      <c r="K324" s="4">
        <v>3321</v>
      </c>
      <c r="L324" s="4">
        <v>0</v>
      </c>
      <c r="M324" s="4">
        <f t="shared" ref="M324:M387" si="20">SUM(E324:L324)</f>
        <v>85608</v>
      </c>
      <c r="N324" s="71">
        <f t="shared" ref="N324:N387" si="21">(J324+K324+L324+I324)/D324</f>
        <v>0.56263910485075763</v>
      </c>
      <c r="O324" s="71">
        <f t="shared" ref="O324:O387" si="22">(E324+F324+G324)/D324</f>
        <v>2.042958626787402</v>
      </c>
      <c r="P324" s="71">
        <f t="shared" ref="P324:P387" si="23">M324/D324</f>
        <v>2.6100795755968171</v>
      </c>
    </row>
    <row r="325" spans="1:16" ht="13.5" thickBot="1" x14ac:dyDescent="0.25">
      <c r="A325" s="2" t="s">
        <v>698</v>
      </c>
      <c r="B325" s="72" t="s">
        <v>238</v>
      </c>
      <c r="C325" s="2" t="s">
        <v>45</v>
      </c>
      <c r="D325" s="4">
        <v>26168</v>
      </c>
      <c r="E325" s="4">
        <v>92563</v>
      </c>
      <c r="F325" s="4">
        <v>5111</v>
      </c>
      <c r="G325" s="4">
        <v>9070</v>
      </c>
      <c r="H325" s="4">
        <v>205</v>
      </c>
      <c r="I325" s="4">
        <v>4</v>
      </c>
      <c r="J325" s="4">
        <v>8065</v>
      </c>
      <c r="K325" s="4">
        <v>2957</v>
      </c>
      <c r="L325" s="4">
        <v>284</v>
      </c>
      <c r="M325" s="4">
        <f t="shared" si="20"/>
        <v>118259</v>
      </c>
      <c r="N325" s="71">
        <f t="shared" si="21"/>
        <v>0.43220727606236625</v>
      </c>
      <c r="O325" s="71">
        <f t="shared" si="22"/>
        <v>4.0791806786915314</v>
      </c>
      <c r="P325" s="71">
        <f t="shared" si="23"/>
        <v>4.5192219504738613</v>
      </c>
    </row>
    <row r="326" spans="1:16" ht="13.5" thickBot="1" x14ac:dyDescent="0.25">
      <c r="A326" s="2" t="s">
        <v>700</v>
      </c>
      <c r="B326" s="72" t="s">
        <v>250</v>
      </c>
      <c r="C326" s="2" t="s">
        <v>45</v>
      </c>
      <c r="D326" s="4">
        <v>48579</v>
      </c>
      <c r="E326" s="4">
        <v>76170</v>
      </c>
      <c r="F326" s="4">
        <v>4334</v>
      </c>
      <c r="G326" s="4">
        <v>5532</v>
      </c>
      <c r="H326" s="4">
        <v>160</v>
      </c>
      <c r="I326" s="4">
        <v>8</v>
      </c>
      <c r="J326" s="4">
        <v>29428</v>
      </c>
      <c r="K326" s="4">
        <v>28793</v>
      </c>
      <c r="L326" s="4">
        <v>33240</v>
      </c>
      <c r="M326" s="4">
        <f t="shared" si="20"/>
        <v>177665</v>
      </c>
      <c r="N326" s="71">
        <f t="shared" si="21"/>
        <v>1.8828917845159432</v>
      </c>
      <c r="O326" s="71">
        <f t="shared" si="22"/>
        <v>1.7710533358035365</v>
      </c>
      <c r="P326" s="71">
        <f t="shared" si="23"/>
        <v>3.6572387245517612</v>
      </c>
    </row>
    <row r="327" spans="1:16" ht="13.5" thickBot="1" x14ac:dyDescent="0.25">
      <c r="A327" s="2" t="s">
        <v>702</v>
      </c>
      <c r="B327" s="72" t="s">
        <v>252</v>
      </c>
      <c r="C327" s="2" t="s">
        <v>45</v>
      </c>
      <c r="D327" s="4">
        <v>32442</v>
      </c>
      <c r="E327" s="4">
        <v>62870</v>
      </c>
      <c r="F327" s="4">
        <v>4082</v>
      </c>
      <c r="G327" s="4">
        <v>4251</v>
      </c>
      <c r="H327" s="4">
        <v>102</v>
      </c>
      <c r="I327" s="4">
        <v>5</v>
      </c>
      <c r="J327" s="4">
        <v>11392</v>
      </c>
      <c r="K327" s="4">
        <v>9938</v>
      </c>
      <c r="L327" s="4">
        <v>29</v>
      </c>
      <c r="M327" s="4">
        <f t="shared" si="20"/>
        <v>92669</v>
      </c>
      <c r="N327" s="71">
        <f t="shared" si="21"/>
        <v>0.65852906725849203</v>
      </c>
      <c r="O327" s="71">
        <f t="shared" si="22"/>
        <v>2.1947783737130879</v>
      </c>
      <c r="P327" s="71">
        <f t="shared" si="23"/>
        <v>2.8564515134701929</v>
      </c>
    </row>
    <row r="328" spans="1:16" ht="13.5" thickBot="1" x14ac:dyDescent="0.25">
      <c r="A328" s="2" t="s">
        <v>704</v>
      </c>
      <c r="B328" s="72" t="s">
        <v>312</v>
      </c>
      <c r="C328" s="2" t="s">
        <v>45</v>
      </c>
      <c r="D328" s="4">
        <v>27692</v>
      </c>
      <c r="E328" s="4">
        <v>49894</v>
      </c>
      <c r="F328" s="4">
        <v>2106</v>
      </c>
      <c r="G328" s="4">
        <v>5510</v>
      </c>
      <c r="H328" s="4">
        <v>52</v>
      </c>
      <c r="I328" s="4">
        <v>0</v>
      </c>
      <c r="J328" s="4">
        <v>314112</v>
      </c>
      <c r="K328" s="4">
        <v>321541</v>
      </c>
      <c r="L328" s="4">
        <v>15154</v>
      </c>
      <c r="M328" s="4">
        <f t="shared" si="20"/>
        <v>708369</v>
      </c>
      <c r="N328" s="71">
        <f t="shared" si="21"/>
        <v>23.501625018055755</v>
      </c>
      <c r="O328" s="71">
        <f t="shared" si="22"/>
        <v>2.0767730752563915</v>
      </c>
      <c r="P328" s="71">
        <f t="shared" si="23"/>
        <v>25.580275891954354</v>
      </c>
    </row>
    <row r="329" spans="1:16" ht="13.5" thickBot="1" x14ac:dyDescent="0.25">
      <c r="A329" s="2" t="s">
        <v>706</v>
      </c>
      <c r="B329" s="72" t="s">
        <v>320</v>
      </c>
      <c r="C329" s="2" t="s">
        <v>45</v>
      </c>
      <c r="D329" s="4">
        <v>46985</v>
      </c>
      <c r="E329" s="4">
        <v>163392</v>
      </c>
      <c r="F329" s="4">
        <v>17730</v>
      </c>
      <c r="G329" s="4">
        <v>12613</v>
      </c>
      <c r="H329" s="4">
        <v>153</v>
      </c>
      <c r="I329" s="4">
        <v>0</v>
      </c>
      <c r="J329" s="4">
        <v>25640</v>
      </c>
      <c r="K329" s="4">
        <v>13564</v>
      </c>
      <c r="L329" s="4">
        <v>405</v>
      </c>
      <c r="M329" s="4">
        <f t="shared" si="20"/>
        <v>233497</v>
      </c>
      <c r="N329" s="71">
        <f t="shared" si="21"/>
        <v>0.84301372778546346</v>
      </c>
      <c r="O329" s="71">
        <f t="shared" si="22"/>
        <v>4.1233372352878579</v>
      </c>
      <c r="P329" s="71">
        <f t="shared" si="23"/>
        <v>4.9696073214855803</v>
      </c>
    </row>
    <row r="330" spans="1:16" ht="13.5" thickBot="1" x14ac:dyDescent="0.25">
      <c r="A330" s="2" t="s">
        <v>708</v>
      </c>
      <c r="B330" s="72" t="s">
        <v>340</v>
      </c>
      <c r="C330" s="2" t="s">
        <v>45</v>
      </c>
      <c r="D330" s="4">
        <v>40898</v>
      </c>
      <c r="E330" s="4">
        <v>128033</v>
      </c>
      <c r="F330" s="4">
        <v>5744</v>
      </c>
      <c r="G330" s="4">
        <v>6256</v>
      </c>
      <c r="H330" s="4">
        <v>121</v>
      </c>
      <c r="I330" s="4">
        <v>3</v>
      </c>
      <c r="J330" s="4">
        <v>7364</v>
      </c>
      <c r="K330" s="4">
        <v>2929</v>
      </c>
      <c r="L330" s="4">
        <v>0</v>
      </c>
      <c r="M330" s="4">
        <f t="shared" si="20"/>
        <v>150450</v>
      </c>
      <c r="N330" s="71">
        <f t="shared" si="21"/>
        <v>0.25174825174825177</v>
      </c>
      <c r="O330" s="71">
        <f t="shared" si="22"/>
        <v>3.4239571617193993</v>
      </c>
      <c r="P330" s="71">
        <f t="shared" si="23"/>
        <v>3.6786639933493079</v>
      </c>
    </row>
    <row r="331" spans="1:16" ht="13.5" thickBot="1" x14ac:dyDescent="0.25">
      <c r="A331" s="2" t="s">
        <v>710</v>
      </c>
      <c r="B331" s="72" t="s">
        <v>400</v>
      </c>
      <c r="C331" s="2" t="s">
        <v>45</v>
      </c>
      <c r="D331" s="4">
        <v>41786</v>
      </c>
      <c r="E331" s="4">
        <v>110764</v>
      </c>
      <c r="F331" s="4">
        <v>4922</v>
      </c>
      <c r="G331" s="4">
        <v>0</v>
      </c>
      <c r="H331" s="4">
        <v>207</v>
      </c>
      <c r="I331" s="4">
        <v>5</v>
      </c>
      <c r="J331" s="4">
        <v>13554</v>
      </c>
      <c r="K331" s="4">
        <v>3672</v>
      </c>
      <c r="L331" s="4">
        <v>0</v>
      </c>
      <c r="M331" s="4">
        <f t="shared" si="20"/>
        <v>133124</v>
      </c>
      <c r="N331" s="71">
        <f t="shared" si="21"/>
        <v>0.41236299238979562</v>
      </c>
      <c r="O331" s="71">
        <f t="shared" si="22"/>
        <v>2.7685349160005743</v>
      </c>
      <c r="P331" s="71">
        <f t="shared" si="23"/>
        <v>3.1858517206719954</v>
      </c>
    </row>
    <row r="332" spans="1:16" ht="13.5" thickBot="1" x14ac:dyDescent="0.25">
      <c r="A332" s="2" t="s">
        <v>712</v>
      </c>
      <c r="B332" s="72" t="s">
        <v>444</v>
      </c>
      <c r="C332" s="2" t="s">
        <v>45</v>
      </c>
      <c r="D332" s="4">
        <v>40771</v>
      </c>
      <c r="E332" s="4">
        <v>105286</v>
      </c>
      <c r="F332" s="4">
        <v>2549</v>
      </c>
      <c r="G332" s="4">
        <v>4824</v>
      </c>
      <c r="H332" s="4">
        <v>188</v>
      </c>
      <c r="I332" s="4">
        <v>8</v>
      </c>
      <c r="J332" s="4">
        <v>16191</v>
      </c>
      <c r="K332" s="4">
        <v>3677</v>
      </c>
      <c r="L332" s="4">
        <v>0</v>
      </c>
      <c r="M332" s="4">
        <f t="shared" si="20"/>
        <v>132723</v>
      </c>
      <c r="N332" s="71">
        <f t="shared" si="21"/>
        <v>0.48750337249515585</v>
      </c>
      <c r="O332" s="71">
        <f t="shared" si="22"/>
        <v>2.7632140492016384</v>
      </c>
      <c r="P332" s="71">
        <f t="shared" si="23"/>
        <v>3.2553285423462754</v>
      </c>
    </row>
    <row r="333" spans="1:16" ht="13.5" thickBot="1" x14ac:dyDescent="0.25">
      <c r="A333" s="2" t="s">
        <v>714</v>
      </c>
      <c r="B333" s="72" t="s">
        <v>450</v>
      </c>
      <c r="C333" s="2" t="s">
        <v>45</v>
      </c>
      <c r="D333" s="4">
        <v>38144</v>
      </c>
      <c r="E333" s="4">
        <v>41325</v>
      </c>
      <c r="F333" s="4">
        <v>1842</v>
      </c>
      <c r="G333" s="4">
        <v>3035</v>
      </c>
      <c r="H333" s="4">
        <v>68</v>
      </c>
      <c r="I333" s="4">
        <v>3</v>
      </c>
      <c r="J333" s="4">
        <v>3587</v>
      </c>
      <c r="K333" s="4">
        <v>0</v>
      </c>
      <c r="L333" s="4">
        <v>0</v>
      </c>
      <c r="M333" s="4">
        <f t="shared" si="20"/>
        <v>49860</v>
      </c>
      <c r="N333" s="71">
        <f t="shared" si="21"/>
        <v>9.411703020134228E-2</v>
      </c>
      <c r="O333" s="71">
        <f t="shared" si="22"/>
        <v>1.2112520973154361</v>
      </c>
      <c r="P333" s="71">
        <f t="shared" si="23"/>
        <v>1.3071518456375839</v>
      </c>
    </row>
    <row r="334" spans="1:16" ht="13.5" thickBot="1" x14ac:dyDescent="0.25">
      <c r="A334" s="2" t="s">
        <v>716</v>
      </c>
      <c r="B334" s="72" t="s">
        <v>462</v>
      </c>
      <c r="C334" s="2" t="s">
        <v>45</v>
      </c>
      <c r="D334" s="4">
        <v>35540</v>
      </c>
      <c r="E334" s="4">
        <v>114134</v>
      </c>
      <c r="F334" s="4">
        <v>12845</v>
      </c>
      <c r="G334" s="4">
        <v>8551</v>
      </c>
      <c r="H334" s="4">
        <v>153</v>
      </c>
      <c r="I334" s="4">
        <v>9</v>
      </c>
      <c r="J334" s="4">
        <v>32055</v>
      </c>
      <c r="K334" s="4">
        <v>11006</v>
      </c>
      <c r="L334" s="4">
        <v>2181</v>
      </c>
      <c r="M334" s="4">
        <f t="shared" si="20"/>
        <v>180934</v>
      </c>
      <c r="N334" s="71">
        <f t="shared" si="21"/>
        <v>1.2732414181204277</v>
      </c>
      <c r="O334" s="71">
        <f t="shared" si="22"/>
        <v>3.8134496342149689</v>
      </c>
      <c r="P334" s="71">
        <f t="shared" si="23"/>
        <v>5.0909960607765896</v>
      </c>
    </row>
    <row r="335" spans="1:16" ht="13.5" thickBot="1" x14ac:dyDescent="0.25">
      <c r="A335" s="2" t="s">
        <v>718</v>
      </c>
      <c r="B335" s="72" t="s">
        <v>479</v>
      </c>
      <c r="C335" s="2" t="s">
        <v>45</v>
      </c>
      <c r="D335" s="4">
        <v>29694</v>
      </c>
      <c r="E335" s="4">
        <v>73291</v>
      </c>
      <c r="F335" s="4">
        <v>3125</v>
      </c>
      <c r="G335" s="4">
        <v>5995</v>
      </c>
      <c r="H335" s="4">
        <v>88</v>
      </c>
      <c r="I335" s="4">
        <v>1</v>
      </c>
      <c r="J335" s="4">
        <v>16719</v>
      </c>
      <c r="K335" s="4">
        <v>5082</v>
      </c>
      <c r="L335" s="4">
        <v>759</v>
      </c>
      <c r="M335" s="4">
        <f t="shared" si="20"/>
        <v>105060</v>
      </c>
      <c r="N335" s="71">
        <f t="shared" si="21"/>
        <v>0.75978312116925983</v>
      </c>
      <c r="O335" s="71">
        <f t="shared" si="22"/>
        <v>2.7753418198962754</v>
      </c>
      <c r="P335" s="71">
        <f t="shared" si="23"/>
        <v>3.5380885027278239</v>
      </c>
    </row>
    <row r="336" spans="1:16" ht="13.5" thickBot="1" x14ac:dyDescent="0.25">
      <c r="A336" s="2" t="s">
        <v>720</v>
      </c>
      <c r="B336" s="72" t="s">
        <v>499</v>
      </c>
      <c r="C336" s="2" t="s">
        <v>45</v>
      </c>
      <c r="D336" s="4">
        <v>28646</v>
      </c>
      <c r="E336" s="4">
        <v>63020</v>
      </c>
      <c r="F336" s="4">
        <v>1842</v>
      </c>
      <c r="G336" s="4">
        <v>8268</v>
      </c>
      <c r="H336" s="4">
        <v>121</v>
      </c>
      <c r="I336" s="4">
        <v>11</v>
      </c>
      <c r="J336" s="4">
        <v>15914</v>
      </c>
      <c r="K336" s="4">
        <v>2709</v>
      </c>
      <c r="L336" s="4">
        <v>184</v>
      </c>
      <c r="M336" s="4">
        <f t="shared" si="20"/>
        <v>92069</v>
      </c>
      <c r="N336" s="71">
        <f t="shared" si="21"/>
        <v>0.65691545067374157</v>
      </c>
      <c r="O336" s="71">
        <f t="shared" si="22"/>
        <v>2.5528869650212944</v>
      </c>
      <c r="P336" s="71">
        <f t="shared" si="23"/>
        <v>3.2140263911191789</v>
      </c>
    </row>
    <row r="337" spans="1:16" ht="13.5" thickBot="1" x14ac:dyDescent="0.25">
      <c r="A337" s="2" t="s">
        <v>722</v>
      </c>
      <c r="B337" s="72" t="s">
        <v>555</v>
      </c>
      <c r="C337" s="2" t="s">
        <v>45</v>
      </c>
      <c r="D337" s="4">
        <v>34467</v>
      </c>
      <c r="E337" s="4">
        <v>123838</v>
      </c>
      <c r="F337" s="4">
        <v>9509</v>
      </c>
      <c r="G337" s="4">
        <v>14637</v>
      </c>
      <c r="H337" s="4">
        <v>187</v>
      </c>
      <c r="I337" s="4">
        <v>23</v>
      </c>
      <c r="J337" s="4">
        <v>233406</v>
      </c>
      <c r="K337" s="4">
        <v>349472</v>
      </c>
      <c r="L337" s="4">
        <v>35351</v>
      </c>
      <c r="M337" s="4">
        <f t="shared" si="20"/>
        <v>766423</v>
      </c>
      <c r="N337" s="71">
        <f t="shared" si="21"/>
        <v>17.937505439986072</v>
      </c>
      <c r="O337" s="71">
        <f t="shared" si="22"/>
        <v>4.2934981286447904</v>
      </c>
      <c r="P337" s="71">
        <f t="shared" si="23"/>
        <v>22.236429048074971</v>
      </c>
    </row>
    <row r="338" spans="1:16" ht="13.5" thickBot="1" x14ac:dyDescent="0.25">
      <c r="A338" s="2" t="s">
        <v>724</v>
      </c>
      <c r="B338" s="72" t="s">
        <v>561</v>
      </c>
      <c r="C338" s="2" t="s">
        <v>45</v>
      </c>
      <c r="D338" s="4">
        <v>29319</v>
      </c>
      <c r="E338" s="4">
        <v>77317</v>
      </c>
      <c r="F338" s="4">
        <v>4131</v>
      </c>
      <c r="G338" s="4">
        <v>4337</v>
      </c>
      <c r="H338" s="4">
        <v>139</v>
      </c>
      <c r="I338" s="4">
        <v>0</v>
      </c>
      <c r="J338" s="4">
        <v>43703</v>
      </c>
      <c r="K338" s="4">
        <v>11429</v>
      </c>
      <c r="L338" s="4">
        <v>761</v>
      </c>
      <c r="M338" s="4">
        <f t="shared" si="20"/>
        <v>141817</v>
      </c>
      <c r="N338" s="71">
        <f t="shared" si="21"/>
        <v>1.9063747058221632</v>
      </c>
      <c r="O338" s="71">
        <f t="shared" si="22"/>
        <v>2.92591834646475</v>
      </c>
      <c r="P338" s="71">
        <f t="shared" si="23"/>
        <v>4.8370340052525664</v>
      </c>
    </row>
    <row r="339" spans="1:16" ht="13.5" thickBot="1" x14ac:dyDescent="0.25">
      <c r="A339" s="2" t="s">
        <v>726</v>
      </c>
      <c r="B339" s="72" t="s">
        <v>567</v>
      </c>
      <c r="C339" s="2" t="s">
        <v>45</v>
      </c>
      <c r="D339" s="4">
        <v>35394</v>
      </c>
      <c r="E339" s="4">
        <v>89334</v>
      </c>
      <c r="F339" s="4">
        <v>10430</v>
      </c>
      <c r="G339" s="4">
        <v>18017</v>
      </c>
      <c r="H339" s="4">
        <v>235</v>
      </c>
      <c r="I339" s="4">
        <v>19</v>
      </c>
      <c r="J339" s="4">
        <v>88156</v>
      </c>
      <c r="K339" s="4">
        <v>37667</v>
      </c>
      <c r="L339" s="4">
        <v>1739</v>
      </c>
      <c r="M339" s="4">
        <f t="shared" si="20"/>
        <v>245597</v>
      </c>
      <c r="N339" s="71">
        <f t="shared" si="21"/>
        <v>3.6045939989828786</v>
      </c>
      <c r="O339" s="71">
        <f t="shared" si="22"/>
        <v>3.3277109114539187</v>
      </c>
      <c r="P339" s="71">
        <f t="shared" si="23"/>
        <v>6.9389444538622369</v>
      </c>
    </row>
    <row r="340" spans="1:16" ht="13.5" thickBot="1" x14ac:dyDescent="0.25">
      <c r="A340" s="2" t="s">
        <v>728</v>
      </c>
      <c r="B340" s="72" t="s">
        <v>597</v>
      </c>
      <c r="C340" s="2" t="s">
        <v>45</v>
      </c>
      <c r="D340" s="4">
        <v>36441</v>
      </c>
      <c r="E340" s="4">
        <v>177676</v>
      </c>
      <c r="F340" s="4">
        <v>15625</v>
      </c>
      <c r="G340" s="4">
        <v>7645</v>
      </c>
      <c r="H340" s="4">
        <v>365</v>
      </c>
      <c r="I340" s="4">
        <v>19</v>
      </c>
      <c r="J340" s="4">
        <v>8949</v>
      </c>
      <c r="K340" s="4">
        <v>3524</v>
      </c>
      <c r="L340" s="4">
        <v>285</v>
      </c>
      <c r="M340" s="4">
        <f t="shared" si="20"/>
        <v>214088</v>
      </c>
      <c r="N340" s="71">
        <f t="shared" si="21"/>
        <v>0.35062155264674405</v>
      </c>
      <c r="O340" s="71">
        <f t="shared" si="22"/>
        <v>5.5142833621470322</v>
      </c>
      <c r="P340" s="71">
        <f t="shared" si="23"/>
        <v>5.8749211053483714</v>
      </c>
    </row>
    <row r="341" spans="1:16" ht="13.5" thickBot="1" x14ac:dyDescent="0.25">
      <c r="A341" s="2" t="s">
        <v>730</v>
      </c>
      <c r="B341" s="72" t="s">
        <v>607</v>
      </c>
      <c r="C341" s="2" t="s">
        <v>45</v>
      </c>
      <c r="D341" s="4">
        <v>36656</v>
      </c>
      <c r="E341" s="4">
        <v>210261</v>
      </c>
      <c r="F341" s="4">
        <v>19518</v>
      </c>
      <c r="G341" s="4">
        <v>29571</v>
      </c>
      <c r="H341" s="4">
        <v>345</v>
      </c>
      <c r="I341" s="4">
        <v>22</v>
      </c>
      <c r="J341" s="4">
        <v>555665</v>
      </c>
      <c r="K341" s="4">
        <v>338481</v>
      </c>
      <c r="L341" s="4">
        <v>14348</v>
      </c>
      <c r="M341" s="4">
        <f t="shared" si="20"/>
        <v>1168211</v>
      </c>
      <c r="N341" s="71">
        <f t="shared" si="21"/>
        <v>24.78491924923614</v>
      </c>
      <c r="O341" s="71">
        <f t="shared" si="22"/>
        <v>7.0752400698384985</v>
      </c>
      <c r="P341" s="71">
        <f t="shared" si="23"/>
        <v>31.869571147970319</v>
      </c>
    </row>
    <row r="342" spans="1:16" ht="13.5" thickBot="1" x14ac:dyDescent="0.25">
      <c r="A342" s="2" t="s">
        <v>732</v>
      </c>
      <c r="B342" s="72" t="s">
        <v>635</v>
      </c>
      <c r="C342" s="2" t="s">
        <v>45</v>
      </c>
      <c r="D342" s="4">
        <v>48362</v>
      </c>
      <c r="E342" s="4">
        <v>141981</v>
      </c>
      <c r="F342" s="4">
        <v>8349</v>
      </c>
      <c r="G342" s="4">
        <v>9272</v>
      </c>
      <c r="H342" s="4">
        <v>148</v>
      </c>
      <c r="I342" s="4">
        <v>10</v>
      </c>
      <c r="J342" s="4">
        <v>36193</v>
      </c>
      <c r="K342" s="4">
        <v>12476</v>
      </c>
      <c r="L342" s="4">
        <v>853</v>
      </c>
      <c r="M342" s="4">
        <f t="shared" si="20"/>
        <v>209282</v>
      </c>
      <c r="N342" s="71">
        <f t="shared" si="21"/>
        <v>1.0241925478681611</v>
      </c>
      <c r="O342" s="71">
        <f t="shared" si="22"/>
        <v>3.3001530126959184</v>
      </c>
      <c r="P342" s="71">
        <f t="shared" si="23"/>
        <v>4.3274058144824448</v>
      </c>
    </row>
    <row r="343" spans="1:16" ht="13.5" thickBot="1" x14ac:dyDescent="0.25">
      <c r="A343" s="2" t="s">
        <v>734</v>
      </c>
      <c r="B343" s="72" t="s">
        <v>661</v>
      </c>
      <c r="C343" s="2" t="s">
        <v>45</v>
      </c>
      <c r="D343" s="4">
        <v>33839</v>
      </c>
      <c r="E343" s="4">
        <v>71609</v>
      </c>
      <c r="F343" s="4">
        <v>8248</v>
      </c>
      <c r="G343" s="4">
        <v>21161</v>
      </c>
      <c r="H343" s="4">
        <v>107</v>
      </c>
      <c r="I343" s="4">
        <v>5</v>
      </c>
      <c r="J343" s="4">
        <v>12286</v>
      </c>
      <c r="K343" s="4">
        <v>2618</v>
      </c>
      <c r="L343" s="4">
        <v>0</v>
      </c>
      <c r="M343" s="4">
        <f t="shared" si="20"/>
        <v>116034</v>
      </c>
      <c r="N343" s="71">
        <f t="shared" si="21"/>
        <v>0.44058630574189545</v>
      </c>
      <c r="O343" s="71">
        <f t="shared" si="22"/>
        <v>2.9852537013505129</v>
      </c>
      <c r="P343" s="71">
        <f t="shared" si="23"/>
        <v>3.4290020390673481</v>
      </c>
    </row>
    <row r="344" spans="1:16" ht="13.5" thickBot="1" x14ac:dyDescent="0.25">
      <c r="A344" s="2" t="s">
        <v>736</v>
      </c>
      <c r="B344" s="72" t="s">
        <v>663</v>
      </c>
      <c r="C344" s="2" t="s">
        <v>45</v>
      </c>
      <c r="D344" s="4">
        <v>39868</v>
      </c>
      <c r="E344" s="4">
        <v>44307</v>
      </c>
      <c r="F344" s="4">
        <v>1718</v>
      </c>
      <c r="G344" s="4">
        <v>2689</v>
      </c>
      <c r="H344" s="4">
        <v>30</v>
      </c>
      <c r="I344" s="4">
        <v>5</v>
      </c>
      <c r="J344" s="4">
        <v>15810</v>
      </c>
      <c r="K344" s="4">
        <v>5082</v>
      </c>
      <c r="L344" s="4">
        <v>759</v>
      </c>
      <c r="M344" s="4">
        <f t="shared" si="20"/>
        <v>70400</v>
      </c>
      <c r="N344" s="71">
        <f t="shared" si="21"/>
        <v>0.54319253536671019</v>
      </c>
      <c r="O344" s="71">
        <f t="shared" si="22"/>
        <v>1.2218822112972809</v>
      </c>
      <c r="P344" s="71">
        <f t="shared" si="23"/>
        <v>1.7658272298585331</v>
      </c>
    </row>
    <row r="345" spans="1:16" ht="13.5" thickBot="1" x14ac:dyDescent="0.25">
      <c r="A345" s="2" t="s">
        <v>738</v>
      </c>
      <c r="B345" s="72" t="s">
        <v>667</v>
      </c>
      <c r="C345" s="2" t="s">
        <v>45</v>
      </c>
      <c r="D345" s="4">
        <v>47299</v>
      </c>
      <c r="E345" s="4">
        <v>87117</v>
      </c>
      <c r="F345" s="4">
        <v>5499</v>
      </c>
      <c r="G345" s="4">
        <v>8714</v>
      </c>
      <c r="H345" s="4">
        <v>98</v>
      </c>
      <c r="I345" s="4">
        <v>6</v>
      </c>
      <c r="J345" s="4">
        <v>10412</v>
      </c>
      <c r="K345" s="4">
        <v>12290</v>
      </c>
      <c r="L345" s="4">
        <v>30</v>
      </c>
      <c r="M345" s="4">
        <f t="shared" si="20"/>
        <v>124166</v>
      </c>
      <c r="N345" s="71">
        <f t="shared" si="21"/>
        <v>0.48072897947102478</v>
      </c>
      <c r="O345" s="71">
        <f t="shared" si="22"/>
        <v>2.142328590456458</v>
      </c>
      <c r="P345" s="71">
        <f t="shared" si="23"/>
        <v>2.6251294953381676</v>
      </c>
    </row>
    <row r="346" spans="1:16" ht="13.5" thickBot="1" x14ac:dyDescent="0.25">
      <c r="A346" s="2" t="s">
        <v>740</v>
      </c>
      <c r="B346" s="72" t="s">
        <v>687</v>
      </c>
      <c r="C346" s="2" t="s">
        <v>45</v>
      </c>
      <c r="D346" s="4">
        <v>26376</v>
      </c>
      <c r="E346" s="4">
        <v>98960</v>
      </c>
      <c r="F346" s="4">
        <v>9939</v>
      </c>
      <c r="G346" s="4">
        <v>10355</v>
      </c>
      <c r="H346" s="4">
        <v>284</v>
      </c>
      <c r="I346" s="4">
        <v>15</v>
      </c>
      <c r="J346" s="4">
        <v>28828</v>
      </c>
      <c r="K346" s="4">
        <v>9493</v>
      </c>
      <c r="L346" s="4">
        <v>778</v>
      </c>
      <c r="M346" s="4">
        <f t="shared" si="20"/>
        <v>158652</v>
      </c>
      <c r="N346" s="71">
        <f t="shared" si="21"/>
        <v>1.4829390354868062</v>
      </c>
      <c r="O346" s="71">
        <f t="shared" si="22"/>
        <v>4.5213072490142556</v>
      </c>
      <c r="P346" s="71">
        <f t="shared" si="23"/>
        <v>6.0150136487716104</v>
      </c>
    </row>
    <row r="347" spans="1:16" ht="13.5" thickBot="1" x14ac:dyDescent="0.25">
      <c r="A347" s="2" t="s">
        <v>742</v>
      </c>
      <c r="B347" s="72" t="s">
        <v>711</v>
      </c>
      <c r="C347" s="2" t="s">
        <v>45</v>
      </c>
      <c r="D347" s="4">
        <v>27920</v>
      </c>
      <c r="E347" s="4">
        <v>67540</v>
      </c>
      <c r="F347" s="4">
        <v>5681</v>
      </c>
      <c r="G347" s="4">
        <v>2509</v>
      </c>
      <c r="H347" s="4">
        <v>113</v>
      </c>
      <c r="I347" s="4">
        <v>19</v>
      </c>
      <c r="J347" s="4">
        <v>12393</v>
      </c>
      <c r="K347" s="4">
        <v>1818</v>
      </c>
      <c r="L347" s="4">
        <v>0</v>
      </c>
      <c r="M347" s="4">
        <f t="shared" si="20"/>
        <v>90073</v>
      </c>
      <c r="N347" s="71">
        <f t="shared" si="21"/>
        <v>0.50967048710601714</v>
      </c>
      <c r="O347" s="71">
        <f t="shared" si="22"/>
        <v>2.7123925501432664</v>
      </c>
      <c r="P347" s="71">
        <f t="shared" si="23"/>
        <v>3.2261103151862462</v>
      </c>
    </row>
    <row r="348" spans="1:16" ht="13.5" thickBot="1" x14ac:dyDescent="0.25">
      <c r="A348" s="2" t="s">
        <v>744</v>
      </c>
      <c r="B348" s="72" t="s">
        <v>721</v>
      </c>
      <c r="C348" s="2" t="s">
        <v>45</v>
      </c>
      <c r="D348" s="4">
        <v>30047</v>
      </c>
      <c r="E348" s="4">
        <v>84507</v>
      </c>
      <c r="F348" s="4">
        <v>9572</v>
      </c>
      <c r="G348" s="4">
        <v>7975</v>
      </c>
      <c r="H348" s="4">
        <v>80</v>
      </c>
      <c r="I348" s="4">
        <v>3</v>
      </c>
      <c r="J348" s="4">
        <v>43703</v>
      </c>
      <c r="K348" s="4">
        <v>11429</v>
      </c>
      <c r="L348" s="4">
        <v>761</v>
      </c>
      <c r="M348" s="4">
        <f t="shared" si="20"/>
        <v>158030</v>
      </c>
      <c r="N348" s="71">
        <f t="shared" si="21"/>
        <v>1.8602855526342064</v>
      </c>
      <c r="O348" s="71">
        <f t="shared" si="22"/>
        <v>3.3964788498019769</v>
      </c>
      <c r="P348" s="71">
        <f t="shared" si="23"/>
        <v>5.2594268978600196</v>
      </c>
    </row>
    <row r="349" spans="1:16" ht="13.5" thickBot="1" x14ac:dyDescent="0.25">
      <c r="A349" s="2" t="s">
        <v>747</v>
      </c>
      <c r="B349" s="72" t="s">
        <v>739</v>
      </c>
      <c r="C349" s="2" t="s">
        <v>45</v>
      </c>
      <c r="D349" s="4">
        <v>40841</v>
      </c>
      <c r="E349" s="4">
        <v>201225</v>
      </c>
      <c r="F349" s="4">
        <v>7362</v>
      </c>
      <c r="G349" s="4">
        <v>12871</v>
      </c>
      <c r="H349" s="4">
        <v>330</v>
      </c>
      <c r="I349" s="4">
        <v>18</v>
      </c>
      <c r="J349" s="4">
        <v>8520</v>
      </c>
      <c r="K349" s="4">
        <v>3374</v>
      </c>
      <c r="L349" s="4">
        <v>285</v>
      </c>
      <c r="M349" s="4">
        <f t="shared" si="20"/>
        <v>233985</v>
      </c>
      <c r="N349" s="71">
        <f t="shared" si="21"/>
        <v>0.29864596851203445</v>
      </c>
      <c r="O349" s="71">
        <f t="shared" si="22"/>
        <v>5.4224431331260252</v>
      </c>
      <c r="P349" s="71">
        <f t="shared" si="23"/>
        <v>5.7291692172081978</v>
      </c>
    </row>
    <row r="350" spans="1:16" ht="13.5" thickBot="1" x14ac:dyDescent="0.25">
      <c r="A350" s="2" t="s">
        <v>749</v>
      </c>
      <c r="B350" s="72" t="s">
        <v>784</v>
      </c>
      <c r="C350" s="2" t="s">
        <v>45</v>
      </c>
      <c r="D350" s="4">
        <v>44265</v>
      </c>
      <c r="E350" s="4">
        <v>154936</v>
      </c>
      <c r="F350" s="4">
        <v>3436</v>
      </c>
      <c r="G350" s="4">
        <v>13274</v>
      </c>
      <c r="H350" s="4">
        <v>855</v>
      </c>
      <c r="I350" s="4">
        <v>5</v>
      </c>
      <c r="J350" s="4">
        <v>15367</v>
      </c>
      <c r="K350" s="4">
        <v>3525</v>
      </c>
      <c r="L350" s="4">
        <v>4886</v>
      </c>
      <c r="M350" s="4">
        <f t="shared" si="20"/>
        <v>196284</v>
      </c>
      <c r="N350" s="71">
        <f t="shared" si="21"/>
        <v>0.5372867954365752</v>
      </c>
      <c r="O350" s="71">
        <f t="shared" si="22"/>
        <v>3.8776911781317067</v>
      </c>
      <c r="P350" s="71">
        <f t="shared" si="23"/>
        <v>4.4342934598441204</v>
      </c>
    </row>
    <row r="351" spans="1:16" ht="13.5" thickBot="1" x14ac:dyDescent="0.25">
      <c r="A351" s="2" t="s">
        <v>751</v>
      </c>
      <c r="B351" s="72" t="s">
        <v>826</v>
      </c>
      <c r="C351" s="2" t="s">
        <v>45</v>
      </c>
      <c r="D351" s="4">
        <v>30019</v>
      </c>
      <c r="E351" s="4">
        <v>53569</v>
      </c>
      <c r="F351" s="4">
        <v>1990</v>
      </c>
      <c r="G351" s="4">
        <v>4051</v>
      </c>
      <c r="H351" s="4">
        <v>110</v>
      </c>
      <c r="I351" s="4">
        <v>6</v>
      </c>
      <c r="J351" s="4">
        <v>41496</v>
      </c>
      <c r="K351" s="4">
        <v>10697</v>
      </c>
      <c r="L351" s="4">
        <v>761</v>
      </c>
      <c r="M351" s="4">
        <f t="shared" si="20"/>
        <v>112680</v>
      </c>
      <c r="N351" s="71">
        <f t="shared" si="21"/>
        <v>1.7642159965355275</v>
      </c>
      <c r="O351" s="71">
        <f t="shared" si="22"/>
        <v>1.9857423631699924</v>
      </c>
      <c r="P351" s="71">
        <f t="shared" si="23"/>
        <v>3.7536227056197742</v>
      </c>
    </row>
    <row r="352" spans="1:16" ht="13.5" thickBot="1" x14ac:dyDescent="0.25">
      <c r="A352" s="2" t="s">
        <v>753</v>
      </c>
      <c r="B352" s="72" t="s">
        <v>58</v>
      </c>
      <c r="C352" s="2" t="s">
        <v>60</v>
      </c>
      <c r="D352" s="4">
        <v>163590</v>
      </c>
      <c r="E352" s="4">
        <v>396991</v>
      </c>
      <c r="F352" s="4">
        <v>81206</v>
      </c>
      <c r="G352" s="4">
        <v>84299</v>
      </c>
      <c r="H352" s="4">
        <v>1477</v>
      </c>
      <c r="I352" s="4">
        <v>32</v>
      </c>
      <c r="J352" s="4">
        <v>31867</v>
      </c>
      <c r="K352" s="4">
        <v>40508</v>
      </c>
      <c r="L352" s="4">
        <v>983</v>
      </c>
      <c r="M352" s="4">
        <f t="shared" si="20"/>
        <v>637363</v>
      </c>
      <c r="N352" s="71">
        <f t="shared" si="21"/>
        <v>0.44862155388471175</v>
      </c>
      <c r="O352" s="71">
        <f t="shared" si="22"/>
        <v>3.4384497829940703</v>
      </c>
      <c r="P352" s="71">
        <f t="shared" si="23"/>
        <v>3.8961000061128432</v>
      </c>
    </row>
    <row r="353" spans="1:16" ht="13.5" thickBot="1" x14ac:dyDescent="0.25">
      <c r="A353" s="2" t="s">
        <v>755</v>
      </c>
      <c r="B353" s="72" t="s">
        <v>85</v>
      </c>
      <c r="C353" s="2" t="s">
        <v>60</v>
      </c>
      <c r="D353" s="4">
        <v>107681</v>
      </c>
      <c r="E353" s="4">
        <v>270405</v>
      </c>
      <c r="F353" s="4">
        <v>27733</v>
      </c>
      <c r="G353" s="4">
        <v>17441</v>
      </c>
      <c r="H353" s="4">
        <v>284</v>
      </c>
      <c r="I353" s="4">
        <v>12</v>
      </c>
      <c r="J353" s="4">
        <v>9152</v>
      </c>
      <c r="K353" s="4">
        <v>0</v>
      </c>
      <c r="L353" s="4">
        <v>0</v>
      </c>
      <c r="M353" s="4">
        <f t="shared" si="20"/>
        <v>325027</v>
      </c>
      <c r="N353" s="71">
        <f t="shared" si="21"/>
        <v>8.5103221552548736E-2</v>
      </c>
      <c r="O353" s="71">
        <f t="shared" si="22"/>
        <v>2.9306841504072212</v>
      </c>
      <c r="P353" s="71">
        <f t="shared" si="23"/>
        <v>3.0184247917459905</v>
      </c>
    </row>
    <row r="354" spans="1:16" ht="13.5" thickBot="1" x14ac:dyDescent="0.25">
      <c r="A354" s="2" t="s">
        <v>757</v>
      </c>
      <c r="B354" s="72" t="s">
        <v>147</v>
      </c>
      <c r="C354" s="2" t="s">
        <v>60</v>
      </c>
      <c r="D354" s="4">
        <v>90173</v>
      </c>
      <c r="E354" s="4">
        <v>225196</v>
      </c>
      <c r="F354" s="4">
        <v>30823</v>
      </c>
      <c r="G354" s="4">
        <v>51666</v>
      </c>
      <c r="H354" s="4">
        <v>416</v>
      </c>
      <c r="I354" s="4">
        <v>21</v>
      </c>
      <c r="J354" s="4">
        <v>24414</v>
      </c>
      <c r="K354" s="4">
        <v>38381</v>
      </c>
      <c r="L354" s="4">
        <v>13039</v>
      </c>
      <c r="M354" s="4">
        <f t="shared" si="20"/>
        <v>383956</v>
      </c>
      <c r="N354" s="71">
        <f t="shared" si="21"/>
        <v>0.84121632861277762</v>
      </c>
      <c r="O354" s="71">
        <f t="shared" si="22"/>
        <v>3.4121632861277766</v>
      </c>
      <c r="P354" s="71">
        <f t="shared" si="23"/>
        <v>4.257992969070564</v>
      </c>
    </row>
    <row r="355" spans="1:16" ht="13.5" thickBot="1" x14ac:dyDescent="0.25">
      <c r="A355" s="2" t="s">
        <v>759</v>
      </c>
      <c r="B355" s="72" t="s">
        <v>149</v>
      </c>
      <c r="C355" s="2" t="s">
        <v>60</v>
      </c>
      <c r="D355" s="4">
        <v>238859</v>
      </c>
      <c r="E355" s="4">
        <v>414142</v>
      </c>
      <c r="F355" s="4">
        <v>55737</v>
      </c>
      <c r="G355" s="4">
        <v>86319</v>
      </c>
      <c r="H355" s="4">
        <v>641</v>
      </c>
      <c r="I355" s="4">
        <v>10</v>
      </c>
      <c r="J355" s="4">
        <v>93278</v>
      </c>
      <c r="K355" s="4">
        <v>110100</v>
      </c>
      <c r="L355" s="4">
        <v>20802</v>
      </c>
      <c r="M355" s="4">
        <f t="shared" si="20"/>
        <v>781029</v>
      </c>
      <c r="N355" s="71">
        <f t="shared" si="21"/>
        <v>0.93858719997990447</v>
      </c>
      <c r="O355" s="71">
        <f t="shared" si="22"/>
        <v>2.328562038692283</v>
      </c>
      <c r="P355" s="71">
        <f t="shared" si="23"/>
        <v>3.2698328302471333</v>
      </c>
    </row>
    <row r="356" spans="1:16" ht="13.5" thickBot="1" x14ac:dyDescent="0.25">
      <c r="A356" s="2" t="s">
        <v>761</v>
      </c>
      <c r="B356" s="72" t="s">
        <v>179</v>
      </c>
      <c r="C356" s="2" t="s">
        <v>60</v>
      </c>
      <c r="D356" s="4">
        <v>51640</v>
      </c>
      <c r="E356" s="4">
        <v>125316</v>
      </c>
      <c r="F356" s="4">
        <v>7894</v>
      </c>
      <c r="G356" s="4">
        <v>13613</v>
      </c>
      <c r="H356" s="4">
        <v>280</v>
      </c>
      <c r="I356" s="4">
        <v>9</v>
      </c>
      <c r="J356" s="4">
        <v>13022</v>
      </c>
      <c r="K356" s="4">
        <v>4016</v>
      </c>
      <c r="L356" s="4">
        <v>1005</v>
      </c>
      <c r="M356" s="4">
        <f t="shared" si="20"/>
        <v>165155</v>
      </c>
      <c r="N356" s="71">
        <f t="shared" si="21"/>
        <v>0.34957397366382648</v>
      </c>
      <c r="O356" s="71">
        <f t="shared" si="22"/>
        <v>2.8432029434546862</v>
      </c>
      <c r="P356" s="71">
        <f t="shared" si="23"/>
        <v>3.1981990704879939</v>
      </c>
    </row>
    <row r="357" spans="1:16" ht="13.5" thickBot="1" x14ac:dyDescent="0.25">
      <c r="A357" s="2" t="s">
        <v>763</v>
      </c>
      <c r="B357" s="72" t="s">
        <v>185</v>
      </c>
      <c r="C357" s="2" t="s">
        <v>60</v>
      </c>
      <c r="D357" s="4">
        <v>169833</v>
      </c>
      <c r="E357" s="4">
        <v>249903</v>
      </c>
      <c r="F357" s="4">
        <v>37253</v>
      </c>
      <c r="G357" s="4">
        <v>42768</v>
      </c>
      <c r="H357" s="4">
        <v>476</v>
      </c>
      <c r="I357" s="4">
        <v>0</v>
      </c>
      <c r="J357" s="4">
        <v>12830</v>
      </c>
      <c r="K357" s="4">
        <v>3039</v>
      </c>
      <c r="L357" s="4">
        <v>108</v>
      </c>
      <c r="M357" s="4">
        <f t="shared" si="20"/>
        <v>346377</v>
      </c>
      <c r="N357" s="71">
        <f t="shared" si="21"/>
        <v>9.4074767565785214E-2</v>
      </c>
      <c r="O357" s="71">
        <f t="shared" si="22"/>
        <v>1.9426377676894362</v>
      </c>
      <c r="P357" s="71">
        <f t="shared" si="23"/>
        <v>2.039515288548162</v>
      </c>
    </row>
    <row r="358" spans="1:16" ht="13.5" thickBot="1" x14ac:dyDescent="0.25">
      <c r="A358" s="2" t="s">
        <v>765</v>
      </c>
      <c r="B358" s="72" t="s">
        <v>220</v>
      </c>
      <c r="C358" s="2" t="s">
        <v>60</v>
      </c>
      <c r="D358" s="4">
        <v>57774</v>
      </c>
      <c r="E358" s="4">
        <v>128564</v>
      </c>
      <c r="F358" s="4">
        <v>8013</v>
      </c>
      <c r="G358" s="4">
        <v>12426</v>
      </c>
      <c r="H358" s="4">
        <v>301</v>
      </c>
      <c r="I358" s="4">
        <v>6</v>
      </c>
      <c r="J358" s="4">
        <v>14786</v>
      </c>
      <c r="K358" s="4">
        <v>3346</v>
      </c>
      <c r="L358" s="4">
        <v>0</v>
      </c>
      <c r="M358" s="4">
        <f t="shared" si="20"/>
        <v>167442</v>
      </c>
      <c r="N358" s="71">
        <f t="shared" si="21"/>
        <v>0.31394745041021915</v>
      </c>
      <c r="O358" s="71">
        <f t="shared" si="22"/>
        <v>2.5790667082078444</v>
      </c>
      <c r="P358" s="71">
        <f t="shared" si="23"/>
        <v>2.8982241146536505</v>
      </c>
    </row>
    <row r="359" spans="1:16" ht="13.5" thickBot="1" x14ac:dyDescent="0.25">
      <c r="A359" s="2" t="s">
        <v>767</v>
      </c>
      <c r="B359" s="72" t="s">
        <v>222</v>
      </c>
      <c r="C359" s="2" t="s">
        <v>60</v>
      </c>
      <c r="D359" s="4">
        <v>98153</v>
      </c>
      <c r="E359" s="4">
        <v>156969</v>
      </c>
      <c r="F359" s="4">
        <v>18463</v>
      </c>
      <c r="G359" s="4">
        <v>37550</v>
      </c>
      <c r="H359" s="4">
        <v>377</v>
      </c>
      <c r="I359" s="4">
        <v>19</v>
      </c>
      <c r="J359" s="4">
        <v>263777</v>
      </c>
      <c r="K359" s="4">
        <v>389304</v>
      </c>
      <c r="L359" s="4">
        <v>40700</v>
      </c>
      <c r="M359" s="4">
        <f t="shared" si="20"/>
        <v>907159</v>
      </c>
      <c r="N359" s="71">
        <f t="shared" si="21"/>
        <v>7.0685562336352428</v>
      </c>
      <c r="O359" s="71">
        <f t="shared" si="22"/>
        <v>2.1698980163622101</v>
      </c>
      <c r="P359" s="71">
        <f t="shared" si="23"/>
        <v>9.2422951921999328</v>
      </c>
    </row>
    <row r="360" spans="1:16" ht="13.5" thickBot="1" x14ac:dyDescent="0.25">
      <c r="A360" s="2" t="s">
        <v>769</v>
      </c>
      <c r="B360" s="72" t="s">
        <v>232</v>
      </c>
      <c r="C360" s="2" t="s">
        <v>60</v>
      </c>
      <c r="D360" s="4">
        <v>713777</v>
      </c>
      <c r="E360" s="4">
        <v>2656265</v>
      </c>
      <c r="F360" s="4">
        <v>127928</v>
      </c>
      <c r="G360" s="4">
        <v>173931</v>
      </c>
      <c r="H360" s="4">
        <v>1400</v>
      </c>
      <c r="I360" s="4">
        <v>31</v>
      </c>
      <c r="J360" s="4">
        <v>295774</v>
      </c>
      <c r="K360" s="4">
        <v>297742</v>
      </c>
      <c r="L360" s="4">
        <v>13297</v>
      </c>
      <c r="M360" s="4">
        <f t="shared" si="20"/>
        <v>3566368</v>
      </c>
      <c r="N360" s="71">
        <f t="shared" si="21"/>
        <v>0.85018710325493818</v>
      </c>
      <c r="O360" s="71">
        <f t="shared" si="22"/>
        <v>4.1443251883991783</v>
      </c>
      <c r="P360" s="71">
        <f t="shared" si="23"/>
        <v>4.9964736885609931</v>
      </c>
    </row>
    <row r="361" spans="1:16" ht="13.5" thickBot="1" x14ac:dyDescent="0.25">
      <c r="A361" s="2" t="s">
        <v>771</v>
      </c>
      <c r="B361" s="72" t="s">
        <v>276</v>
      </c>
      <c r="C361" s="2" t="s">
        <v>60</v>
      </c>
      <c r="D361" s="4">
        <v>90112</v>
      </c>
      <c r="E361" s="4">
        <v>239469</v>
      </c>
      <c r="F361" s="4">
        <v>22695</v>
      </c>
      <c r="G361" s="4">
        <v>33004</v>
      </c>
      <c r="H361" s="4">
        <v>486</v>
      </c>
      <c r="I361" s="4">
        <v>32</v>
      </c>
      <c r="J361" s="4">
        <v>26055</v>
      </c>
      <c r="K361" s="4">
        <v>41091</v>
      </c>
      <c r="L361" s="4">
        <v>12011</v>
      </c>
      <c r="M361" s="4">
        <f t="shared" si="20"/>
        <v>374843</v>
      </c>
      <c r="N361" s="71">
        <f t="shared" si="21"/>
        <v>0.8787841796875</v>
      </c>
      <c r="O361" s="71">
        <f t="shared" si="22"/>
        <v>3.2755681818181817</v>
      </c>
      <c r="P361" s="71">
        <f t="shared" si="23"/>
        <v>4.1597456498579541</v>
      </c>
    </row>
    <row r="362" spans="1:16" ht="13.5" thickBot="1" x14ac:dyDescent="0.25">
      <c r="A362" s="2" t="s">
        <v>773</v>
      </c>
      <c r="B362" s="72" t="s">
        <v>290</v>
      </c>
      <c r="C362" s="2" t="s">
        <v>60</v>
      </c>
      <c r="D362" s="4">
        <v>102434</v>
      </c>
      <c r="E362" s="4">
        <v>216775</v>
      </c>
      <c r="F362" s="4">
        <v>24020</v>
      </c>
      <c r="G362" s="4">
        <v>16785</v>
      </c>
      <c r="H362" s="4">
        <v>43</v>
      </c>
      <c r="I362" s="4">
        <v>13</v>
      </c>
      <c r="J362" s="4">
        <v>7382</v>
      </c>
      <c r="K362" s="4">
        <v>3386</v>
      </c>
      <c r="L362" s="4">
        <v>0</v>
      </c>
      <c r="M362" s="4">
        <f t="shared" si="20"/>
        <v>268404</v>
      </c>
      <c r="N362" s="71">
        <f t="shared" si="21"/>
        <v>0.10524825741453034</v>
      </c>
      <c r="O362" s="71">
        <f t="shared" si="22"/>
        <v>2.5145947634574459</v>
      </c>
      <c r="P362" s="71">
        <f t="shared" si="23"/>
        <v>2.62026280336607</v>
      </c>
    </row>
    <row r="363" spans="1:16" ht="13.5" thickBot="1" x14ac:dyDescent="0.25">
      <c r="A363" s="2" t="s">
        <v>775</v>
      </c>
      <c r="B363" s="72" t="s">
        <v>316</v>
      </c>
      <c r="C363" s="2" t="s">
        <v>60</v>
      </c>
      <c r="D363" s="4">
        <v>332567</v>
      </c>
      <c r="E363" s="4">
        <v>554701</v>
      </c>
      <c r="F363" s="4">
        <v>31795</v>
      </c>
      <c r="G363" s="4">
        <v>135339</v>
      </c>
      <c r="H363" s="4">
        <v>484</v>
      </c>
      <c r="I363" s="4">
        <v>15</v>
      </c>
      <c r="J363" s="4">
        <v>32366</v>
      </c>
      <c r="K363" s="4">
        <v>15236</v>
      </c>
      <c r="L363" s="4">
        <v>949</v>
      </c>
      <c r="M363" s="4">
        <f t="shared" si="20"/>
        <v>770885</v>
      </c>
      <c r="N363" s="71">
        <f t="shared" si="21"/>
        <v>0.14603373154883076</v>
      </c>
      <c r="O363" s="71">
        <f t="shared" si="22"/>
        <v>2.1704949679312739</v>
      </c>
      <c r="P363" s="71">
        <f t="shared" si="23"/>
        <v>2.3179840453201912</v>
      </c>
    </row>
    <row r="364" spans="1:16" ht="13.5" thickBot="1" x14ac:dyDescent="0.25">
      <c r="A364" s="2" t="s">
        <v>777</v>
      </c>
      <c r="B364" s="72" t="s">
        <v>330</v>
      </c>
      <c r="C364" s="2" t="s">
        <v>60</v>
      </c>
      <c r="D364" s="4">
        <v>76707</v>
      </c>
      <c r="E364" s="4">
        <v>195245</v>
      </c>
      <c r="F364" s="4">
        <v>17824</v>
      </c>
      <c r="G364" s="4">
        <v>9387</v>
      </c>
      <c r="H364" s="4">
        <v>260</v>
      </c>
      <c r="I364" s="4">
        <v>20</v>
      </c>
      <c r="J364" s="4">
        <v>8025</v>
      </c>
      <c r="K364" s="4">
        <v>6698</v>
      </c>
      <c r="L364" s="4">
        <v>0</v>
      </c>
      <c r="M364" s="4">
        <f t="shared" si="20"/>
        <v>237459</v>
      </c>
      <c r="N364" s="71">
        <f t="shared" si="21"/>
        <v>0.19219888667266352</v>
      </c>
      <c r="O364" s="71">
        <f t="shared" si="22"/>
        <v>2.9000743087332315</v>
      </c>
      <c r="P364" s="71">
        <f t="shared" si="23"/>
        <v>3.0956627165708475</v>
      </c>
    </row>
    <row r="365" spans="1:16" ht="13.5" thickBot="1" x14ac:dyDescent="0.25">
      <c r="A365" s="2" t="s">
        <v>779</v>
      </c>
      <c r="B365" s="72" t="s">
        <v>334</v>
      </c>
      <c r="C365" s="2" t="s">
        <v>60</v>
      </c>
      <c r="D365" s="4">
        <v>188040</v>
      </c>
      <c r="E365" s="4">
        <v>708866</v>
      </c>
      <c r="F365" s="4">
        <v>61013</v>
      </c>
      <c r="G365" s="4">
        <v>58938</v>
      </c>
      <c r="H365" s="4">
        <v>443</v>
      </c>
      <c r="I365" s="4">
        <v>45</v>
      </c>
      <c r="J365" s="4">
        <v>25386</v>
      </c>
      <c r="K365" s="4">
        <v>14049</v>
      </c>
      <c r="L365" s="4">
        <v>0</v>
      </c>
      <c r="M365" s="4">
        <f t="shared" si="20"/>
        <v>868740</v>
      </c>
      <c r="N365" s="71">
        <f t="shared" si="21"/>
        <v>0.20995532865347799</v>
      </c>
      <c r="O365" s="71">
        <f t="shared" si="22"/>
        <v>4.4076632631355031</v>
      </c>
      <c r="P365" s="71">
        <f t="shared" si="23"/>
        <v>4.6199744735162733</v>
      </c>
    </row>
    <row r="366" spans="1:16" ht="13.5" thickBot="1" x14ac:dyDescent="0.25">
      <c r="A366" s="2" t="s">
        <v>781</v>
      </c>
      <c r="B366" s="72" t="s">
        <v>338</v>
      </c>
      <c r="C366" s="2" t="s">
        <v>60</v>
      </c>
      <c r="D366" s="4">
        <v>51133</v>
      </c>
      <c r="E366" s="4">
        <v>159687</v>
      </c>
      <c r="F366" s="4">
        <v>19045</v>
      </c>
      <c r="G366" s="4">
        <v>26293</v>
      </c>
      <c r="H366" s="4">
        <v>371</v>
      </c>
      <c r="I366" s="4">
        <v>1</v>
      </c>
      <c r="J366" s="4">
        <v>261078</v>
      </c>
      <c r="K366" s="4">
        <v>60307</v>
      </c>
      <c r="L366" s="4">
        <v>39133</v>
      </c>
      <c r="M366" s="4">
        <f t="shared" si="20"/>
        <v>565915</v>
      </c>
      <c r="N366" s="71">
        <f t="shared" si="21"/>
        <v>7.050613106995482</v>
      </c>
      <c r="O366" s="71">
        <f t="shared" si="22"/>
        <v>4.0096415230868523</v>
      </c>
      <c r="P366" s="71">
        <f t="shared" si="23"/>
        <v>11.067510218449925</v>
      </c>
    </row>
    <row r="367" spans="1:16" ht="13.5" thickBot="1" x14ac:dyDescent="0.25">
      <c r="A367" s="2" t="s">
        <v>783</v>
      </c>
      <c r="B367" s="72" t="s">
        <v>366</v>
      </c>
      <c r="C367" s="2" t="s">
        <v>60</v>
      </c>
      <c r="D367" s="4">
        <v>102423</v>
      </c>
      <c r="E367" s="4">
        <v>246632</v>
      </c>
      <c r="F367" s="4">
        <v>23718</v>
      </c>
      <c r="G367" s="4">
        <v>24456</v>
      </c>
      <c r="H367" s="4">
        <v>297</v>
      </c>
      <c r="I367" s="4">
        <v>26</v>
      </c>
      <c r="J367" s="4">
        <v>76512</v>
      </c>
      <c r="K367" s="4">
        <v>40179</v>
      </c>
      <c r="L367" s="4">
        <v>6690</v>
      </c>
      <c r="M367" s="4">
        <f t="shared" si="20"/>
        <v>418510</v>
      </c>
      <c r="N367" s="71">
        <f t="shared" si="21"/>
        <v>1.2048758579615906</v>
      </c>
      <c r="O367" s="71">
        <f t="shared" si="22"/>
        <v>2.8783183464651496</v>
      </c>
      <c r="P367" s="71">
        <f t="shared" si="23"/>
        <v>4.086093943743105</v>
      </c>
    </row>
    <row r="368" spans="1:16" ht="13.5" thickBot="1" x14ac:dyDescent="0.25">
      <c r="A368" s="2" t="s">
        <v>785</v>
      </c>
      <c r="B368" s="72" t="s">
        <v>388</v>
      </c>
      <c r="C368" s="2" t="s">
        <v>60</v>
      </c>
      <c r="D368" s="4">
        <v>52529</v>
      </c>
      <c r="E368" s="4">
        <v>106153</v>
      </c>
      <c r="F368" s="4">
        <v>12907</v>
      </c>
      <c r="G368" s="4">
        <v>23455</v>
      </c>
      <c r="H368" s="4">
        <v>330</v>
      </c>
      <c r="I368" s="4">
        <v>17</v>
      </c>
      <c r="J368" s="4">
        <v>76640</v>
      </c>
      <c r="K368" s="4">
        <v>33122</v>
      </c>
      <c r="L368" s="4">
        <v>977</v>
      </c>
      <c r="M368" s="4">
        <f t="shared" si="20"/>
        <v>253601</v>
      </c>
      <c r="N368" s="71">
        <f t="shared" si="21"/>
        <v>2.1084734146852213</v>
      </c>
      <c r="O368" s="71">
        <f t="shared" si="22"/>
        <v>2.7130727788459708</v>
      </c>
      <c r="P368" s="71">
        <f t="shared" si="23"/>
        <v>4.8278284376249312</v>
      </c>
    </row>
    <row r="369" spans="1:16" ht="13.5" thickBot="1" x14ac:dyDescent="0.25">
      <c r="A369" s="2" t="s">
        <v>787</v>
      </c>
      <c r="B369" s="72" t="s">
        <v>408</v>
      </c>
      <c r="C369" s="2" t="s">
        <v>60</v>
      </c>
      <c r="D369" s="4">
        <v>160248</v>
      </c>
      <c r="E369" s="4">
        <v>385727</v>
      </c>
      <c r="F369" s="4">
        <v>33560</v>
      </c>
      <c r="G369" s="4">
        <v>47271</v>
      </c>
      <c r="H369" s="4">
        <v>467</v>
      </c>
      <c r="I369" s="4">
        <v>24</v>
      </c>
      <c r="J369" s="4">
        <v>73963</v>
      </c>
      <c r="K369" s="4">
        <v>35006</v>
      </c>
      <c r="L369" s="4">
        <v>6815</v>
      </c>
      <c r="M369" s="4">
        <f t="shared" si="20"/>
        <v>582833</v>
      </c>
      <c r="N369" s="71">
        <f t="shared" si="21"/>
        <v>0.72267984623833059</v>
      </c>
      <c r="O369" s="71">
        <f t="shared" si="22"/>
        <v>2.9114747141930009</v>
      </c>
      <c r="P369" s="71">
        <f t="shared" si="23"/>
        <v>3.6370687933702759</v>
      </c>
    </row>
    <row r="370" spans="1:16" ht="13.5" thickBot="1" x14ac:dyDescent="0.25">
      <c r="A370" s="2" t="s">
        <v>789</v>
      </c>
      <c r="B370" s="72" t="s">
        <v>416</v>
      </c>
      <c r="C370" s="2" t="s">
        <v>60</v>
      </c>
      <c r="D370" s="4">
        <v>116445</v>
      </c>
      <c r="E370" s="4">
        <v>406851</v>
      </c>
      <c r="F370" s="4">
        <v>24351</v>
      </c>
      <c r="G370" s="4">
        <v>83255</v>
      </c>
      <c r="H370" s="4">
        <v>445</v>
      </c>
      <c r="I370" s="4">
        <v>24</v>
      </c>
      <c r="J370" s="4">
        <v>321494</v>
      </c>
      <c r="K370" s="4">
        <v>79071</v>
      </c>
      <c r="L370" s="4">
        <v>36021</v>
      </c>
      <c r="M370" s="4">
        <f t="shared" si="20"/>
        <v>951512</v>
      </c>
      <c r="N370" s="71">
        <f t="shared" si="21"/>
        <v>3.7494954699643608</v>
      </c>
      <c r="O370" s="71">
        <f t="shared" si="22"/>
        <v>4.4180256773584095</v>
      </c>
      <c r="P370" s="71">
        <f t="shared" si="23"/>
        <v>8.1713426939756975</v>
      </c>
    </row>
    <row r="371" spans="1:16" ht="13.5" thickBot="1" x14ac:dyDescent="0.25">
      <c r="A371" s="2" t="s">
        <v>791</v>
      </c>
      <c r="B371" s="72" t="s">
        <v>420</v>
      </c>
      <c r="C371" s="2" t="s">
        <v>60</v>
      </c>
      <c r="D371" s="4">
        <v>395660</v>
      </c>
      <c r="E371" s="4">
        <v>756233</v>
      </c>
      <c r="F371" s="4">
        <v>76401</v>
      </c>
      <c r="G371" s="4">
        <v>83935</v>
      </c>
      <c r="H371" s="4">
        <v>1776</v>
      </c>
      <c r="I371" s="4">
        <v>74</v>
      </c>
      <c r="J371" s="4">
        <v>87091</v>
      </c>
      <c r="K371" s="4">
        <v>23580</v>
      </c>
      <c r="L371" s="4">
        <v>0</v>
      </c>
      <c r="M371" s="4">
        <f t="shared" si="20"/>
        <v>1029090</v>
      </c>
      <c r="N371" s="71">
        <f t="shared" si="21"/>
        <v>0.27989940858312695</v>
      </c>
      <c r="O371" s="71">
        <f t="shared" si="22"/>
        <v>2.3165571450235052</v>
      </c>
      <c r="P371" s="71">
        <f t="shared" si="23"/>
        <v>2.6009452560279027</v>
      </c>
    </row>
    <row r="372" spans="1:16" ht="13.5" thickBot="1" x14ac:dyDescent="0.25">
      <c r="A372" s="2" t="s">
        <v>793</v>
      </c>
      <c r="B372" s="72" t="s">
        <v>430</v>
      </c>
      <c r="C372" s="2" t="s">
        <v>60</v>
      </c>
      <c r="D372" s="4">
        <v>60006</v>
      </c>
      <c r="E372" s="4">
        <v>88616</v>
      </c>
      <c r="F372" s="4">
        <v>3941</v>
      </c>
      <c r="G372" s="4">
        <v>5700</v>
      </c>
      <c r="H372" s="4">
        <v>184</v>
      </c>
      <c r="I372" s="4">
        <v>5</v>
      </c>
      <c r="J372" s="4">
        <v>13230</v>
      </c>
      <c r="K372" s="4">
        <v>3980</v>
      </c>
      <c r="L372" s="4">
        <v>793</v>
      </c>
      <c r="M372" s="4">
        <f t="shared" si="20"/>
        <v>116449</v>
      </c>
      <c r="N372" s="71">
        <f t="shared" si="21"/>
        <v>0.30010332300103321</v>
      </c>
      <c r="O372" s="71">
        <f t="shared" si="22"/>
        <v>1.6374529213745292</v>
      </c>
      <c r="P372" s="71">
        <f t="shared" si="23"/>
        <v>1.940622604406226</v>
      </c>
    </row>
    <row r="373" spans="1:16" ht="13.5" thickBot="1" x14ac:dyDescent="0.25">
      <c r="A373" s="2" t="s">
        <v>795</v>
      </c>
      <c r="B373" s="72" t="s">
        <v>458</v>
      </c>
      <c r="C373" s="2" t="s">
        <v>60</v>
      </c>
      <c r="D373" s="4">
        <v>96942</v>
      </c>
      <c r="E373" s="4">
        <v>230247</v>
      </c>
      <c r="F373" s="4">
        <v>13437</v>
      </c>
      <c r="G373" s="4">
        <v>15661</v>
      </c>
      <c r="H373" s="4">
        <v>252</v>
      </c>
      <c r="I373" s="4">
        <v>4</v>
      </c>
      <c r="J373" s="4">
        <v>8359</v>
      </c>
      <c r="K373" s="4">
        <v>16141</v>
      </c>
      <c r="L373" s="4">
        <v>764</v>
      </c>
      <c r="M373" s="4">
        <f t="shared" si="20"/>
        <v>284865</v>
      </c>
      <c r="N373" s="71">
        <f t="shared" si="21"/>
        <v>0.26065069835571786</v>
      </c>
      <c r="O373" s="71">
        <f t="shared" si="22"/>
        <v>2.6752594334756865</v>
      </c>
      <c r="P373" s="71">
        <f t="shared" si="23"/>
        <v>2.9385096243114441</v>
      </c>
    </row>
    <row r="374" spans="1:16" ht="13.5" thickBot="1" x14ac:dyDescent="0.25">
      <c r="A374" s="2" t="s">
        <v>799</v>
      </c>
      <c r="B374" s="72" t="s">
        <v>525</v>
      </c>
      <c r="C374" s="2" t="s">
        <v>60</v>
      </c>
      <c r="D374" s="4">
        <v>149955</v>
      </c>
      <c r="E374" s="4">
        <v>358026</v>
      </c>
      <c r="F374" s="4">
        <v>20082</v>
      </c>
      <c r="G374" s="4">
        <v>39457</v>
      </c>
      <c r="H374" s="4">
        <v>201</v>
      </c>
      <c r="I374" s="4">
        <v>90</v>
      </c>
      <c r="J374" s="4">
        <v>13188</v>
      </c>
      <c r="K374" s="4">
        <v>3473</v>
      </c>
      <c r="L374" s="4">
        <v>0</v>
      </c>
      <c r="M374" s="4">
        <f t="shared" si="20"/>
        <v>434517</v>
      </c>
      <c r="N374" s="71">
        <f t="shared" si="21"/>
        <v>0.11170684538694942</v>
      </c>
      <c r="O374" s="71">
        <f t="shared" si="22"/>
        <v>2.7846020472808508</v>
      </c>
      <c r="P374" s="71">
        <f t="shared" si="23"/>
        <v>2.8976492947884367</v>
      </c>
    </row>
    <row r="375" spans="1:16" ht="13.5" thickBot="1" x14ac:dyDescent="0.25">
      <c r="A375" s="2" t="s">
        <v>801</v>
      </c>
      <c r="B375" s="72" t="s">
        <v>539</v>
      </c>
      <c r="C375" s="2" t="s">
        <v>60</v>
      </c>
      <c r="D375" s="4">
        <v>105852</v>
      </c>
      <c r="E375" s="4">
        <v>178562</v>
      </c>
      <c r="F375" s="4">
        <v>10720</v>
      </c>
      <c r="G375" s="4">
        <v>16908</v>
      </c>
      <c r="H375" s="4">
        <v>616</v>
      </c>
      <c r="I375" s="4">
        <v>7</v>
      </c>
      <c r="J375" s="4">
        <v>104368</v>
      </c>
      <c r="K375" s="4">
        <v>103160</v>
      </c>
      <c r="L375" s="4">
        <v>20600</v>
      </c>
      <c r="M375" s="4">
        <f t="shared" si="20"/>
        <v>434941</v>
      </c>
      <c r="N375" s="71">
        <f t="shared" si="21"/>
        <v>2.1552261648339193</v>
      </c>
      <c r="O375" s="71">
        <f t="shared" si="22"/>
        <v>1.9479084004081171</v>
      </c>
      <c r="P375" s="71">
        <f t="shared" si="23"/>
        <v>4.1089540112610061</v>
      </c>
    </row>
    <row r="376" spans="1:16" ht="13.5" thickBot="1" x14ac:dyDescent="0.25">
      <c r="A376" s="2" t="s">
        <v>803</v>
      </c>
      <c r="B376" s="72" t="s">
        <v>559</v>
      </c>
      <c r="C376" s="2" t="s">
        <v>60</v>
      </c>
      <c r="D376" s="4">
        <v>55374</v>
      </c>
      <c r="E376" s="4">
        <v>141638</v>
      </c>
      <c r="F376" s="4">
        <v>10603</v>
      </c>
      <c r="G376" s="4">
        <v>20039</v>
      </c>
      <c r="H376" s="4">
        <v>203</v>
      </c>
      <c r="I376" s="4">
        <v>12</v>
      </c>
      <c r="J376" s="4">
        <v>49851</v>
      </c>
      <c r="K376" s="4">
        <v>12642</v>
      </c>
      <c r="L376" s="4">
        <v>761</v>
      </c>
      <c r="M376" s="4">
        <f t="shared" si="20"/>
        <v>235749</v>
      </c>
      <c r="N376" s="71">
        <f t="shared" si="21"/>
        <v>1.1425217611153249</v>
      </c>
      <c r="O376" s="71">
        <f t="shared" si="22"/>
        <v>3.1112074258677356</v>
      </c>
      <c r="P376" s="71">
        <f t="shared" si="23"/>
        <v>4.2573951674070862</v>
      </c>
    </row>
    <row r="377" spans="1:16" ht="13.5" thickBot="1" x14ac:dyDescent="0.25">
      <c r="A377" s="2" t="s">
        <v>805</v>
      </c>
      <c r="B377" s="72" t="s">
        <v>609</v>
      </c>
      <c r="C377" s="2" t="s">
        <v>60</v>
      </c>
      <c r="D377" s="4">
        <v>59515</v>
      </c>
      <c r="E377" s="4">
        <v>65444</v>
      </c>
      <c r="F377" s="4">
        <v>2859</v>
      </c>
      <c r="G377" s="4">
        <v>6261</v>
      </c>
      <c r="H377" s="4">
        <v>96</v>
      </c>
      <c r="I377" s="4">
        <v>7</v>
      </c>
      <c r="J377" s="4">
        <v>12768</v>
      </c>
      <c r="K377" s="4">
        <v>0</v>
      </c>
      <c r="L377" s="4">
        <v>0</v>
      </c>
      <c r="M377" s="4">
        <f t="shared" si="20"/>
        <v>87435</v>
      </c>
      <c r="N377" s="71">
        <f t="shared" si="21"/>
        <v>0.21465176846173234</v>
      </c>
      <c r="O377" s="71">
        <f t="shared" si="22"/>
        <v>1.252860623372259</v>
      </c>
      <c r="P377" s="71">
        <f t="shared" si="23"/>
        <v>1.4691254305637234</v>
      </c>
    </row>
    <row r="378" spans="1:16" ht="13.5" thickBot="1" x14ac:dyDescent="0.25">
      <c r="A378" s="2" t="s">
        <v>807</v>
      </c>
      <c r="B378" s="72" t="s">
        <v>613</v>
      </c>
      <c r="C378" s="2" t="s">
        <v>60</v>
      </c>
      <c r="D378" s="4">
        <v>52170</v>
      </c>
      <c r="E378" s="4">
        <v>166719</v>
      </c>
      <c r="F378" s="4">
        <v>16006</v>
      </c>
      <c r="G378" s="4">
        <v>13049</v>
      </c>
      <c r="H378" s="4">
        <v>182</v>
      </c>
      <c r="I378" s="4">
        <v>54</v>
      </c>
      <c r="J378" s="4">
        <v>12024</v>
      </c>
      <c r="K378" s="4">
        <v>22960</v>
      </c>
      <c r="L378" s="4">
        <v>2511</v>
      </c>
      <c r="M378" s="4">
        <f t="shared" si="20"/>
        <v>233505</v>
      </c>
      <c r="N378" s="71">
        <f t="shared" si="21"/>
        <v>0.71974314740272183</v>
      </c>
      <c r="O378" s="71">
        <f t="shared" si="22"/>
        <v>3.7526164462334677</v>
      </c>
      <c r="P378" s="71">
        <f t="shared" si="23"/>
        <v>4.4758481886141457</v>
      </c>
    </row>
    <row r="379" spans="1:16" ht="13.5" thickBot="1" x14ac:dyDescent="0.25">
      <c r="A379" s="2" t="s">
        <v>809</v>
      </c>
      <c r="B379" s="72" t="s">
        <v>623</v>
      </c>
      <c r="C379" s="2" t="s">
        <v>60</v>
      </c>
      <c r="D379" s="4">
        <v>124690</v>
      </c>
      <c r="E379" s="4">
        <v>306746</v>
      </c>
      <c r="F379" s="4">
        <v>15125</v>
      </c>
      <c r="G379" s="4">
        <v>16021</v>
      </c>
      <c r="H379" s="4">
        <v>425</v>
      </c>
      <c r="I379" s="4">
        <v>7</v>
      </c>
      <c r="J379" s="4">
        <v>4100</v>
      </c>
      <c r="K379" s="4">
        <v>1200</v>
      </c>
      <c r="L379" s="4">
        <v>0</v>
      </c>
      <c r="M379" s="4">
        <f t="shared" si="20"/>
        <v>343624</v>
      </c>
      <c r="N379" s="71">
        <f t="shared" si="21"/>
        <v>4.2561552650573424E-2</v>
      </c>
      <c r="O379" s="71">
        <f t="shared" si="22"/>
        <v>2.7098564439810731</v>
      </c>
      <c r="P379" s="71">
        <f t="shared" si="23"/>
        <v>2.7558264495949958</v>
      </c>
    </row>
    <row r="380" spans="1:16" ht="13.5" thickBot="1" x14ac:dyDescent="0.25">
      <c r="A380" s="2" t="s">
        <v>811</v>
      </c>
      <c r="B380" s="72" t="s">
        <v>659</v>
      </c>
      <c r="C380" s="2" t="s">
        <v>60</v>
      </c>
      <c r="D380" s="4">
        <v>100485</v>
      </c>
      <c r="E380" s="4">
        <v>188827</v>
      </c>
      <c r="F380" s="4">
        <v>17986</v>
      </c>
      <c r="G380" s="4">
        <v>43399</v>
      </c>
      <c r="H380" s="4">
        <v>373</v>
      </c>
      <c r="I380" s="4">
        <v>15</v>
      </c>
      <c r="J380" s="4">
        <v>12659</v>
      </c>
      <c r="K380" s="4">
        <v>0</v>
      </c>
      <c r="L380" s="4">
        <v>0</v>
      </c>
      <c r="M380" s="4">
        <f t="shared" si="20"/>
        <v>263259</v>
      </c>
      <c r="N380" s="71">
        <f t="shared" si="21"/>
        <v>0.12612827785241579</v>
      </c>
      <c r="O380" s="71">
        <f t="shared" si="22"/>
        <v>2.4900432900432898</v>
      </c>
      <c r="P380" s="71">
        <f t="shared" si="23"/>
        <v>2.6198835647111509</v>
      </c>
    </row>
    <row r="381" spans="1:16" ht="13.5" thickBot="1" x14ac:dyDescent="0.25">
      <c r="A381" s="2" t="s">
        <v>813</v>
      </c>
      <c r="B381" s="72" t="s">
        <v>669</v>
      </c>
      <c r="C381" s="2" t="s">
        <v>60</v>
      </c>
      <c r="D381" s="4">
        <v>57236</v>
      </c>
      <c r="E381" s="4">
        <v>131797</v>
      </c>
      <c r="F381" s="4">
        <v>10615</v>
      </c>
      <c r="G381" s="4">
        <v>11489</v>
      </c>
      <c r="H381" s="4">
        <v>81</v>
      </c>
      <c r="I381" s="4">
        <v>10</v>
      </c>
      <c r="J381" s="4">
        <v>321414</v>
      </c>
      <c r="K381" s="4">
        <v>84787</v>
      </c>
      <c r="L381" s="4">
        <v>40700</v>
      </c>
      <c r="M381" s="4">
        <f t="shared" si="20"/>
        <v>600893</v>
      </c>
      <c r="N381" s="71">
        <f t="shared" si="21"/>
        <v>7.8082151093717238</v>
      </c>
      <c r="O381" s="71">
        <f t="shared" si="22"/>
        <v>2.6888846180725419</v>
      </c>
      <c r="P381" s="71">
        <f t="shared" si="23"/>
        <v>10.498514920679293</v>
      </c>
    </row>
    <row r="382" spans="1:16" ht="13.5" thickBot="1" x14ac:dyDescent="0.25">
      <c r="A382" s="2" t="s">
        <v>815</v>
      </c>
      <c r="B382" s="72" t="s">
        <v>677</v>
      </c>
      <c r="C382" s="2" t="s">
        <v>60</v>
      </c>
      <c r="D382" s="4">
        <v>160312</v>
      </c>
      <c r="E382" s="4">
        <v>351609</v>
      </c>
      <c r="F382" s="4">
        <v>38780</v>
      </c>
      <c r="G382" s="4">
        <v>51531</v>
      </c>
      <c r="H382" s="4">
        <v>985</v>
      </c>
      <c r="I382" s="4">
        <v>11</v>
      </c>
      <c r="J382" s="4">
        <v>10575</v>
      </c>
      <c r="K382" s="4">
        <v>14935</v>
      </c>
      <c r="L382" s="4">
        <v>4591</v>
      </c>
      <c r="M382" s="4">
        <f t="shared" si="20"/>
        <v>473017</v>
      </c>
      <c r="N382" s="71">
        <f t="shared" si="21"/>
        <v>0.18783372423773642</v>
      </c>
      <c r="O382" s="71">
        <f t="shared" si="22"/>
        <v>2.7566245820649735</v>
      </c>
      <c r="P382" s="71">
        <f t="shared" si="23"/>
        <v>2.9506025749787912</v>
      </c>
    </row>
    <row r="383" spans="1:16" ht="13.5" thickBot="1" x14ac:dyDescent="0.25">
      <c r="A383" s="2" t="s">
        <v>817</v>
      </c>
      <c r="B383" s="72" t="s">
        <v>679</v>
      </c>
      <c r="C383" s="2" t="s">
        <v>60</v>
      </c>
      <c r="D383" s="4">
        <v>59715</v>
      </c>
      <c r="E383" s="4">
        <v>125185</v>
      </c>
      <c r="F383" s="4">
        <v>6299</v>
      </c>
      <c r="G383" s="4">
        <v>7821</v>
      </c>
      <c r="H383" s="4">
        <v>209</v>
      </c>
      <c r="I383" s="4">
        <v>6</v>
      </c>
      <c r="J383" s="4">
        <v>10412</v>
      </c>
      <c r="K383" s="4">
        <v>1845</v>
      </c>
      <c r="L383" s="4">
        <v>33</v>
      </c>
      <c r="M383" s="4">
        <f t="shared" si="20"/>
        <v>151810</v>
      </c>
      <c r="N383" s="71">
        <f t="shared" si="21"/>
        <v>0.20591141254291218</v>
      </c>
      <c r="O383" s="71">
        <f t="shared" si="22"/>
        <v>2.3328309469982416</v>
      </c>
      <c r="P383" s="71">
        <f t="shared" si="23"/>
        <v>2.5422423176756257</v>
      </c>
    </row>
    <row r="384" spans="1:16" ht="13.5" thickBot="1" x14ac:dyDescent="0.25">
      <c r="A384" s="2" t="s">
        <v>819</v>
      </c>
      <c r="B384" s="72" t="s">
        <v>707</v>
      </c>
      <c r="C384" s="2" t="s">
        <v>60</v>
      </c>
      <c r="D384" s="4">
        <v>73804</v>
      </c>
      <c r="E384" s="4">
        <v>100472</v>
      </c>
      <c r="F384" s="4">
        <v>6815</v>
      </c>
      <c r="G384" s="4">
        <v>7559</v>
      </c>
      <c r="H384" s="4">
        <v>220</v>
      </c>
      <c r="I384" s="4">
        <v>8</v>
      </c>
      <c r="J384" s="4">
        <v>12314</v>
      </c>
      <c r="K384" s="4">
        <v>2638</v>
      </c>
      <c r="L384" s="4">
        <v>0</v>
      </c>
      <c r="M384" s="4">
        <f t="shared" si="20"/>
        <v>130026</v>
      </c>
      <c r="N384" s="71">
        <f t="shared" si="21"/>
        <v>0.20269904070240097</v>
      </c>
      <c r="O384" s="71">
        <f t="shared" si="22"/>
        <v>1.5560945206221886</v>
      </c>
      <c r="P384" s="71">
        <f t="shared" si="23"/>
        <v>1.7617744295702129</v>
      </c>
    </row>
    <row r="385" spans="1:16" ht="13.5" thickBot="1" x14ac:dyDescent="0.25">
      <c r="A385" s="2" t="s">
        <v>821</v>
      </c>
      <c r="B385" s="72" t="s">
        <v>719</v>
      </c>
      <c r="C385" s="2" t="s">
        <v>60</v>
      </c>
      <c r="D385" s="4">
        <v>75814</v>
      </c>
      <c r="E385" s="4">
        <v>215045</v>
      </c>
      <c r="F385" s="4">
        <v>5924</v>
      </c>
      <c r="G385" s="4">
        <v>22438</v>
      </c>
      <c r="H385" s="4">
        <v>170</v>
      </c>
      <c r="I385" s="4">
        <v>19</v>
      </c>
      <c r="J385" s="4">
        <v>23571</v>
      </c>
      <c r="K385" s="4">
        <v>3148</v>
      </c>
      <c r="L385" s="4">
        <v>0</v>
      </c>
      <c r="M385" s="4">
        <f t="shared" si="20"/>
        <v>270315</v>
      </c>
      <c r="N385" s="71">
        <f t="shared" si="21"/>
        <v>0.35267892473685597</v>
      </c>
      <c r="O385" s="71">
        <f t="shared" si="22"/>
        <v>3.210581159152663</v>
      </c>
      <c r="P385" s="71">
        <f t="shared" si="23"/>
        <v>3.5655024138022</v>
      </c>
    </row>
    <row r="386" spans="1:16" ht="13.5" thickBot="1" x14ac:dyDescent="0.25">
      <c r="A386" s="2" t="s">
        <v>823</v>
      </c>
      <c r="B386" s="72" t="s">
        <v>733</v>
      </c>
      <c r="C386" s="2" t="s">
        <v>60</v>
      </c>
      <c r="D386" s="4">
        <v>129699</v>
      </c>
      <c r="E386" s="4">
        <v>186932</v>
      </c>
      <c r="F386" s="4">
        <v>11920</v>
      </c>
      <c r="G386" s="4">
        <v>20072</v>
      </c>
      <c r="H386" s="4">
        <v>200</v>
      </c>
      <c r="I386" s="4">
        <v>8</v>
      </c>
      <c r="J386" s="4">
        <v>30723</v>
      </c>
      <c r="K386" s="4">
        <v>9000</v>
      </c>
      <c r="L386" s="4">
        <v>0</v>
      </c>
      <c r="M386" s="4">
        <f t="shared" si="20"/>
        <v>258855</v>
      </c>
      <c r="N386" s="71">
        <f t="shared" si="21"/>
        <v>0.30633235414305432</v>
      </c>
      <c r="O386" s="71">
        <f t="shared" si="22"/>
        <v>1.6879389972166323</v>
      </c>
      <c r="P386" s="71">
        <f t="shared" si="23"/>
        <v>1.9958133832951681</v>
      </c>
    </row>
    <row r="387" spans="1:16" ht="13.5" thickBot="1" x14ac:dyDescent="0.25">
      <c r="A387" s="2" t="s">
        <v>825</v>
      </c>
      <c r="B387" s="72" t="s">
        <v>750</v>
      </c>
      <c r="C387" s="2" t="s">
        <v>60</v>
      </c>
      <c r="D387" s="4">
        <v>63131</v>
      </c>
      <c r="E387" s="4">
        <v>124948</v>
      </c>
      <c r="F387" s="4">
        <v>3975</v>
      </c>
      <c r="G387" s="4">
        <v>7457</v>
      </c>
      <c r="H387" s="4">
        <v>167</v>
      </c>
      <c r="I387" s="4">
        <v>6</v>
      </c>
      <c r="J387" s="4">
        <v>43703</v>
      </c>
      <c r="K387" s="4">
        <v>11429</v>
      </c>
      <c r="L387" s="4">
        <v>761</v>
      </c>
      <c r="M387" s="4">
        <f t="shared" si="20"/>
        <v>192446</v>
      </c>
      <c r="N387" s="71">
        <f t="shared" si="21"/>
        <v>0.88544455180497694</v>
      </c>
      <c r="O387" s="71">
        <f t="shared" si="22"/>
        <v>2.1602699149387781</v>
      </c>
      <c r="P387" s="71">
        <f t="shared" si="23"/>
        <v>3.0483597598644088</v>
      </c>
    </row>
    <row r="388" spans="1:16" ht="13.5" thickBot="1" x14ac:dyDescent="0.25">
      <c r="A388" s="2" t="s">
        <v>827</v>
      </c>
      <c r="B388" s="72" t="s">
        <v>776</v>
      </c>
      <c r="C388" s="2" t="s">
        <v>60</v>
      </c>
      <c r="D388" s="4">
        <v>97396</v>
      </c>
      <c r="E388" s="4">
        <v>226130</v>
      </c>
      <c r="F388" s="4">
        <v>49292</v>
      </c>
      <c r="G388" s="4">
        <v>26886</v>
      </c>
      <c r="H388" s="4">
        <v>319</v>
      </c>
      <c r="I388" s="4">
        <v>15</v>
      </c>
      <c r="J388" s="4">
        <v>8903</v>
      </c>
      <c r="K388" s="4">
        <v>15746</v>
      </c>
      <c r="L388" s="4">
        <v>2520</v>
      </c>
      <c r="M388" s="4">
        <f t="shared" ref="M388:M396" si="24">SUM(E388:L388)</f>
        <v>329811</v>
      </c>
      <c r="N388" s="71">
        <f t="shared" ref="N388:N396" si="25">(J388+K388+L388+I388)/D388</f>
        <v>0.27910797157994166</v>
      </c>
      <c r="O388" s="71">
        <f t="shared" ref="O388:O396" si="26">(E388+F388+G388)/D388</f>
        <v>3.103905704546388</v>
      </c>
      <c r="P388" s="71">
        <f t="shared" ref="P388:P396" si="27">M388/D388</f>
        <v>3.3862889646392049</v>
      </c>
    </row>
    <row r="389" spans="1:16" ht="13.5" thickBot="1" x14ac:dyDescent="0.25">
      <c r="A389" s="2" t="s">
        <v>829</v>
      </c>
      <c r="B389" s="72" t="s">
        <v>778</v>
      </c>
      <c r="C389" s="2" t="s">
        <v>60</v>
      </c>
      <c r="D389" s="4">
        <v>72726</v>
      </c>
      <c r="E389" s="4">
        <v>99103</v>
      </c>
      <c r="F389" s="4">
        <v>5661</v>
      </c>
      <c r="G389" s="4">
        <v>3576</v>
      </c>
      <c r="H389" s="4">
        <v>118</v>
      </c>
      <c r="I389" s="4">
        <v>4</v>
      </c>
      <c r="J389" s="4">
        <v>43703</v>
      </c>
      <c r="K389" s="4">
        <v>11429</v>
      </c>
      <c r="L389" s="4">
        <v>761</v>
      </c>
      <c r="M389" s="4">
        <f t="shared" si="24"/>
        <v>164355</v>
      </c>
      <c r="N389" s="71">
        <f t="shared" si="25"/>
        <v>0.76859720045100788</v>
      </c>
      <c r="O389" s="71">
        <f t="shared" si="26"/>
        <v>1.489701069768721</v>
      </c>
      <c r="P389" s="71">
        <f t="shared" si="27"/>
        <v>2.2599207986139755</v>
      </c>
    </row>
    <row r="390" spans="1:16" ht="13.5" thickBot="1" x14ac:dyDescent="0.25">
      <c r="A390" s="2" t="s">
        <v>831</v>
      </c>
      <c r="B390" s="72" t="s">
        <v>780</v>
      </c>
      <c r="C390" s="2" t="s">
        <v>60</v>
      </c>
      <c r="D390" s="4">
        <v>80980</v>
      </c>
      <c r="E390" s="4">
        <v>165687</v>
      </c>
      <c r="F390" s="4">
        <v>18783</v>
      </c>
      <c r="G390" s="4">
        <v>31314</v>
      </c>
      <c r="H390" s="4">
        <v>197</v>
      </c>
      <c r="I390" s="4">
        <v>19</v>
      </c>
      <c r="J390" s="4">
        <v>271687</v>
      </c>
      <c r="K390" s="4">
        <v>355012</v>
      </c>
      <c r="L390" s="4">
        <v>33537</v>
      </c>
      <c r="M390" s="4">
        <f t="shared" si="24"/>
        <v>876236</v>
      </c>
      <c r="N390" s="71">
        <f t="shared" si="25"/>
        <v>8.15330945912571</v>
      </c>
      <c r="O390" s="71">
        <f t="shared" si="26"/>
        <v>2.6646579402321562</v>
      </c>
      <c r="P390" s="71">
        <f t="shared" si="27"/>
        <v>10.820400098789825</v>
      </c>
    </row>
    <row r="391" spans="1:16" ht="13.5" thickBot="1" x14ac:dyDescent="0.25">
      <c r="A391" s="2" t="s">
        <v>833</v>
      </c>
      <c r="B391" s="72" t="s">
        <v>804</v>
      </c>
      <c r="C391" s="2" t="s">
        <v>60</v>
      </c>
      <c r="D391" s="4">
        <v>134056</v>
      </c>
      <c r="E391" s="4">
        <v>230650</v>
      </c>
      <c r="F391" s="4">
        <v>27499</v>
      </c>
      <c r="G391" s="4">
        <v>18989</v>
      </c>
      <c r="H391" s="4">
        <v>439</v>
      </c>
      <c r="I391" s="4">
        <v>8</v>
      </c>
      <c r="J391" s="4">
        <v>29435</v>
      </c>
      <c r="K391" s="4">
        <v>10149</v>
      </c>
      <c r="L391" s="4">
        <v>0</v>
      </c>
      <c r="M391" s="4">
        <f t="shared" si="24"/>
        <v>317169</v>
      </c>
      <c r="N391" s="71">
        <f t="shared" si="25"/>
        <v>0.29533926120427284</v>
      </c>
      <c r="O391" s="71">
        <f t="shared" si="26"/>
        <v>2.0673300710150984</v>
      </c>
      <c r="P391" s="71">
        <f t="shared" si="27"/>
        <v>2.365944083069762</v>
      </c>
    </row>
    <row r="392" spans="1:16" ht="13.5" thickBot="1" x14ac:dyDescent="0.25">
      <c r="A392" s="2" t="s">
        <v>835</v>
      </c>
      <c r="B392" s="72" t="s">
        <v>806</v>
      </c>
      <c r="C392" s="2" t="s">
        <v>60</v>
      </c>
      <c r="D392" s="4">
        <v>71997</v>
      </c>
      <c r="E392" s="4">
        <v>107920</v>
      </c>
      <c r="F392" s="4">
        <v>6081</v>
      </c>
      <c r="G392" s="4">
        <v>4272</v>
      </c>
      <c r="H392" s="4">
        <v>198</v>
      </c>
      <c r="I392" s="4">
        <v>8</v>
      </c>
      <c r="J392" s="4">
        <v>21915</v>
      </c>
      <c r="K392" s="4">
        <v>10298</v>
      </c>
      <c r="L392" s="4">
        <v>570</v>
      </c>
      <c r="M392" s="4">
        <f t="shared" si="24"/>
        <v>151262</v>
      </c>
      <c r="N392" s="71">
        <f t="shared" si="25"/>
        <v>0.45544953261941468</v>
      </c>
      <c r="O392" s="71">
        <f t="shared" si="26"/>
        <v>1.6427490034306984</v>
      </c>
      <c r="P392" s="71">
        <f t="shared" si="27"/>
        <v>2.1009486506382209</v>
      </c>
    </row>
    <row r="393" spans="1:16" ht="13.5" thickBot="1" x14ac:dyDescent="0.25">
      <c r="A393" s="2" t="s">
        <v>837</v>
      </c>
      <c r="B393" s="72" t="s">
        <v>814</v>
      </c>
      <c r="C393" s="2" t="s">
        <v>60</v>
      </c>
      <c r="D393" s="4">
        <v>71755</v>
      </c>
      <c r="E393" s="4">
        <v>147676</v>
      </c>
      <c r="F393" s="4">
        <v>17801</v>
      </c>
      <c r="G393" s="4">
        <v>39950</v>
      </c>
      <c r="H393" s="4">
        <v>503</v>
      </c>
      <c r="I393" s="4">
        <v>40</v>
      </c>
      <c r="J393" s="4">
        <v>34888</v>
      </c>
      <c r="K393" s="4">
        <v>24321</v>
      </c>
      <c r="L393" s="4">
        <v>5498</v>
      </c>
      <c r="M393" s="4">
        <f t="shared" si="24"/>
        <v>270677</v>
      </c>
      <c r="N393" s="71">
        <f t="shared" si="25"/>
        <v>0.90233433210229252</v>
      </c>
      <c r="O393" s="71">
        <f t="shared" si="26"/>
        <v>2.8628945718068426</v>
      </c>
      <c r="P393" s="71">
        <f t="shared" si="27"/>
        <v>3.772238868371542</v>
      </c>
    </row>
    <row r="394" spans="1:16" ht="13.5" thickBot="1" x14ac:dyDescent="0.25">
      <c r="A394" s="2" t="s">
        <v>839</v>
      </c>
      <c r="B394" s="72" t="s">
        <v>834</v>
      </c>
      <c r="C394" s="2" t="s">
        <v>60</v>
      </c>
      <c r="D394" s="4">
        <v>89779</v>
      </c>
      <c r="E394" s="4">
        <v>173112</v>
      </c>
      <c r="F394" s="4">
        <v>19564</v>
      </c>
      <c r="G394" s="4">
        <v>22280</v>
      </c>
      <c r="H394" s="4">
        <v>230</v>
      </c>
      <c r="I394" s="4">
        <v>14</v>
      </c>
      <c r="J394" s="4">
        <v>63455</v>
      </c>
      <c r="K394" s="4">
        <v>18779</v>
      </c>
      <c r="L394" s="4">
        <v>0</v>
      </c>
      <c r="M394" s="4">
        <f t="shared" si="24"/>
        <v>297434</v>
      </c>
      <c r="N394" s="71">
        <f t="shared" si="25"/>
        <v>0.91611624099176869</v>
      </c>
      <c r="O394" s="71">
        <f t="shared" si="26"/>
        <v>2.3942792858018023</v>
      </c>
      <c r="P394" s="71">
        <f t="shared" si="27"/>
        <v>3.312957373105069</v>
      </c>
    </row>
    <row r="395" spans="1:16" ht="13.5" thickBot="1" x14ac:dyDescent="0.25">
      <c r="A395" s="2" t="s">
        <v>841</v>
      </c>
      <c r="B395" s="72" t="s">
        <v>836</v>
      </c>
      <c r="C395" s="2" t="s">
        <v>60</v>
      </c>
      <c r="D395" s="4">
        <v>84094</v>
      </c>
      <c r="E395" s="4">
        <v>123626</v>
      </c>
      <c r="F395" s="4">
        <v>11393</v>
      </c>
      <c r="G395" s="4">
        <v>13492</v>
      </c>
      <c r="H395" s="4">
        <v>228</v>
      </c>
      <c r="I395" s="4">
        <v>20</v>
      </c>
      <c r="J395" s="4">
        <v>36496</v>
      </c>
      <c r="K395" s="4">
        <v>38101</v>
      </c>
      <c r="L395" s="4">
        <v>10463</v>
      </c>
      <c r="M395" s="4">
        <f t="shared" si="24"/>
        <v>233819</v>
      </c>
      <c r="N395" s="71">
        <f t="shared" si="25"/>
        <v>1.0117249744333723</v>
      </c>
      <c r="O395" s="71">
        <f t="shared" si="26"/>
        <v>1.7660118438889814</v>
      </c>
      <c r="P395" s="71">
        <f t="shared" si="27"/>
        <v>2.7804480700168859</v>
      </c>
    </row>
    <row r="396" spans="1:16" ht="13.5" thickBot="1" x14ac:dyDescent="0.25">
      <c r="A396" s="2" t="s">
        <v>843</v>
      </c>
      <c r="B396" s="72" t="s">
        <v>842</v>
      </c>
      <c r="C396" s="2" t="s">
        <v>60</v>
      </c>
      <c r="D396" s="4">
        <v>82974</v>
      </c>
      <c r="E396" s="4">
        <v>223927</v>
      </c>
      <c r="F396" s="4">
        <v>17495</v>
      </c>
      <c r="G396" s="4">
        <v>28493</v>
      </c>
      <c r="H396" s="4">
        <v>219</v>
      </c>
      <c r="I396" s="4">
        <v>10</v>
      </c>
      <c r="J396" s="4">
        <v>51808</v>
      </c>
      <c r="K396" s="4">
        <v>27738</v>
      </c>
      <c r="L396" s="4">
        <v>5703</v>
      </c>
      <c r="M396" s="4">
        <f t="shared" si="24"/>
        <v>355393</v>
      </c>
      <c r="N396" s="71">
        <f t="shared" si="25"/>
        <v>1.0275387470773978</v>
      </c>
      <c r="O396" s="71">
        <f t="shared" si="26"/>
        <v>3.253006966037554</v>
      </c>
      <c r="P396" s="71">
        <f t="shared" si="27"/>
        <v>4.2831850941258711</v>
      </c>
    </row>
    <row r="397" spans="1:16" ht="18.75" thickBot="1" x14ac:dyDescent="0.3">
      <c r="B397" s="80" t="s">
        <v>2623</v>
      </c>
      <c r="C397" s="91">
        <f>SUBTOTAL(103,Table2[Library Class])</f>
        <v>393</v>
      </c>
      <c r="E397" s="92"/>
      <c r="F397" s="92"/>
      <c r="G397" s="92"/>
      <c r="H397" s="92"/>
      <c r="I397" s="92"/>
      <c r="J397" s="92"/>
      <c r="K397" s="92"/>
      <c r="L397" s="92"/>
      <c r="M397" s="92"/>
      <c r="N397" s="76"/>
      <c r="O397" s="76"/>
      <c r="P397" s="76"/>
    </row>
    <row r="398" spans="1:16" ht="18.75" thickBot="1" x14ac:dyDescent="0.3">
      <c r="C398" s="83" t="s">
        <v>2624</v>
      </c>
      <c r="D398" s="97">
        <f>SUBTOTAL(109,Table2[Total Population Served])</f>
        <v>9843022</v>
      </c>
      <c r="E398" s="97">
        <f>SUBTOTAL(109,Table2[Number of Print Materials])</f>
        <v>27199724</v>
      </c>
      <c r="F398" s="97">
        <f>SUBTOTAL(109,Table2[Audio (Physical Units)])</f>
        <v>1933835</v>
      </c>
      <c r="G398" s="97">
        <f>SUBTOTAL(109,Table2[Video (Physical Units)])</f>
        <v>2753050</v>
      </c>
      <c r="H398" s="97">
        <f>SUBTOTAL(109,Table2[Subscriptions (Non-electronic)])</f>
        <v>43472</v>
      </c>
      <c r="I398" s="97">
        <f>SUBTOTAL(109,Table2[Total Electronic Collections])</f>
        <v>3272</v>
      </c>
      <c r="J398" s="97">
        <f>SUBTOTAL(109,Table2[Electronic Books (E-Books)])</f>
        <v>10840573</v>
      </c>
      <c r="K398" s="97">
        <f>SUBTOTAL(109,Table2[Audio (Downloadable Units)])</f>
        <v>6361127</v>
      </c>
      <c r="L398" s="97">
        <f>SUBTOTAL(109,Table2[Video (Downloadable Units)])</f>
        <v>982852</v>
      </c>
      <c r="M398" s="98">
        <f>SUBTOTAL(109,Table2[Total Collection (Physical / Electronic Units)])</f>
        <v>50117905</v>
      </c>
      <c r="N398" s="93"/>
      <c r="O398" s="93"/>
      <c r="P398" s="93"/>
    </row>
    <row r="399" spans="1:16" ht="18.75" thickBot="1" x14ac:dyDescent="0.3">
      <c r="C399" s="82" t="s">
        <v>2625</v>
      </c>
      <c r="D399" s="95"/>
      <c r="E399" s="95">
        <f>SUBTOTAL(101,Table2[Number of Print Materials])</f>
        <v>69210.493638676839</v>
      </c>
      <c r="F399" s="95">
        <f>SUBTOTAL(101,Table2[Audio (Physical Units)])</f>
        <v>4920.6997455470737</v>
      </c>
      <c r="G399" s="95">
        <f>SUBTOTAL(101,Table2[Video (Physical Units)])</f>
        <v>7005.2162849872775</v>
      </c>
      <c r="H399" s="95">
        <f>SUBTOTAL(101,Table2[Subscriptions (Non-electronic)])</f>
        <v>110.61577608142494</v>
      </c>
      <c r="I399" s="95">
        <f>SUBTOTAL(101,Table2[Total Electronic Collections])</f>
        <v>8.3256997455470731</v>
      </c>
      <c r="J399" s="95">
        <f>SUBTOTAL(101,Table2[Electronic Books (E-Books)])</f>
        <v>27584.155216284988</v>
      </c>
      <c r="K399" s="95">
        <f>SUBTOTAL(101,Table2[Audio (Downloadable Units)])</f>
        <v>16186.073791348601</v>
      </c>
      <c r="L399" s="95">
        <f>SUBTOTAL(101,Table2[Video (Downloadable Units)])</f>
        <v>2500.8956743002545</v>
      </c>
      <c r="M399" s="95">
        <f>SUBTOTAL(101,Table2[Total Collection (Physical / Electronic Units)])</f>
        <v>127526.475826972</v>
      </c>
      <c r="N399" s="95">
        <f>(J398+K398+L398+I398)/D398</f>
        <v>1.8477886161384176</v>
      </c>
      <c r="O399" s="95">
        <f>(E398+F398+G398)/D398</f>
        <v>3.2395141451476994</v>
      </c>
      <c r="P399" s="96">
        <f>M398/D398</f>
        <v>5.0917192910876352</v>
      </c>
    </row>
    <row r="402" spans="13:13" x14ac:dyDescent="0.2">
      <c r="M402" s="81"/>
    </row>
  </sheetData>
  <sortState xmlns:xlrd2="http://schemas.microsoft.com/office/spreadsheetml/2017/richdata2" ref="B4:P396">
    <sortCondition ref="B4"/>
  </sortState>
  <hyperlinks>
    <hyperlink ref="G1" location="'Table of Contents'!A1" display="Return to Table of Contents" xr:uid="{7888A9FB-213F-4F98-B705-D4606146447F}"/>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A568D2"/>
  </sheetPr>
  <dimension ref="A1:AF410"/>
  <sheetViews>
    <sheetView zoomScaleNormal="100" workbookViewId="0">
      <pane ySplit="3" topLeftCell="A4" activePane="bottomLeft" state="frozen"/>
      <selection activeCell="N42" sqref="N42"/>
      <selection pane="bottomLeft" activeCell="E1" sqref="E1"/>
    </sheetView>
  </sheetViews>
  <sheetFormatPr defaultRowHeight="12.75" x14ac:dyDescent="0.2"/>
  <cols>
    <col min="2" max="2" width="46.5703125" bestFit="1" customWidth="1"/>
    <col min="3" max="3" width="26.7109375" bestFit="1" customWidth="1"/>
    <col min="4" max="7" width="20.7109375" customWidth="1"/>
    <col min="8" max="8" width="20.7109375" style="71" customWidth="1"/>
    <col min="9" max="9" width="21.7109375" style="71" customWidth="1"/>
    <col min="10" max="17" width="20.7109375" customWidth="1"/>
    <col min="18" max="18" width="20.7109375" style="71" customWidth="1"/>
    <col min="19" max="19" width="20.7109375" customWidth="1"/>
    <col min="20" max="20" width="20.7109375" style="71" customWidth="1"/>
    <col min="21" max="28" width="20.7109375" customWidth="1"/>
    <col min="29" max="29" width="20.7109375" style="109" customWidth="1"/>
    <col min="30" max="32" width="20.7109375" customWidth="1"/>
  </cols>
  <sheetData>
    <row r="1" spans="1:32" ht="18.75" x14ac:dyDescent="0.3">
      <c r="B1" s="312" t="s">
        <v>3576</v>
      </c>
      <c r="D1" s="310" t="s">
        <v>2610</v>
      </c>
      <c r="G1" s="8" t="s">
        <v>1844</v>
      </c>
      <c r="H1"/>
      <c r="I1"/>
      <c r="J1" s="311"/>
    </row>
    <row r="3" spans="1:32" s="5" customFormat="1" ht="70.900000000000006" customHeight="1" thickBot="1" x14ac:dyDescent="0.25">
      <c r="A3" s="74" t="s">
        <v>1</v>
      </c>
      <c r="B3" s="74" t="s">
        <v>0</v>
      </c>
      <c r="C3" s="74" t="s">
        <v>4</v>
      </c>
      <c r="D3" s="74" t="s">
        <v>854</v>
      </c>
      <c r="E3" s="74" t="s">
        <v>855</v>
      </c>
      <c r="F3" s="74" t="s">
        <v>856</v>
      </c>
      <c r="G3" s="74" t="s">
        <v>857</v>
      </c>
      <c r="H3" s="75" t="s">
        <v>2657</v>
      </c>
      <c r="I3" s="75" t="s">
        <v>2658</v>
      </c>
      <c r="J3" s="75" t="s">
        <v>2627</v>
      </c>
      <c r="K3" s="111" t="s">
        <v>2628</v>
      </c>
      <c r="L3" s="74" t="s">
        <v>867</v>
      </c>
      <c r="M3" s="74" t="s">
        <v>870</v>
      </c>
      <c r="N3" s="74" t="s">
        <v>868</v>
      </c>
      <c r="O3" s="74" t="s">
        <v>869</v>
      </c>
      <c r="P3" s="74" t="s">
        <v>865</v>
      </c>
      <c r="Q3" s="74" t="s">
        <v>866</v>
      </c>
      <c r="R3" s="111" t="s">
        <v>2629</v>
      </c>
      <c r="S3" s="74" t="s">
        <v>858</v>
      </c>
      <c r="T3" s="111" t="s">
        <v>2630</v>
      </c>
      <c r="U3" s="74" t="s">
        <v>859</v>
      </c>
      <c r="V3" s="74" t="s">
        <v>860</v>
      </c>
      <c r="W3" s="74" t="s">
        <v>2631</v>
      </c>
      <c r="X3" s="74" t="s">
        <v>871</v>
      </c>
      <c r="Y3" s="112" t="s">
        <v>2633</v>
      </c>
      <c r="Z3" s="112" t="s">
        <v>2634</v>
      </c>
      <c r="AA3" s="74" t="s">
        <v>861</v>
      </c>
      <c r="AB3" s="74" t="s">
        <v>862</v>
      </c>
      <c r="AC3" s="113" t="s">
        <v>863</v>
      </c>
      <c r="AD3" s="74" t="s">
        <v>853</v>
      </c>
      <c r="AE3" s="74" t="s">
        <v>864</v>
      </c>
      <c r="AF3" s="74" t="s">
        <v>844</v>
      </c>
    </row>
    <row r="4" spans="1:32" ht="13.5" thickBot="1" x14ac:dyDescent="0.25">
      <c r="A4" s="2" t="s">
        <v>40</v>
      </c>
      <c r="B4" s="1" t="s">
        <v>39</v>
      </c>
      <c r="C4" s="2" t="s">
        <v>19</v>
      </c>
      <c r="D4" s="4">
        <v>2124</v>
      </c>
      <c r="E4" s="4">
        <v>12031</v>
      </c>
      <c r="F4" s="4">
        <v>859</v>
      </c>
      <c r="G4" s="4">
        <v>15014</v>
      </c>
      <c r="H4" s="100">
        <f>Table3[[#This Row],[Circulation of Children''s Materials]]/Table3[[#This Row],[Total Population Served]]</f>
        <v>1.6529182879377431</v>
      </c>
      <c r="I4" s="100">
        <f>Table3[[#This Row],[Circulation of Electronic Materials]]/Table3[[#This Row],[Total Population Served]]</f>
        <v>0.6684824902723735</v>
      </c>
      <c r="J4" s="100">
        <f t="shared" ref="J4:J67" si="0">G4/AF4</f>
        <v>11.684046692607003</v>
      </c>
      <c r="K4" s="100">
        <f t="shared" ref="K4:K67" si="1">G4/AE4</f>
        <v>8.2313596491228065</v>
      </c>
      <c r="L4" s="102">
        <v>1342</v>
      </c>
      <c r="M4" s="4">
        <v>2201</v>
      </c>
      <c r="N4" s="4">
        <v>14155</v>
      </c>
      <c r="O4" s="4">
        <v>16356</v>
      </c>
      <c r="P4" s="4">
        <v>15572</v>
      </c>
      <c r="Q4" s="4">
        <v>54625</v>
      </c>
      <c r="R4" s="100">
        <f t="shared" ref="R4:R67" si="2">Q4/AF4</f>
        <v>42.509727626459146</v>
      </c>
      <c r="S4" s="77">
        <v>150</v>
      </c>
      <c r="T4" s="71">
        <f>S4/AF4</f>
        <v>0.11673151750972763</v>
      </c>
      <c r="U4" s="4">
        <v>377</v>
      </c>
      <c r="V4" s="4">
        <v>715</v>
      </c>
      <c r="W4" s="4">
        <v>20982</v>
      </c>
      <c r="X4" s="77">
        <v>5702</v>
      </c>
      <c r="Y4" s="101">
        <f t="shared" ref="Y4:Y67" si="3">W4/AF4</f>
        <v>16.328404669260699</v>
      </c>
      <c r="Z4" s="101">
        <f t="shared" ref="Z4:Z67" si="4">W4/AE4</f>
        <v>11.503289473684211</v>
      </c>
      <c r="AA4" s="4">
        <v>2055</v>
      </c>
      <c r="AB4" s="2" t="s">
        <v>872</v>
      </c>
      <c r="AC4" s="106">
        <v>3416</v>
      </c>
      <c r="AD4" s="4">
        <v>70197</v>
      </c>
      <c r="AE4" s="4">
        <v>1824</v>
      </c>
      <c r="AF4" s="4">
        <v>1285</v>
      </c>
    </row>
    <row r="5" spans="1:32" ht="13.5" thickBot="1" x14ac:dyDescent="0.25">
      <c r="A5" s="2" t="s">
        <v>64</v>
      </c>
      <c r="B5" s="1" t="s">
        <v>63</v>
      </c>
      <c r="C5" s="2" t="s">
        <v>19</v>
      </c>
      <c r="D5" s="4">
        <v>6165</v>
      </c>
      <c r="E5" s="4">
        <v>2054</v>
      </c>
      <c r="F5" s="4">
        <v>259</v>
      </c>
      <c r="G5" s="4">
        <v>8478</v>
      </c>
      <c r="H5" s="100">
        <f>Table3[[#This Row],[Circulation of Children''s Materials]]/Table3[[#This Row],[Total Population Served]]</f>
        <v>1.8980911330049262</v>
      </c>
      <c r="I5" s="100">
        <f>Table3[[#This Row],[Circulation of Electronic Materials]]/Table3[[#This Row],[Total Population Served]]</f>
        <v>7.9741379310344834E-2</v>
      </c>
      <c r="J5" s="100">
        <f t="shared" si="0"/>
        <v>2.6102216748768474</v>
      </c>
      <c r="K5" s="100">
        <f t="shared" si="1"/>
        <v>13.351181102362204</v>
      </c>
      <c r="L5" s="102">
        <v>0</v>
      </c>
      <c r="M5" s="4">
        <v>259</v>
      </c>
      <c r="N5" s="4">
        <v>8219</v>
      </c>
      <c r="O5" s="4">
        <v>8478</v>
      </c>
      <c r="P5" s="4">
        <v>10675</v>
      </c>
      <c r="Q5" s="4">
        <v>16759</v>
      </c>
      <c r="R5" s="100">
        <f t="shared" si="2"/>
        <v>5.159790640394089</v>
      </c>
      <c r="S5" s="77">
        <v>492</v>
      </c>
      <c r="T5" s="71">
        <f>S5/AF5</f>
        <v>0.15147783251231528</v>
      </c>
      <c r="U5" s="4">
        <v>75</v>
      </c>
      <c r="V5" s="4">
        <v>68</v>
      </c>
      <c r="W5" s="4">
        <v>13763</v>
      </c>
      <c r="X5" s="78" t="s">
        <v>16</v>
      </c>
      <c r="Y5" s="101">
        <f t="shared" si="3"/>
        <v>4.2373768472906406</v>
      </c>
      <c r="Z5" s="101">
        <f t="shared" si="4"/>
        <v>21.674015748031497</v>
      </c>
      <c r="AA5" s="4">
        <v>4686</v>
      </c>
      <c r="AB5" s="2" t="s">
        <v>872</v>
      </c>
      <c r="AC5" s="106">
        <v>914</v>
      </c>
      <c r="AD5" s="4">
        <v>27434</v>
      </c>
      <c r="AE5" s="4">
        <v>635</v>
      </c>
      <c r="AF5" s="4">
        <v>3248</v>
      </c>
    </row>
    <row r="6" spans="1:32" ht="13.5" thickBot="1" x14ac:dyDescent="0.25">
      <c r="A6" s="2" t="s">
        <v>88</v>
      </c>
      <c r="B6" s="1" t="s">
        <v>87</v>
      </c>
      <c r="C6" s="2" t="s">
        <v>19</v>
      </c>
      <c r="D6" s="4">
        <v>5523</v>
      </c>
      <c r="E6" s="4">
        <v>6498</v>
      </c>
      <c r="F6" s="4">
        <v>2327</v>
      </c>
      <c r="G6" s="4">
        <v>14348</v>
      </c>
      <c r="H6" s="100">
        <f>Table3[[#This Row],[Circulation of Children''s Materials]]/Table3[[#This Row],[Total Population Served]]</f>
        <v>8.4063926940639266</v>
      </c>
      <c r="I6" s="100">
        <f>Table3[[#This Row],[Circulation of Electronic Materials]]/Table3[[#This Row],[Total Population Served]]</f>
        <v>3.5418569254185694</v>
      </c>
      <c r="J6" s="100">
        <f t="shared" si="0"/>
        <v>21.838660578386605</v>
      </c>
      <c r="K6" s="100">
        <f t="shared" si="1"/>
        <v>6.9113680154142578</v>
      </c>
      <c r="L6" s="102">
        <v>0</v>
      </c>
      <c r="M6" s="4">
        <v>2327</v>
      </c>
      <c r="N6" s="4">
        <v>12021</v>
      </c>
      <c r="O6" s="4">
        <v>14348</v>
      </c>
      <c r="P6" s="4">
        <v>17232</v>
      </c>
      <c r="Q6" s="4">
        <v>24874</v>
      </c>
      <c r="R6" s="100">
        <f t="shared" si="2"/>
        <v>37.859969558599694</v>
      </c>
      <c r="S6" s="105" t="s">
        <v>2632</v>
      </c>
      <c r="T6" s="110">
        <v>0</v>
      </c>
      <c r="U6" s="77">
        <v>0</v>
      </c>
      <c r="V6" s="4">
        <v>128</v>
      </c>
      <c r="W6" s="4">
        <v>14822</v>
      </c>
      <c r="X6" s="78" t="s">
        <v>16</v>
      </c>
      <c r="Y6" s="101">
        <f t="shared" si="3"/>
        <v>22.560121765601217</v>
      </c>
      <c r="Z6" s="101">
        <f t="shared" si="4"/>
        <v>7.1396917148362231</v>
      </c>
      <c r="AA6" s="77">
        <v>2866</v>
      </c>
      <c r="AB6" s="2" t="s">
        <v>872</v>
      </c>
      <c r="AC6" s="108" t="s">
        <v>2632</v>
      </c>
      <c r="AD6" s="4">
        <v>42106</v>
      </c>
      <c r="AE6" s="4">
        <v>2076</v>
      </c>
      <c r="AF6" s="4">
        <v>657</v>
      </c>
    </row>
    <row r="7" spans="1:32" ht="13.5" thickBot="1" x14ac:dyDescent="0.25">
      <c r="A7" s="2" t="s">
        <v>90</v>
      </c>
      <c r="B7" s="1" t="s">
        <v>89</v>
      </c>
      <c r="C7" s="2" t="s">
        <v>19</v>
      </c>
      <c r="D7" s="4">
        <v>6300</v>
      </c>
      <c r="E7" s="4">
        <v>21802</v>
      </c>
      <c r="F7" s="4">
        <v>1800</v>
      </c>
      <c r="G7" s="4">
        <v>29902</v>
      </c>
      <c r="H7" s="100">
        <f>Table3[[#This Row],[Circulation of Children''s Materials]]/Table3[[#This Row],[Total Population Served]]</f>
        <v>1.6715309100557176</v>
      </c>
      <c r="I7" s="100">
        <f>Table3[[#This Row],[Circulation of Electronic Materials]]/Table3[[#This Row],[Total Population Served]]</f>
        <v>0.47758026001591936</v>
      </c>
      <c r="J7" s="100">
        <f t="shared" si="0"/>
        <v>7.9336694083311219</v>
      </c>
      <c r="K7" s="100">
        <f t="shared" si="1"/>
        <v>35.303423848878396</v>
      </c>
      <c r="L7" s="102">
        <v>28000</v>
      </c>
      <c r="M7" s="4">
        <v>29800</v>
      </c>
      <c r="N7" s="4">
        <v>28102</v>
      </c>
      <c r="O7" s="4">
        <v>57902</v>
      </c>
      <c r="P7" s="4">
        <v>21243</v>
      </c>
      <c r="Q7" s="4">
        <v>28000</v>
      </c>
      <c r="R7" s="100">
        <f t="shared" si="2"/>
        <v>7.4290262669143008</v>
      </c>
      <c r="S7" s="77">
        <v>600</v>
      </c>
      <c r="T7" s="71">
        <f t="shared" ref="T7:T23" si="5">S7/AF7</f>
        <v>0.15919342000530645</v>
      </c>
      <c r="U7" s="4">
        <v>1130</v>
      </c>
      <c r="V7" s="4">
        <v>1823</v>
      </c>
      <c r="W7" s="4">
        <v>34066</v>
      </c>
      <c r="X7" s="77">
        <v>11000</v>
      </c>
      <c r="Y7" s="101">
        <f t="shared" si="3"/>
        <v>9.0384717431679498</v>
      </c>
      <c r="Z7" s="101">
        <f t="shared" si="4"/>
        <v>40.219598583234948</v>
      </c>
      <c r="AA7" s="4">
        <v>6976</v>
      </c>
      <c r="AB7" s="2" t="s">
        <v>872</v>
      </c>
      <c r="AC7" s="106">
        <v>3500</v>
      </c>
      <c r="AD7" s="4">
        <v>49243</v>
      </c>
      <c r="AE7" s="4">
        <v>847</v>
      </c>
      <c r="AF7" s="4">
        <v>3769</v>
      </c>
    </row>
    <row r="8" spans="1:32" ht="13.5" thickBot="1" x14ac:dyDescent="0.25">
      <c r="A8" s="2" t="s">
        <v>94</v>
      </c>
      <c r="B8" s="1" t="s">
        <v>93</v>
      </c>
      <c r="C8" s="2" t="s">
        <v>19</v>
      </c>
      <c r="D8" s="4">
        <v>1999</v>
      </c>
      <c r="E8" s="4">
        <v>6447</v>
      </c>
      <c r="F8" s="4">
        <v>767</v>
      </c>
      <c r="G8" s="4">
        <v>9213</v>
      </c>
      <c r="H8" s="100">
        <f>Table3[[#This Row],[Circulation of Children''s Materials]]/Table3[[#This Row],[Total Population Served]]</f>
        <v>0.63460317460317461</v>
      </c>
      <c r="I8" s="100">
        <f>Table3[[#This Row],[Circulation of Electronic Materials]]/Table3[[#This Row],[Total Population Served]]</f>
        <v>0.24349206349206348</v>
      </c>
      <c r="J8" s="100">
        <f t="shared" si="0"/>
        <v>2.9247619047619047</v>
      </c>
      <c r="K8" s="100">
        <f t="shared" si="1"/>
        <v>4.2261467889908255</v>
      </c>
      <c r="L8" s="103" t="s">
        <v>2632</v>
      </c>
      <c r="M8" s="4">
        <v>767</v>
      </c>
      <c r="N8" s="4">
        <v>8446</v>
      </c>
      <c r="O8" s="4">
        <v>9213</v>
      </c>
      <c r="P8" s="4">
        <v>15705</v>
      </c>
      <c r="Q8" s="4">
        <v>17105</v>
      </c>
      <c r="R8" s="100">
        <f t="shared" si="2"/>
        <v>5.4301587301587304</v>
      </c>
      <c r="S8" s="77">
        <v>156</v>
      </c>
      <c r="T8" s="71">
        <f t="shared" si="5"/>
        <v>4.9523809523809526E-2</v>
      </c>
      <c r="U8" s="4">
        <v>780</v>
      </c>
      <c r="V8" s="4">
        <v>945</v>
      </c>
      <c r="W8" s="4">
        <v>4194</v>
      </c>
      <c r="X8" s="78" t="s">
        <v>16</v>
      </c>
      <c r="Y8" s="101">
        <f t="shared" si="3"/>
        <v>1.3314285714285714</v>
      </c>
      <c r="Z8" s="101">
        <f t="shared" si="4"/>
        <v>1.9238532110091744</v>
      </c>
      <c r="AA8" s="4">
        <v>1048</v>
      </c>
      <c r="AB8" s="2" t="s">
        <v>872</v>
      </c>
      <c r="AC8" s="106">
        <v>83</v>
      </c>
      <c r="AD8" s="4">
        <v>32810</v>
      </c>
      <c r="AE8" s="4">
        <v>2180</v>
      </c>
      <c r="AF8" s="4">
        <v>3150</v>
      </c>
    </row>
    <row r="9" spans="1:32" ht="13.5" thickBot="1" x14ac:dyDescent="0.25">
      <c r="A9" s="2" t="s">
        <v>98</v>
      </c>
      <c r="B9" s="1" t="s">
        <v>97</v>
      </c>
      <c r="C9" s="2" t="s">
        <v>19</v>
      </c>
      <c r="D9" s="4">
        <v>10126</v>
      </c>
      <c r="E9" s="4">
        <v>38027</v>
      </c>
      <c r="F9" s="4">
        <v>7435</v>
      </c>
      <c r="G9" s="4">
        <v>55588</v>
      </c>
      <c r="H9" s="100">
        <f>Table3[[#This Row],[Circulation of Children''s Materials]]/Table3[[#This Row],[Total Population Served]]</f>
        <v>2.6570453949094728</v>
      </c>
      <c r="I9" s="100">
        <f>Table3[[#This Row],[Circulation of Electronic Materials]]/Table3[[#This Row],[Total Population Served]]</f>
        <v>1.9509315140383101</v>
      </c>
      <c r="J9" s="100">
        <f t="shared" si="0"/>
        <v>14.586197848333772</v>
      </c>
      <c r="K9" s="100">
        <f t="shared" si="1"/>
        <v>17.920051579626048</v>
      </c>
      <c r="L9" s="102">
        <v>5498</v>
      </c>
      <c r="M9" s="4">
        <v>12933</v>
      </c>
      <c r="N9" s="4">
        <v>48153</v>
      </c>
      <c r="O9" s="4">
        <v>61086</v>
      </c>
      <c r="P9" s="4">
        <v>25353</v>
      </c>
      <c r="Q9" s="4">
        <v>19239</v>
      </c>
      <c r="R9" s="100">
        <f t="shared" si="2"/>
        <v>5.0482812909997374</v>
      </c>
      <c r="S9" s="77">
        <v>6578</v>
      </c>
      <c r="T9" s="71">
        <f t="shared" si="5"/>
        <v>1.7260561532406193</v>
      </c>
      <c r="U9" s="77">
        <v>1886</v>
      </c>
      <c r="V9" s="4">
        <v>2557</v>
      </c>
      <c r="W9" s="4">
        <v>59037</v>
      </c>
      <c r="X9" s="77">
        <v>16679</v>
      </c>
      <c r="Y9" s="101">
        <f t="shared" si="3"/>
        <v>15.491209656258199</v>
      </c>
      <c r="Z9" s="101">
        <f t="shared" si="4"/>
        <v>19.031914893617021</v>
      </c>
      <c r="AA9" s="77">
        <v>7524</v>
      </c>
      <c r="AB9" s="2" t="s">
        <v>872</v>
      </c>
      <c r="AC9" s="106">
        <v>8011</v>
      </c>
      <c r="AD9" s="4">
        <v>44592</v>
      </c>
      <c r="AE9" s="4">
        <v>3102</v>
      </c>
      <c r="AF9" s="4">
        <v>3811</v>
      </c>
    </row>
    <row r="10" spans="1:32" ht="13.5" thickBot="1" x14ac:dyDescent="0.25">
      <c r="A10" s="2" t="s">
        <v>100</v>
      </c>
      <c r="B10" s="1" t="s">
        <v>99</v>
      </c>
      <c r="C10" s="2" t="s">
        <v>19</v>
      </c>
      <c r="D10" s="4">
        <v>8809</v>
      </c>
      <c r="E10" s="4">
        <v>24659</v>
      </c>
      <c r="F10" s="4">
        <v>2567</v>
      </c>
      <c r="G10" s="4">
        <v>36035</v>
      </c>
      <c r="H10" s="100">
        <f>Table3[[#This Row],[Circulation of Children''s Materials]]/Table3[[#This Row],[Total Population Served]]</f>
        <v>2.4314104333425339</v>
      </c>
      <c r="I10" s="100">
        <f>Table3[[#This Row],[Circulation of Electronic Materials]]/Table3[[#This Row],[Total Population Served]]</f>
        <v>0.708528843499862</v>
      </c>
      <c r="J10" s="100">
        <f t="shared" si="0"/>
        <v>9.9461772012144625</v>
      </c>
      <c r="K10" s="100">
        <f t="shared" si="1"/>
        <v>32.00266429840142</v>
      </c>
      <c r="L10" s="103" t="s">
        <v>2632</v>
      </c>
      <c r="M10" s="4">
        <v>2567</v>
      </c>
      <c r="N10" s="4">
        <v>33468</v>
      </c>
      <c r="O10" s="4">
        <v>36035</v>
      </c>
      <c r="P10" s="4">
        <v>15873</v>
      </c>
      <c r="Q10" s="4">
        <v>19203</v>
      </c>
      <c r="R10" s="100">
        <f t="shared" si="2"/>
        <v>5.300303615788021</v>
      </c>
      <c r="S10" s="77">
        <v>2817</v>
      </c>
      <c r="T10" s="71">
        <f t="shared" si="5"/>
        <v>0.7775324316864477</v>
      </c>
      <c r="U10" s="77">
        <v>2203</v>
      </c>
      <c r="V10" s="4">
        <v>2811</v>
      </c>
      <c r="W10" s="4">
        <v>30271</v>
      </c>
      <c r="X10" s="77">
        <v>30536</v>
      </c>
      <c r="Y10" s="101">
        <f t="shared" si="3"/>
        <v>8.3552304719845427</v>
      </c>
      <c r="Z10" s="101">
        <f t="shared" si="4"/>
        <v>26.883658969804618</v>
      </c>
      <c r="AA10" s="77">
        <v>3450</v>
      </c>
      <c r="AB10" s="2" t="s">
        <v>872</v>
      </c>
      <c r="AC10" s="106">
        <v>8112</v>
      </c>
      <c r="AD10" s="4">
        <v>35076</v>
      </c>
      <c r="AE10" s="4">
        <v>1126</v>
      </c>
      <c r="AF10" s="4">
        <v>3623</v>
      </c>
    </row>
    <row r="11" spans="1:32" ht="13.5" thickBot="1" x14ac:dyDescent="0.25">
      <c r="A11" s="2" t="s">
        <v>108</v>
      </c>
      <c r="B11" s="1" t="s">
        <v>107</v>
      </c>
      <c r="C11" s="2" t="s">
        <v>19</v>
      </c>
      <c r="D11" s="77">
        <v>1259</v>
      </c>
      <c r="E11" s="77">
        <v>4728</v>
      </c>
      <c r="F11" s="77">
        <v>437</v>
      </c>
      <c r="G11" s="77">
        <v>6424</v>
      </c>
      <c r="H11" s="100">
        <f>Table3[[#This Row],[Circulation of Children''s Materials]]/Table3[[#This Row],[Total Population Served]]</f>
        <v>0.42866870956758596</v>
      </c>
      <c r="I11" s="100">
        <f>Table3[[#This Row],[Circulation of Electronic Materials]]/Table3[[#This Row],[Total Population Served]]</f>
        <v>0.1487912836227443</v>
      </c>
      <c r="J11" s="100">
        <f t="shared" si="0"/>
        <v>2.1872659176029963</v>
      </c>
      <c r="K11" s="100">
        <f t="shared" si="1"/>
        <v>3.4279615795090717</v>
      </c>
      <c r="L11" s="102">
        <v>0</v>
      </c>
      <c r="M11" s="77">
        <v>437</v>
      </c>
      <c r="N11" s="77">
        <v>5987</v>
      </c>
      <c r="O11" s="77">
        <v>6424</v>
      </c>
      <c r="P11" s="77">
        <v>7482</v>
      </c>
      <c r="Q11" s="77">
        <v>34255</v>
      </c>
      <c r="R11" s="100">
        <f t="shared" si="2"/>
        <v>11.663261831801158</v>
      </c>
      <c r="S11" s="77">
        <v>936</v>
      </c>
      <c r="T11" s="71">
        <f t="shared" si="5"/>
        <v>0.31869254341164455</v>
      </c>
      <c r="U11" s="77">
        <v>355</v>
      </c>
      <c r="V11" s="77">
        <v>937</v>
      </c>
      <c r="W11" s="77">
        <v>7088</v>
      </c>
      <c r="X11" s="77">
        <v>14717</v>
      </c>
      <c r="Y11" s="101">
        <f t="shared" si="3"/>
        <v>2.4133469526727955</v>
      </c>
      <c r="Z11" s="101">
        <f t="shared" si="4"/>
        <v>3.7822838847385274</v>
      </c>
      <c r="AA11" s="77">
        <v>1109</v>
      </c>
      <c r="AB11" s="2" t="s">
        <v>872</v>
      </c>
      <c r="AC11" s="106">
        <v>957</v>
      </c>
      <c r="AD11" s="77">
        <v>41737</v>
      </c>
      <c r="AE11" s="77">
        <v>1874</v>
      </c>
      <c r="AF11" s="4">
        <v>2937</v>
      </c>
    </row>
    <row r="12" spans="1:32" ht="13.5" thickBot="1" x14ac:dyDescent="0.25">
      <c r="A12" s="2" t="s">
        <v>138</v>
      </c>
      <c r="B12" s="1" t="s">
        <v>137</v>
      </c>
      <c r="C12" s="2" t="s">
        <v>19</v>
      </c>
      <c r="D12" s="4">
        <v>450</v>
      </c>
      <c r="E12" s="4">
        <v>675</v>
      </c>
      <c r="F12" s="4">
        <v>0</v>
      </c>
      <c r="G12" s="4">
        <v>1125</v>
      </c>
      <c r="H12" s="100">
        <f>Table3[[#This Row],[Circulation of Children''s Materials]]/Table3[[#This Row],[Total Population Served]]</f>
        <v>0.17234775947912678</v>
      </c>
      <c r="I12" s="100">
        <f>Table3[[#This Row],[Circulation of Electronic Materials]]/Table3[[#This Row],[Total Population Served]]</f>
        <v>0</v>
      </c>
      <c r="J12" s="100">
        <f t="shared" si="0"/>
        <v>0.43086939869781693</v>
      </c>
      <c r="K12" s="100">
        <f t="shared" si="1"/>
        <v>0.73194534808067668</v>
      </c>
      <c r="L12" s="102">
        <v>0</v>
      </c>
      <c r="M12" s="4">
        <v>0</v>
      </c>
      <c r="N12" s="4">
        <v>1125</v>
      </c>
      <c r="O12" s="4">
        <v>1125</v>
      </c>
      <c r="P12" s="4">
        <v>17391</v>
      </c>
      <c r="Q12" s="4">
        <v>0</v>
      </c>
      <c r="R12" s="100">
        <f t="shared" si="2"/>
        <v>0</v>
      </c>
      <c r="S12" s="77">
        <v>104</v>
      </c>
      <c r="T12" s="71">
        <f t="shared" si="5"/>
        <v>3.9831482190731522E-2</v>
      </c>
      <c r="U12" s="4">
        <v>1406</v>
      </c>
      <c r="V12" s="4">
        <v>156</v>
      </c>
      <c r="W12" s="4">
        <v>2000</v>
      </c>
      <c r="X12" s="77">
        <v>1380</v>
      </c>
      <c r="Y12" s="101">
        <f t="shared" si="3"/>
        <v>0.76599004212945232</v>
      </c>
      <c r="Z12" s="101">
        <f t="shared" si="4"/>
        <v>1.3012361743656473</v>
      </c>
      <c r="AA12" s="4">
        <v>514</v>
      </c>
      <c r="AB12" s="2" t="s">
        <v>872</v>
      </c>
      <c r="AC12" s="106">
        <v>337</v>
      </c>
      <c r="AD12" s="4">
        <v>17391</v>
      </c>
      <c r="AE12" s="4">
        <v>1537</v>
      </c>
      <c r="AF12" s="4">
        <v>2611</v>
      </c>
    </row>
    <row r="13" spans="1:32" ht="13.5" thickBot="1" x14ac:dyDescent="0.25">
      <c r="A13" s="2" t="s">
        <v>154</v>
      </c>
      <c r="B13" s="1" t="s">
        <v>153</v>
      </c>
      <c r="C13" s="2" t="s">
        <v>19</v>
      </c>
      <c r="D13" s="77">
        <v>71</v>
      </c>
      <c r="E13" s="77">
        <v>2449</v>
      </c>
      <c r="F13" s="77">
        <v>169</v>
      </c>
      <c r="G13" s="77">
        <v>2689</v>
      </c>
      <c r="H13" s="100">
        <f>Table3[[#This Row],[Circulation of Children''s Materials]]/Table3[[#This Row],[Total Population Served]]</f>
        <v>9.833795013850416E-2</v>
      </c>
      <c r="I13" s="100">
        <f>Table3[[#This Row],[Circulation of Electronic Materials]]/Table3[[#This Row],[Total Population Served]]</f>
        <v>0.23407202216066483</v>
      </c>
      <c r="J13" s="100">
        <f t="shared" si="0"/>
        <v>3.7243767313019389</v>
      </c>
      <c r="K13" s="100">
        <f t="shared" si="1"/>
        <v>11.951111111111111</v>
      </c>
      <c r="L13" s="102">
        <v>0</v>
      </c>
      <c r="M13" s="77">
        <v>169</v>
      </c>
      <c r="N13" s="77">
        <v>2520</v>
      </c>
      <c r="O13" s="77">
        <v>2689</v>
      </c>
      <c r="P13" s="77">
        <v>13872</v>
      </c>
      <c r="Q13" s="77">
        <v>11957</v>
      </c>
      <c r="R13" s="100">
        <f t="shared" si="2"/>
        <v>16.560941828254848</v>
      </c>
      <c r="S13" s="77">
        <v>92</v>
      </c>
      <c r="T13" s="71">
        <f t="shared" si="5"/>
        <v>0.12742382271468145</v>
      </c>
      <c r="U13" s="77">
        <v>1</v>
      </c>
      <c r="V13" s="77">
        <v>48</v>
      </c>
      <c r="W13" s="77">
        <v>2354</v>
      </c>
      <c r="X13" s="77">
        <v>248</v>
      </c>
      <c r="Y13" s="101">
        <f t="shared" si="3"/>
        <v>3.2603878116343492</v>
      </c>
      <c r="Z13" s="101">
        <f t="shared" si="4"/>
        <v>10.462222222222222</v>
      </c>
      <c r="AA13" s="77">
        <v>842</v>
      </c>
      <c r="AB13" s="2" t="s">
        <v>872</v>
      </c>
      <c r="AC13" s="106">
        <v>9</v>
      </c>
      <c r="AD13" s="77">
        <v>25829</v>
      </c>
      <c r="AE13" s="77">
        <v>225</v>
      </c>
      <c r="AF13" s="4">
        <v>722</v>
      </c>
    </row>
    <row r="14" spans="1:32" ht="13.5" thickBot="1" x14ac:dyDescent="0.25">
      <c r="A14" s="2" t="s">
        <v>164</v>
      </c>
      <c r="B14" s="1" t="s">
        <v>163</v>
      </c>
      <c r="C14" s="2" t="s">
        <v>19</v>
      </c>
      <c r="D14" s="4">
        <v>3251</v>
      </c>
      <c r="E14" s="4">
        <v>12989</v>
      </c>
      <c r="F14" s="4">
        <v>3095</v>
      </c>
      <c r="G14" s="4">
        <v>19335</v>
      </c>
      <c r="H14" s="100">
        <f>Table3[[#This Row],[Circulation of Children''s Materials]]/Table3[[#This Row],[Total Population Served]]</f>
        <v>0.81376720901126409</v>
      </c>
      <c r="I14" s="100">
        <f>Table3[[#This Row],[Circulation of Electronic Materials]]/Table3[[#This Row],[Total Population Served]]</f>
        <v>0.77471839799749687</v>
      </c>
      <c r="J14" s="100">
        <f t="shared" si="0"/>
        <v>4.839799749687109</v>
      </c>
      <c r="K14" s="100">
        <f t="shared" si="1"/>
        <v>5.8679817905918057</v>
      </c>
      <c r="L14" s="102">
        <v>0</v>
      </c>
      <c r="M14" s="4">
        <v>3095</v>
      </c>
      <c r="N14" s="4">
        <v>16240</v>
      </c>
      <c r="O14" s="4">
        <v>19335</v>
      </c>
      <c r="P14" s="4">
        <v>22531</v>
      </c>
      <c r="Q14" s="4">
        <v>24533</v>
      </c>
      <c r="R14" s="100">
        <f t="shared" si="2"/>
        <v>6.1409261576971215</v>
      </c>
      <c r="S14" s="77">
        <v>1825</v>
      </c>
      <c r="T14" s="71">
        <f t="shared" si="5"/>
        <v>0.45682102628285359</v>
      </c>
      <c r="U14" s="77">
        <v>1942</v>
      </c>
      <c r="V14" s="4">
        <v>3695</v>
      </c>
      <c r="W14" s="4">
        <v>17012</v>
      </c>
      <c r="X14" s="77">
        <v>11680</v>
      </c>
      <c r="Y14" s="101">
        <f t="shared" si="3"/>
        <v>4.2583229036295371</v>
      </c>
      <c r="Z14" s="101">
        <f t="shared" si="4"/>
        <v>5.1629742033383916</v>
      </c>
      <c r="AA14" s="77">
        <v>5791</v>
      </c>
      <c r="AB14" s="2" t="s">
        <v>872</v>
      </c>
      <c r="AC14" s="106">
        <v>7625</v>
      </c>
      <c r="AD14" s="4">
        <v>47064</v>
      </c>
      <c r="AE14" s="4">
        <v>3295</v>
      </c>
      <c r="AF14" s="4">
        <v>3995</v>
      </c>
    </row>
    <row r="15" spans="1:32" ht="13.5" thickBot="1" x14ac:dyDescent="0.25">
      <c r="A15" s="2" t="s">
        <v>172</v>
      </c>
      <c r="B15" s="1" t="s">
        <v>171</v>
      </c>
      <c r="C15" s="2" t="s">
        <v>19</v>
      </c>
      <c r="D15" s="4">
        <v>5850</v>
      </c>
      <c r="E15" s="4">
        <v>4400</v>
      </c>
      <c r="F15" s="4">
        <v>0</v>
      </c>
      <c r="G15" s="4">
        <v>10250</v>
      </c>
      <c r="H15" s="100">
        <f>Table3[[#This Row],[Circulation of Children''s Materials]]/Table3[[#This Row],[Total Population Served]]</f>
        <v>3.1553398058252426</v>
      </c>
      <c r="I15" s="100">
        <f>Table3[[#This Row],[Circulation of Electronic Materials]]/Table3[[#This Row],[Total Population Served]]</f>
        <v>0</v>
      </c>
      <c r="J15" s="100">
        <f t="shared" si="0"/>
        <v>5.5285868392664508</v>
      </c>
      <c r="K15" s="100">
        <f t="shared" si="1"/>
        <v>6.1157517899761338</v>
      </c>
      <c r="L15" s="102">
        <v>0</v>
      </c>
      <c r="M15" s="4">
        <v>0</v>
      </c>
      <c r="N15" s="4">
        <v>10250</v>
      </c>
      <c r="O15" s="4">
        <v>10250</v>
      </c>
      <c r="P15" s="4">
        <v>36635</v>
      </c>
      <c r="Q15" s="4">
        <v>0</v>
      </c>
      <c r="R15" s="100">
        <f t="shared" si="2"/>
        <v>0</v>
      </c>
      <c r="S15" s="4">
        <v>603</v>
      </c>
      <c r="T15" s="71">
        <f t="shared" si="5"/>
        <v>0.32524271844660196</v>
      </c>
      <c r="U15" s="4">
        <v>0</v>
      </c>
      <c r="V15" s="4">
        <v>0</v>
      </c>
      <c r="W15" s="4">
        <v>3297</v>
      </c>
      <c r="X15" s="77">
        <v>0</v>
      </c>
      <c r="Y15" s="101">
        <f t="shared" si="3"/>
        <v>1.7783171521035599</v>
      </c>
      <c r="Z15" s="101">
        <f t="shared" si="4"/>
        <v>1.9671837708830548</v>
      </c>
      <c r="AA15" s="4">
        <v>246</v>
      </c>
      <c r="AB15" s="2" t="s">
        <v>872</v>
      </c>
      <c r="AC15" s="106">
        <v>208</v>
      </c>
      <c r="AD15" s="4">
        <v>36635</v>
      </c>
      <c r="AE15" s="4">
        <v>1676</v>
      </c>
      <c r="AF15" s="4">
        <v>1854</v>
      </c>
    </row>
    <row r="16" spans="1:32" ht="13.5" thickBot="1" x14ac:dyDescent="0.25">
      <c r="A16" s="2" t="s">
        <v>184</v>
      </c>
      <c r="B16" s="1" t="s">
        <v>183</v>
      </c>
      <c r="C16" s="2" t="s">
        <v>19</v>
      </c>
      <c r="D16" s="4">
        <v>4500</v>
      </c>
      <c r="E16" s="4">
        <v>37899</v>
      </c>
      <c r="F16" s="4">
        <v>2376</v>
      </c>
      <c r="G16" s="4">
        <v>44775</v>
      </c>
      <c r="H16" s="100">
        <f>Table3[[#This Row],[Circulation of Children''s Materials]]/Table3[[#This Row],[Total Population Served]]</f>
        <v>1.2486126526082131</v>
      </c>
      <c r="I16" s="100">
        <f>Table3[[#This Row],[Circulation of Electronic Materials]]/Table3[[#This Row],[Total Population Served]]</f>
        <v>0.65926748057713647</v>
      </c>
      <c r="J16" s="100">
        <f t="shared" si="0"/>
        <v>12.42369589345172</v>
      </c>
      <c r="K16" s="100">
        <f t="shared" si="1"/>
        <v>12.833190025795357</v>
      </c>
      <c r="L16" s="102">
        <v>367</v>
      </c>
      <c r="M16" s="4">
        <v>2743</v>
      </c>
      <c r="N16" s="4">
        <v>42399</v>
      </c>
      <c r="O16" s="4">
        <v>45142</v>
      </c>
      <c r="P16" s="4">
        <v>37551</v>
      </c>
      <c r="Q16" s="4">
        <v>12760</v>
      </c>
      <c r="R16" s="100">
        <f t="shared" si="2"/>
        <v>3.5405105438401776</v>
      </c>
      <c r="S16" s="4">
        <v>3452</v>
      </c>
      <c r="T16" s="71">
        <f t="shared" si="5"/>
        <v>0.95782463928967809</v>
      </c>
      <c r="U16" s="4">
        <v>2087</v>
      </c>
      <c r="V16" s="4">
        <v>2789</v>
      </c>
      <c r="W16" s="4">
        <v>22652</v>
      </c>
      <c r="X16" s="77">
        <v>31473</v>
      </c>
      <c r="Y16" s="101">
        <f t="shared" si="3"/>
        <v>6.2852386237513871</v>
      </c>
      <c r="Z16" s="101">
        <f t="shared" si="4"/>
        <v>6.4924047004872456</v>
      </c>
      <c r="AA16" s="4">
        <v>4457</v>
      </c>
      <c r="AB16" s="2" t="s">
        <v>872</v>
      </c>
      <c r="AC16" s="106">
        <v>506</v>
      </c>
      <c r="AD16" s="4">
        <v>50311</v>
      </c>
      <c r="AE16" s="4">
        <v>3489</v>
      </c>
      <c r="AF16" s="4">
        <v>3604</v>
      </c>
    </row>
    <row r="17" spans="1:32" ht="13.5" thickBot="1" x14ac:dyDescent="0.25">
      <c r="A17" s="2" t="s">
        <v>192</v>
      </c>
      <c r="B17" s="1" t="s">
        <v>191</v>
      </c>
      <c r="C17" s="2" t="s">
        <v>19</v>
      </c>
      <c r="D17" s="4">
        <v>6112</v>
      </c>
      <c r="E17" s="4">
        <v>11492</v>
      </c>
      <c r="F17" s="4">
        <v>4585</v>
      </c>
      <c r="G17" s="4">
        <v>22189</v>
      </c>
      <c r="H17" s="100">
        <f>Table3[[#This Row],[Circulation of Children''s Materials]]/Table3[[#This Row],[Total Population Served]]</f>
        <v>1.6071522482250855</v>
      </c>
      <c r="I17" s="100">
        <f>Table3[[#This Row],[Circulation of Electronic Materials]]/Table3[[#This Row],[Total Population Served]]</f>
        <v>1.205627136471207</v>
      </c>
      <c r="J17" s="100">
        <f t="shared" si="0"/>
        <v>5.8346042597948991</v>
      </c>
      <c r="K17" s="100">
        <f t="shared" si="1"/>
        <v>4.8215993046501522</v>
      </c>
      <c r="L17" s="102">
        <v>2934</v>
      </c>
      <c r="M17" s="4">
        <v>7519</v>
      </c>
      <c r="N17" s="4">
        <v>17604</v>
      </c>
      <c r="O17" s="4">
        <v>25123</v>
      </c>
      <c r="P17" s="4">
        <v>29031</v>
      </c>
      <c r="Q17" s="4">
        <v>361756</v>
      </c>
      <c r="R17" s="100">
        <f t="shared" si="2"/>
        <v>95.123849592427035</v>
      </c>
      <c r="S17" s="4">
        <v>2600</v>
      </c>
      <c r="T17" s="71">
        <f t="shared" si="5"/>
        <v>0.6836707862214042</v>
      </c>
      <c r="U17" s="4">
        <v>1663</v>
      </c>
      <c r="V17" s="4">
        <v>2634</v>
      </c>
      <c r="W17" s="4">
        <v>25186</v>
      </c>
      <c r="X17" s="77">
        <v>5611</v>
      </c>
      <c r="Y17" s="101">
        <f t="shared" si="3"/>
        <v>6.6226663160662635</v>
      </c>
      <c r="Z17" s="101">
        <f t="shared" si="4"/>
        <v>5.4728378965667099</v>
      </c>
      <c r="AA17" s="4">
        <v>3333</v>
      </c>
      <c r="AB17" s="2" t="s">
        <v>872</v>
      </c>
      <c r="AC17" s="106">
        <v>2964</v>
      </c>
      <c r="AD17" s="4">
        <v>390787</v>
      </c>
      <c r="AE17" s="4">
        <v>4602</v>
      </c>
      <c r="AF17" s="4">
        <v>3803</v>
      </c>
    </row>
    <row r="18" spans="1:32" ht="13.5" thickBot="1" x14ac:dyDescent="0.25">
      <c r="A18" s="2" t="s">
        <v>194</v>
      </c>
      <c r="B18" s="1" t="s">
        <v>193</v>
      </c>
      <c r="C18" s="2" t="s">
        <v>19</v>
      </c>
      <c r="D18" s="77">
        <v>2988</v>
      </c>
      <c r="E18" s="77">
        <v>7043</v>
      </c>
      <c r="F18" s="77">
        <v>924</v>
      </c>
      <c r="G18" s="77">
        <v>10955</v>
      </c>
      <c r="H18" s="100">
        <f>Table3[[#This Row],[Circulation of Children''s Materials]]/Table3[[#This Row],[Total Population Served]]</f>
        <v>1.2591656131479141</v>
      </c>
      <c r="I18" s="100">
        <f>Table3[[#This Row],[Circulation of Electronic Materials]]/Table3[[#This Row],[Total Population Served]]</f>
        <v>0.38938053097345132</v>
      </c>
      <c r="J18" s="100">
        <f t="shared" si="0"/>
        <v>4.6165191740412981</v>
      </c>
      <c r="K18" s="100">
        <f t="shared" si="1"/>
        <v>8.7710168134507605</v>
      </c>
      <c r="L18" s="102">
        <v>0</v>
      </c>
      <c r="M18" s="77">
        <v>924</v>
      </c>
      <c r="N18" s="77">
        <v>10031</v>
      </c>
      <c r="O18" s="77">
        <v>10955</v>
      </c>
      <c r="P18" s="77">
        <v>17136</v>
      </c>
      <c r="Q18" s="77">
        <v>10678</v>
      </c>
      <c r="R18" s="100">
        <f t="shared" si="2"/>
        <v>4.4997892962494737</v>
      </c>
      <c r="S18" s="77">
        <v>962</v>
      </c>
      <c r="T18" s="71">
        <f t="shared" si="5"/>
        <v>0.40539401601348501</v>
      </c>
      <c r="U18" s="77">
        <v>643</v>
      </c>
      <c r="V18" s="77">
        <v>1136</v>
      </c>
      <c r="W18" s="77">
        <v>7990</v>
      </c>
      <c r="X18" s="77">
        <v>7509</v>
      </c>
      <c r="Y18" s="101">
        <f t="shared" si="3"/>
        <v>3.3670459334176148</v>
      </c>
      <c r="Z18" s="101">
        <f t="shared" si="4"/>
        <v>6.3971176941553241</v>
      </c>
      <c r="AA18" s="77">
        <v>910</v>
      </c>
      <c r="AB18" s="2" t="s">
        <v>872</v>
      </c>
      <c r="AC18" s="106">
        <v>49</v>
      </c>
      <c r="AD18" s="77">
        <v>27814</v>
      </c>
      <c r="AE18" s="77">
        <v>1249</v>
      </c>
      <c r="AF18" s="4">
        <v>2373</v>
      </c>
    </row>
    <row r="19" spans="1:32" ht="13.5" thickBot="1" x14ac:dyDescent="0.25">
      <c r="A19" s="2" t="s">
        <v>210</v>
      </c>
      <c r="B19" s="1" t="s">
        <v>209</v>
      </c>
      <c r="C19" s="2" t="s">
        <v>19</v>
      </c>
      <c r="D19" s="4">
        <v>3053</v>
      </c>
      <c r="E19" s="4">
        <v>6566</v>
      </c>
      <c r="F19" s="4">
        <v>1927</v>
      </c>
      <c r="G19" s="4">
        <v>11546</v>
      </c>
      <c r="H19" s="100">
        <f>Table3[[#This Row],[Circulation of Children''s Materials]]/Table3[[#This Row],[Total Population Served]]</f>
        <v>0.77232481659499119</v>
      </c>
      <c r="I19" s="100">
        <f>Table3[[#This Row],[Circulation of Electronic Materials]]/Table3[[#This Row],[Total Population Served]]</f>
        <v>0.48747786491272449</v>
      </c>
      <c r="J19" s="100">
        <f t="shared" si="0"/>
        <v>2.9208196306602581</v>
      </c>
      <c r="K19" s="100">
        <f t="shared" si="1"/>
        <v>4.7750206782464844</v>
      </c>
      <c r="L19" s="102">
        <v>0</v>
      </c>
      <c r="M19" s="4">
        <v>1927</v>
      </c>
      <c r="N19" s="4">
        <v>9619</v>
      </c>
      <c r="O19" s="4">
        <v>11546</v>
      </c>
      <c r="P19" s="4">
        <v>22663</v>
      </c>
      <c r="Q19" s="4">
        <v>17600</v>
      </c>
      <c r="R19" s="100">
        <f t="shared" si="2"/>
        <v>4.4523146976979513</v>
      </c>
      <c r="S19" s="4">
        <v>2017</v>
      </c>
      <c r="T19" s="71">
        <f t="shared" si="5"/>
        <v>0.51024538325322544</v>
      </c>
      <c r="U19" s="4">
        <v>5510</v>
      </c>
      <c r="V19" s="4">
        <v>3168</v>
      </c>
      <c r="W19" s="4">
        <v>7727</v>
      </c>
      <c r="X19" s="78" t="s">
        <v>16</v>
      </c>
      <c r="Y19" s="101">
        <f t="shared" si="3"/>
        <v>1.9547179357450037</v>
      </c>
      <c r="Z19" s="101">
        <f t="shared" si="4"/>
        <v>3.1956162117452438</v>
      </c>
      <c r="AA19" s="4">
        <v>2017</v>
      </c>
      <c r="AB19" s="2" t="s">
        <v>872</v>
      </c>
      <c r="AC19" s="108" t="s">
        <v>2632</v>
      </c>
      <c r="AD19" s="4">
        <v>40263</v>
      </c>
      <c r="AE19" s="4">
        <v>2418</v>
      </c>
      <c r="AF19" s="4">
        <v>3953</v>
      </c>
    </row>
    <row r="20" spans="1:32" ht="13.5" thickBot="1" x14ac:dyDescent="0.25">
      <c r="A20" s="2" t="s">
        <v>212</v>
      </c>
      <c r="B20" s="1" t="s">
        <v>211</v>
      </c>
      <c r="C20" s="2" t="s">
        <v>19</v>
      </c>
      <c r="D20" s="4">
        <v>2016</v>
      </c>
      <c r="E20" s="4">
        <v>11652</v>
      </c>
      <c r="F20" s="4">
        <v>966</v>
      </c>
      <c r="G20" s="4">
        <v>14634</v>
      </c>
      <c r="H20" s="100">
        <f>Table3[[#This Row],[Circulation of Children''s Materials]]/Table3[[#This Row],[Total Population Served]]</f>
        <v>0.62453531598513012</v>
      </c>
      <c r="I20" s="100">
        <f>Table3[[#This Row],[Circulation of Electronic Materials]]/Table3[[#This Row],[Total Population Served]]</f>
        <v>0.2992565055762082</v>
      </c>
      <c r="J20" s="100">
        <f t="shared" si="0"/>
        <v>4.533457249070632</v>
      </c>
      <c r="K20" s="100">
        <f t="shared" si="1"/>
        <v>10.364022662889518</v>
      </c>
      <c r="L20" s="103" t="s">
        <v>2632</v>
      </c>
      <c r="M20" s="4">
        <v>966</v>
      </c>
      <c r="N20" s="4">
        <v>13668</v>
      </c>
      <c r="O20" s="4">
        <v>14634</v>
      </c>
      <c r="P20" s="4">
        <v>14944</v>
      </c>
      <c r="Q20" s="4">
        <v>10775</v>
      </c>
      <c r="R20" s="100">
        <f t="shared" si="2"/>
        <v>3.3379801734820322</v>
      </c>
      <c r="S20" s="4">
        <v>682</v>
      </c>
      <c r="T20" s="71">
        <f t="shared" si="5"/>
        <v>0.21127633209417596</v>
      </c>
      <c r="U20" s="4">
        <v>784</v>
      </c>
      <c r="V20" s="4">
        <v>1253</v>
      </c>
      <c r="W20" s="4">
        <v>6782</v>
      </c>
      <c r="X20" s="77">
        <v>44568</v>
      </c>
      <c r="Y20" s="101">
        <f t="shared" si="3"/>
        <v>2.1009913258983892</v>
      </c>
      <c r="Z20" s="101">
        <f t="shared" si="4"/>
        <v>4.8031161473087822</v>
      </c>
      <c r="AA20" s="4">
        <v>1324</v>
      </c>
      <c r="AB20" s="2" t="s">
        <v>872</v>
      </c>
      <c r="AC20" s="106">
        <v>213</v>
      </c>
      <c r="AD20" s="4">
        <v>25719</v>
      </c>
      <c r="AE20" s="4">
        <v>1412</v>
      </c>
      <c r="AF20" s="4">
        <v>3228</v>
      </c>
    </row>
    <row r="21" spans="1:32" ht="13.5" thickBot="1" x14ac:dyDescent="0.25">
      <c r="A21" s="2" t="s">
        <v>214</v>
      </c>
      <c r="B21" s="1" t="s">
        <v>213</v>
      </c>
      <c r="C21" s="2" t="s">
        <v>19</v>
      </c>
      <c r="D21" s="4">
        <v>7460</v>
      </c>
      <c r="E21" s="4">
        <v>10728</v>
      </c>
      <c r="F21" s="4">
        <v>1521</v>
      </c>
      <c r="G21" s="4">
        <v>19709</v>
      </c>
      <c r="H21" s="100">
        <f>Table3[[#This Row],[Circulation of Children''s Materials]]/Table3[[#This Row],[Total Population Served]]</f>
        <v>2.1604401969302058</v>
      </c>
      <c r="I21" s="100">
        <f>Table3[[#This Row],[Circulation of Electronic Materials]]/Table3[[#This Row],[Total Population Served]]</f>
        <v>0.44048653344917466</v>
      </c>
      <c r="J21" s="100">
        <f t="shared" si="0"/>
        <v>5.707790327251665</v>
      </c>
      <c r="K21" s="100">
        <f t="shared" si="1"/>
        <v>10.154044307058218</v>
      </c>
      <c r="L21" s="102">
        <v>0</v>
      </c>
      <c r="M21" s="4">
        <v>1521</v>
      </c>
      <c r="N21" s="4">
        <v>18188</v>
      </c>
      <c r="O21" s="4">
        <v>19709</v>
      </c>
      <c r="P21" s="4">
        <v>18479</v>
      </c>
      <c r="Q21" s="4">
        <v>11306</v>
      </c>
      <c r="R21" s="100">
        <f t="shared" si="2"/>
        <v>3.2742542716478424</v>
      </c>
      <c r="S21" s="77">
        <v>1241</v>
      </c>
      <c r="T21" s="71">
        <f t="shared" si="5"/>
        <v>0.35939762525340285</v>
      </c>
      <c r="U21" s="77">
        <v>8</v>
      </c>
      <c r="V21" s="4">
        <v>56</v>
      </c>
      <c r="W21" s="4">
        <v>20528</v>
      </c>
      <c r="X21" s="77">
        <v>1209</v>
      </c>
      <c r="Y21" s="101">
        <f t="shared" si="3"/>
        <v>5.944975383724298</v>
      </c>
      <c r="Z21" s="101">
        <f t="shared" si="4"/>
        <v>10.575991756826378</v>
      </c>
      <c r="AA21" s="77">
        <v>2858</v>
      </c>
      <c r="AB21" s="2" t="s">
        <v>872</v>
      </c>
      <c r="AC21" s="106">
        <v>4165</v>
      </c>
      <c r="AD21" s="4">
        <v>29785</v>
      </c>
      <c r="AE21" s="4">
        <v>1941</v>
      </c>
      <c r="AF21" s="4">
        <v>3453</v>
      </c>
    </row>
    <row r="22" spans="1:32" ht="13.5" thickBot="1" x14ac:dyDescent="0.25">
      <c r="A22" s="2" t="s">
        <v>216</v>
      </c>
      <c r="B22" s="1" t="s">
        <v>215</v>
      </c>
      <c r="C22" s="2" t="s">
        <v>19</v>
      </c>
      <c r="D22" s="4">
        <v>112</v>
      </c>
      <c r="E22" s="4">
        <v>5557</v>
      </c>
      <c r="F22" s="4">
        <v>326</v>
      </c>
      <c r="G22" s="4">
        <v>5995</v>
      </c>
      <c r="H22" s="100">
        <f>Table3[[#This Row],[Circulation of Children''s Materials]]/Table3[[#This Row],[Total Population Served]]</f>
        <v>9.0614886731391592E-2</v>
      </c>
      <c r="I22" s="100">
        <f>Table3[[#This Row],[Circulation of Electronic Materials]]/Table3[[#This Row],[Total Population Served]]</f>
        <v>0.26375404530744334</v>
      </c>
      <c r="J22" s="100">
        <f t="shared" si="0"/>
        <v>4.8503236245954691</v>
      </c>
      <c r="K22" s="100">
        <f t="shared" si="1"/>
        <v>8.8291605301914586</v>
      </c>
      <c r="L22" s="102">
        <v>0</v>
      </c>
      <c r="M22" s="4">
        <v>326</v>
      </c>
      <c r="N22" s="4">
        <v>5669</v>
      </c>
      <c r="O22" s="4">
        <v>5995</v>
      </c>
      <c r="P22" s="4">
        <v>14546</v>
      </c>
      <c r="Q22" s="4">
        <v>9445</v>
      </c>
      <c r="R22" s="100">
        <f t="shared" si="2"/>
        <v>7.641585760517799</v>
      </c>
      <c r="S22" s="4">
        <v>1248</v>
      </c>
      <c r="T22" s="71">
        <f t="shared" si="5"/>
        <v>1.0097087378640777</v>
      </c>
      <c r="U22" s="4">
        <v>867</v>
      </c>
      <c r="V22" s="4">
        <v>313</v>
      </c>
      <c r="W22" s="4">
        <v>3971</v>
      </c>
      <c r="X22" s="77">
        <v>3397</v>
      </c>
      <c r="Y22" s="101">
        <f t="shared" si="3"/>
        <v>3.2127831715210355</v>
      </c>
      <c r="Z22" s="101">
        <f t="shared" si="4"/>
        <v>5.848306332842415</v>
      </c>
      <c r="AA22" s="4">
        <v>1081</v>
      </c>
      <c r="AB22" s="2" t="s">
        <v>872</v>
      </c>
      <c r="AC22" s="106">
        <v>2316</v>
      </c>
      <c r="AD22" s="4">
        <v>23991</v>
      </c>
      <c r="AE22" s="4">
        <v>679</v>
      </c>
      <c r="AF22" s="4">
        <v>1236</v>
      </c>
    </row>
    <row r="23" spans="1:32" ht="13.5" thickBot="1" x14ac:dyDescent="0.25">
      <c r="A23" s="2" t="s">
        <v>219</v>
      </c>
      <c r="B23" s="1" t="s">
        <v>218</v>
      </c>
      <c r="C23" s="2" t="s">
        <v>19</v>
      </c>
      <c r="D23" s="77">
        <v>2340</v>
      </c>
      <c r="E23" s="77">
        <v>14131</v>
      </c>
      <c r="F23" s="77">
        <v>983</v>
      </c>
      <c r="G23" s="77">
        <v>17454</v>
      </c>
      <c r="H23" s="100">
        <f>Table3[[#This Row],[Circulation of Children''s Materials]]/Table3[[#This Row],[Total Population Served]]</f>
        <v>0.7360805284680717</v>
      </c>
      <c r="I23" s="100">
        <f>Table3[[#This Row],[Circulation of Electronic Materials]]/Table3[[#This Row],[Total Population Served]]</f>
        <v>0.30921673482227113</v>
      </c>
      <c r="J23" s="100">
        <f t="shared" si="0"/>
        <v>5.4904057879836428</v>
      </c>
      <c r="K23" s="100">
        <f t="shared" si="1"/>
        <v>11.253384912959381</v>
      </c>
      <c r="L23" s="102">
        <v>0</v>
      </c>
      <c r="M23" s="77">
        <v>983</v>
      </c>
      <c r="N23" s="77">
        <v>16471</v>
      </c>
      <c r="O23" s="77">
        <v>17454</v>
      </c>
      <c r="P23" s="77">
        <v>15472</v>
      </c>
      <c r="Q23" s="77">
        <v>5</v>
      </c>
      <c r="R23" s="100">
        <f t="shared" si="2"/>
        <v>1.5728216420257944E-3</v>
      </c>
      <c r="S23" s="77">
        <v>4504</v>
      </c>
      <c r="T23" s="71">
        <f t="shared" si="5"/>
        <v>1.4167977351368355</v>
      </c>
      <c r="U23" s="77">
        <v>510</v>
      </c>
      <c r="V23" s="77">
        <v>832</v>
      </c>
      <c r="W23" s="77">
        <v>18530</v>
      </c>
      <c r="X23" s="77">
        <v>6129</v>
      </c>
      <c r="Y23" s="101">
        <f t="shared" si="3"/>
        <v>5.8288770053475938</v>
      </c>
      <c r="Z23" s="101">
        <f t="shared" si="4"/>
        <v>11.947130883301096</v>
      </c>
      <c r="AA23" s="77">
        <v>5413</v>
      </c>
      <c r="AB23" s="2" t="s">
        <v>872</v>
      </c>
      <c r="AC23" s="106">
        <v>1600</v>
      </c>
      <c r="AD23" s="77">
        <v>15477</v>
      </c>
      <c r="AE23" s="77">
        <v>1551</v>
      </c>
      <c r="AF23" s="4">
        <v>3179</v>
      </c>
    </row>
    <row r="24" spans="1:32" ht="13.5" thickBot="1" x14ac:dyDescent="0.25">
      <c r="A24" s="2" t="s">
        <v>231</v>
      </c>
      <c r="B24" s="1" t="s">
        <v>230</v>
      </c>
      <c r="C24" s="2" t="s">
        <v>19</v>
      </c>
      <c r="D24" s="77">
        <v>1766</v>
      </c>
      <c r="E24" s="77">
        <v>996</v>
      </c>
      <c r="F24" s="77">
        <v>481</v>
      </c>
      <c r="G24" s="77">
        <v>3243</v>
      </c>
      <c r="H24" s="100">
        <f>Table3[[#This Row],[Circulation of Children''s Materials]]/Table3[[#This Row],[Total Population Served]]</f>
        <v>0.806392694063927</v>
      </c>
      <c r="I24" s="100">
        <f>Table3[[#This Row],[Circulation of Electronic Materials]]/Table3[[#This Row],[Total Population Served]]</f>
        <v>0.21963470319634704</v>
      </c>
      <c r="J24" s="100">
        <f t="shared" si="0"/>
        <v>1.4808219178082191</v>
      </c>
      <c r="K24" s="100">
        <f t="shared" si="1"/>
        <v>6.0503731343283578</v>
      </c>
      <c r="L24" s="102">
        <v>0</v>
      </c>
      <c r="M24" s="77">
        <v>481</v>
      </c>
      <c r="N24" s="77">
        <v>2762</v>
      </c>
      <c r="O24" s="77">
        <v>3243</v>
      </c>
      <c r="P24" s="77">
        <v>16081</v>
      </c>
      <c r="Q24" s="77">
        <v>11644</v>
      </c>
      <c r="R24" s="100">
        <f t="shared" si="2"/>
        <v>5.3168949771689498</v>
      </c>
      <c r="S24" s="105" t="s">
        <v>2632</v>
      </c>
      <c r="T24" s="110">
        <v>0</v>
      </c>
      <c r="U24" s="77">
        <v>0</v>
      </c>
      <c r="V24" s="77">
        <v>0</v>
      </c>
      <c r="W24" s="77">
        <v>0</v>
      </c>
      <c r="X24" s="77">
        <v>0</v>
      </c>
      <c r="Y24" s="101">
        <f t="shared" si="3"/>
        <v>0</v>
      </c>
      <c r="Z24" s="101">
        <f t="shared" si="4"/>
        <v>0</v>
      </c>
      <c r="AA24" s="77">
        <v>648</v>
      </c>
      <c r="AB24" s="2" t="s">
        <v>872</v>
      </c>
      <c r="AC24" s="108" t="s">
        <v>2632</v>
      </c>
      <c r="AD24" s="77">
        <v>27725</v>
      </c>
      <c r="AE24" s="77">
        <v>536</v>
      </c>
      <c r="AF24" s="4">
        <v>2190</v>
      </c>
    </row>
    <row r="25" spans="1:32" ht="13.5" thickBot="1" x14ac:dyDescent="0.25">
      <c r="A25" s="2" t="s">
        <v>267</v>
      </c>
      <c r="B25" s="1" t="s">
        <v>266</v>
      </c>
      <c r="C25" s="2" t="s">
        <v>19</v>
      </c>
      <c r="D25" s="77">
        <v>1837</v>
      </c>
      <c r="E25" s="77">
        <v>3273</v>
      </c>
      <c r="F25" s="77">
        <v>0</v>
      </c>
      <c r="G25" s="77">
        <v>5110</v>
      </c>
      <c r="H25" s="100">
        <f>Table3[[#This Row],[Circulation of Children''s Materials]]/Table3[[#This Row],[Total Population Served]]</f>
        <v>0.66341639581076206</v>
      </c>
      <c r="I25" s="100">
        <f>Table3[[#This Row],[Circulation of Electronic Materials]]/Table3[[#This Row],[Total Population Served]]</f>
        <v>0</v>
      </c>
      <c r="J25" s="100">
        <f t="shared" si="0"/>
        <v>1.8454315637414229</v>
      </c>
      <c r="K25" s="100">
        <f t="shared" si="1"/>
        <v>2.2914798206278029</v>
      </c>
      <c r="L25" s="102">
        <v>0</v>
      </c>
      <c r="M25" s="77">
        <v>0</v>
      </c>
      <c r="N25" s="77">
        <v>5110</v>
      </c>
      <c r="O25" s="77">
        <v>5110</v>
      </c>
      <c r="P25" s="77">
        <v>16284</v>
      </c>
      <c r="Q25" s="77">
        <v>0</v>
      </c>
      <c r="R25" s="100">
        <f t="shared" si="2"/>
        <v>0</v>
      </c>
      <c r="S25" s="77">
        <v>80</v>
      </c>
      <c r="T25" s="71">
        <f t="shared" ref="T25:T30" si="6">S25/AF25</f>
        <v>2.8891296496930299E-2</v>
      </c>
      <c r="U25" s="77">
        <v>108</v>
      </c>
      <c r="V25" s="77">
        <v>46</v>
      </c>
      <c r="W25" s="77">
        <v>5100</v>
      </c>
      <c r="X25" s="77">
        <v>0</v>
      </c>
      <c r="Y25" s="101">
        <f t="shared" si="3"/>
        <v>1.8418201516793067</v>
      </c>
      <c r="Z25" s="101">
        <f t="shared" si="4"/>
        <v>2.2869955156950672</v>
      </c>
      <c r="AA25" s="77">
        <v>416</v>
      </c>
      <c r="AB25" s="2" t="s">
        <v>872</v>
      </c>
      <c r="AC25" s="106">
        <v>184</v>
      </c>
      <c r="AD25" s="77">
        <v>16284</v>
      </c>
      <c r="AE25" s="77">
        <v>2230</v>
      </c>
      <c r="AF25" s="4">
        <v>2769</v>
      </c>
    </row>
    <row r="26" spans="1:32" ht="13.5" thickBot="1" x14ac:dyDescent="0.25">
      <c r="A26" s="2" t="s">
        <v>269</v>
      </c>
      <c r="B26" s="1" t="s">
        <v>268</v>
      </c>
      <c r="C26" s="2" t="s">
        <v>19</v>
      </c>
      <c r="D26" s="4">
        <v>5473</v>
      </c>
      <c r="E26" s="4">
        <v>6964</v>
      </c>
      <c r="F26" s="4">
        <v>3</v>
      </c>
      <c r="G26" s="4">
        <v>12440</v>
      </c>
      <c r="H26" s="100">
        <f>Table3[[#This Row],[Circulation of Children''s Materials]]/Table3[[#This Row],[Total Population Served]]</f>
        <v>1.4641519529159979</v>
      </c>
      <c r="I26" s="100">
        <f>Table3[[#This Row],[Circulation of Electronic Materials]]/Table3[[#This Row],[Total Population Served]]</f>
        <v>8.0256821829855537E-4</v>
      </c>
      <c r="J26" s="100">
        <f t="shared" si="0"/>
        <v>3.3279828785446761</v>
      </c>
      <c r="K26" s="100">
        <f t="shared" si="1"/>
        <v>7.2876391329818393</v>
      </c>
      <c r="L26" s="102">
        <v>0</v>
      </c>
      <c r="M26" s="4">
        <v>3</v>
      </c>
      <c r="N26" s="4">
        <v>12437</v>
      </c>
      <c r="O26" s="4">
        <v>12440</v>
      </c>
      <c r="P26" s="4">
        <v>26660</v>
      </c>
      <c r="Q26" s="4">
        <v>45</v>
      </c>
      <c r="R26" s="100">
        <f t="shared" si="2"/>
        <v>1.2038523274478331E-2</v>
      </c>
      <c r="S26" s="4">
        <v>4398</v>
      </c>
      <c r="T26" s="71">
        <f t="shared" si="6"/>
        <v>1.1765650080256822</v>
      </c>
      <c r="U26" s="4">
        <v>442</v>
      </c>
      <c r="V26" s="4">
        <v>617</v>
      </c>
      <c r="W26" s="4">
        <v>12372</v>
      </c>
      <c r="X26" s="77">
        <v>2764</v>
      </c>
      <c r="Y26" s="101">
        <f t="shared" si="3"/>
        <v>3.3097913322632424</v>
      </c>
      <c r="Z26" s="101">
        <f t="shared" si="4"/>
        <v>7.2478031634446394</v>
      </c>
      <c r="AA26" s="4">
        <v>3078</v>
      </c>
      <c r="AB26" s="2" t="s">
        <v>872</v>
      </c>
      <c r="AC26" s="106">
        <v>1903</v>
      </c>
      <c r="AD26" s="4">
        <v>26705</v>
      </c>
      <c r="AE26" s="4">
        <v>1707</v>
      </c>
      <c r="AF26" s="4">
        <v>3738</v>
      </c>
    </row>
    <row r="27" spans="1:32" ht="13.5" thickBot="1" x14ac:dyDescent="0.25">
      <c r="A27" s="2" t="s">
        <v>275</v>
      </c>
      <c r="B27" s="1" t="s">
        <v>274</v>
      </c>
      <c r="C27" s="2" t="s">
        <v>19</v>
      </c>
      <c r="D27" s="4">
        <v>4807</v>
      </c>
      <c r="E27" s="4">
        <v>6038</v>
      </c>
      <c r="F27" s="4">
        <v>0</v>
      </c>
      <c r="G27" s="4">
        <v>10845</v>
      </c>
      <c r="H27" s="100">
        <f>Table3[[#This Row],[Circulation of Children''s Materials]]/Table3[[#This Row],[Total Population Served]]</f>
        <v>1.5446658097686374</v>
      </c>
      <c r="I27" s="100">
        <f>Table3[[#This Row],[Circulation of Electronic Materials]]/Table3[[#This Row],[Total Population Served]]</f>
        <v>0</v>
      </c>
      <c r="J27" s="100">
        <f t="shared" si="0"/>
        <v>3.4848971722365039</v>
      </c>
      <c r="K27" s="100">
        <f t="shared" si="1"/>
        <v>12.625145518044237</v>
      </c>
      <c r="L27" s="102">
        <v>0</v>
      </c>
      <c r="M27" s="4">
        <v>0</v>
      </c>
      <c r="N27" s="4">
        <v>10845</v>
      </c>
      <c r="O27" s="4">
        <v>10845</v>
      </c>
      <c r="P27" s="4">
        <v>20714</v>
      </c>
      <c r="Q27" s="4">
        <v>0</v>
      </c>
      <c r="R27" s="100">
        <f t="shared" si="2"/>
        <v>0</v>
      </c>
      <c r="S27" s="4">
        <v>1635</v>
      </c>
      <c r="T27" s="71">
        <f t="shared" si="6"/>
        <v>0.52538560411311053</v>
      </c>
      <c r="U27" s="4">
        <v>355</v>
      </c>
      <c r="V27" s="4">
        <v>348</v>
      </c>
      <c r="W27" s="4">
        <v>5845</v>
      </c>
      <c r="X27" s="77">
        <v>2694</v>
      </c>
      <c r="Y27" s="101">
        <f t="shared" si="3"/>
        <v>1.8782133676092545</v>
      </c>
      <c r="Z27" s="101">
        <f t="shared" si="4"/>
        <v>6.8044237485448198</v>
      </c>
      <c r="AA27" s="4">
        <v>1618</v>
      </c>
      <c r="AB27" s="2" t="s">
        <v>872</v>
      </c>
      <c r="AC27" s="107" t="s">
        <v>2632</v>
      </c>
      <c r="AD27" s="4">
        <v>20714</v>
      </c>
      <c r="AE27" s="4">
        <v>859</v>
      </c>
      <c r="AF27" s="4">
        <v>3112</v>
      </c>
    </row>
    <row r="28" spans="1:32" ht="13.5" thickBot="1" x14ac:dyDescent="0.25">
      <c r="A28" s="2" t="s">
        <v>283</v>
      </c>
      <c r="B28" s="1" t="s">
        <v>282</v>
      </c>
      <c r="C28" s="2" t="s">
        <v>19</v>
      </c>
      <c r="D28" s="4">
        <v>4625</v>
      </c>
      <c r="E28" s="4">
        <v>15367</v>
      </c>
      <c r="F28" s="4">
        <v>0</v>
      </c>
      <c r="G28" s="4">
        <v>19992</v>
      </c>
      <c r="H28" s="100">
        <f>Table3[[#This Row],[Circulation of Children''s Materials]]/Table3[[#This Row],[Total Population Served]]</f>
        <v>1.6571121461841634</v>
      </c>
      <c r="I28" s="100">
        <f>Table3[[#This Row],[Circulation of Electronic Materials]]/Table3[[#This Row],[Total Population Served]]</f>
        <v>0</v>
      </c>
      <c r="J28" s="100">
        <f t="shared" si="0"/>
        <v>7.1630240057327121</v>
      </c>
      <c r="K28" s="100">
        <f t="shared" si="1"/>
        <v>0.30958390758319526</v>
      </c>
      <c r="L28" s="102">
        <v>0</v>
      </c>
      <c r="M28" s="4">
        <v>0</v>
      </c>
      <c r="N28" s="4">
        <v>19992</v>
      </c>
      <c r="O28" s="4">
        <v>19992</v>
      </c>
      <c r="P28" s="4">
        <v>18394</v>
      </c>
      <c r="Q28" s="4">
        <v>0</v>
      </c>
      <c r="R28" s="100">
        <f t="shared" si="2"/>
        <v>0</v>
      </c>
      <c r="S28" s="4">
        <v>9200</v>
      </c>
      <c r="T28" s="71">
        <f t="shared" si="6"/>
        <v>3.2963095664636333</v>
      </c>
      <c r="U28" s="4">
        <v>6581</v>
      </c>
      <c r="V28" s="4">
        <v>7353</v>
      </c>
      <c r="W28" s="4">
        <v>29000</v>
      </c>
      <c r="X28" s="78" t="s">
        <v>16</v>
      </c>
      <c r="Y28" s="101">
        <f t="shared" si="3"/>
        <v>10.390541024722321</v>
      </c>
      <c r="Z28" s="101">
        <f t="shared" si="4"/>
        <v>0.4490762965142388</v>
      </c>
      <c r="AA28" s="4">
        <v>2912</v>
      </c>
      <c r="AB28" s="2" t="s">
        <v>872</v>
      </c>
      <c r="AC28" s="106">
        <v>7311</v>
      </c>
      <c r="AD28" s="4">
        <v>18394</v>
      </c>
      <c r="AE28" s="4">
        <v>64577</v>
      </c>
      <c r="AF28" s="4">
        <v>2791</v>
      </c>
    </row>
    <row r="29" spans="1:32" ht="13.5" thickBot="1" x14ac:dyDescent="0.25">
      <c r="A29" s="2" t="s">
        <v>299</v>
      </c>
      <c r="B29" s="1" t="s">
        <v>298</v>
      </c>
      <c r="C29" s="2" t="s">
        <v>19</v>
      </c>
      <c r="D29" s="4">
        <v>6946</v>
      </c>
      <c r="E29" s="4">
        <v>13527</v>
      </c>
      <c r="F29" s="4">
        <v>2425</v>
      </c>
      <c r="G29" s="4">
        <v>22898</v>
      </c>
      <c r="H29" s="100">
        <f>Table3[[#This Row],[Circulation of Children''s Materials]]/Table3[[#This Row],[Total Population Served]]</f>
        <v>2.205079365079365</v>
      </c>
      <c r="I29" s="100">
        <f>Table3[[#This Row],[Circulation of Electronic Materials]]/Table3[[#This Row],[Total Population Served]]</f>
        <v>0.76984126984126988</v>
      </c>
      <c r="J29" s="100">
        <f t="shared" si="0"/>
        <v>7.2692063492063488</v>
      </c>
      <c r="K29" s="100">
        <f t="shared" si="1"/>
        <v>17.861154446177846</v>
      </c>
      <c r="L29" s="102">
        <v>0</v>
      </c>
      <c r="M29" s="4">
        <v>2425</v>
      </c>
      <c r="N29" s="4">
        <v>20473</v>
      </c>
      <c r="O29" s="4">
        <v>22898</v>
      </c>
      <c r="P29" s="4">
        <v>14703</v>
      </c>
      <c r="Q29" s="4">
        <v>55893</v>
      </c>
      <c r="R29" s="100">
        <f t="shared" si="2"/>
        <v>17.743809523809524</v>
      </c>
      <c r="S29" s="4">
        <v>1629</v>
      </c>
      <c r="T29" s="71">
        <f t="shared" si="6"/>
        <v>0.51714285714285713</v>
      </c>
      <c r="U29" s="4">
        <v>2939</v>
      </c>
      <c r="V29" s="4">
        <v>2282</v>
      </c>
      <c r="W29" s="4">
        <v>12614</v>
      </c>
      <c r="X29" s="77">
        <v>17580</v>
      </c>
      <c r="Y29" s="101">
        <f t="shared" si="3"/>
        <v>4.0044444444444443</v>
      </c>
      <c r="Z29" s="101">
        <f t="shared" si="4"/>
        <v>9.8393135725429008</v>
      </c>
      <c r="AA29" s="4">
        <v>1677</v>
      </c>
      <c r="AB29" s="2" t="s">
        <v>872</v>
      </c>
      <c r="AC29" s="106">
        <v>924</v>
      </c>
      <c r="AD29" s="4">
        <v>70596</v>
      </c>
      <c r="AE29" s="4">
        <v>1282</v>
      </c>
      <c r="AF29" s="4">
        <v>3150</v>
      </c>
    </row>
    <row r="30" spans="1:32" ht="13.5" thickBot="1" x14ac:dyDescent="0.25">
      <c r="A30" s="2" t="s">
        <v>311</v>
      </c>
      <c r="B30" s="1" t="s">
        <v>310</v>
      </c>
      <c r="C30" s="2" t="s">
        <v>19</v>
      </c>
      <c r="D30" s="4">
        <v>2210</v>
      </c>
      <c r="E30" s="4">
        <v>4465</v>
      </c>
      <c r="F30" s="4">
        <v>699</v>
      </c>
      <c r="G30" s="4">
        <v>7374</v>
      </c>
      <c r="H30" s="100">
        <f>Table3[[#This Row],[Circulation of Children''s Materials]]/Table3[[#This Row],[Total Population Served]]</f>
        <v>0.72625698324022347</v>
      </c>
      <c r="I30" s="100">
        <f>Table3[[#This Row],[Circulation of Electronic Materials]]/Table3[[#This Row],[Total Population Served]]</f>
        <v>0.22970752546828788</v>
      </c>
      <c r="J30" s="100">
        <f t="shared" si="0"/>
        <v>2.4232665133092341</v>
      </c>
      <c r="K30" s="100">
        <f t="shared" si="1"/>
        <v>3.9015873015873015</v>
      </c>
      <c r="L30" s="102">
        <v>0</v>
      </c>
      <c r="M30" s="4">
        <v>699</v>
      </c>
      <c r="N30" s="4">
        <v>6675</v>
      </c>
      <c r="O30" s="4">
        <v>7374</v>
      </c>
      <c r="P30" s="4">
        <v>39861</v>
      </c>
      <c r="Q30" s="4">
        <v>17552</v>
      </c>
      <c r="R30" s="100">
        <f t="shared" si="2"/>
        <v>5.7679921130463354</v>
      </c>
      <c r="S30" s="4">
        <v>246</v>
      </c>
      <c r="T30" s="71">
        <f t="shared" si="6"/>
        <v>8.0841275057509043E-2</v>
      </c>
      <c r="U30" s="4">
        <v>551</v>
      </c>
      <c r="V30" s="4">
        <v>750</v>
      </c>
      <c r="W30" s="4">
        <v>6597</v>
      </c>
      <c r="X30" s="77">
        <v>1200</v>
      </c>
      <c r="Y30" s="101">
        <f t="shared" si="3"/>
        <v>2.167926388432468</v>
      </c>
      <c r="Z30" s="101">
        <f t="shared" si="4"/>
        <v>3.4904761904761905</v>
      </c>
      <c r="AA30" s="4">
        <v>1779</v>
      </c>
      <c r="AB30" s="2" t="s">
        <v>872</v>
      </c>
      <c r="AC30" s="106">
        <v>759</v>
      </c>
      <c r="AD30" s="4">
        <v>57413</v>
      </c>
      <c r="AE30" s="4">
        <v>1890</v>
      </c>
      <c r="AF30" s="4">
        <v>3043</v>
      </c>
    </row>
    <row r="31" spans="1:32" ht="13.5" thickBot="1" x14ac:dyDescent="0.25">
      <c r="A31" s="2" t="s">
        <v>319</v>
      </c>
      <c r="B31" s="1" t="s">
        <v>318</v>
      </c>
      <c r="C31" s="2" t="s">
        <v>19</v>
      </c>
      <c r="D31" s="4">
        <v>1750</v>
      </c>
      <c r="E31" s="4">
        <v>1386</v>
      </c>
      <c r="F31" s="4">
        <v>0</v>
      </c>
      <c r="G31" s="4">
        <v>3136</v>
      </c>
      <c r="H31" s="100">
        <f>Table3[[#This Row],[Circulation of Children''s Materials]]/Table3[[#This Row],[Total Population Served]]</f>
        <v>0.85490962383976554</v>
      </c>
      <c r="I31" s="100">
        <f>Table3[[#This Row],[Circulation of Electronic Materials]]/Table3[[#This Row],[Total Population Served]]</f>
        <v>0</v>
      </c>
      <c r="J31" s="100">
        <f t="shared" si="0"/>
        <v>1.5319980459208598</v>
      </c>
      <c r="K31" s="100">
        <f t="shared" si="1"/>
        <v>12.8</v>
      </c>
      <c r="L31" s="103" t="s">
        <v>2632</v>
      </c>
      <c r="M31" s="4">
        <v>0</v>
      </c>
      <c r="N31" s="4">
        <v>3136</v>
      </c>
      <c r="O31" s="4">
        <v>3136</v>
      </c>
      <c r="P31" s="4">
        <v>12548</v>
      </c>
      <c r="Q31" s="4">
        <v>0</v>
      </c>
      <c r="R31" s="100">
        <f t="shared" si="2"/>
        <v>0</v>
      </c>
      <c r="S31" s="105" t="s">
        <v>2632</v>
      </c>
      <c r="T31" s="110">
        <v>0</v>
      </c>
      <c r="U31" s="4">
        <v>35</v>
      </c>
      <c r="V31" s="4">
        <v>195</v>
      </c>
      <c r="W31" s="4">
        <v>2322</v>
      </c>
      <c r="X31" s="78" t="s">
        <v>16</v>
      </c>
      <c r="Y31" s="101">
        <f t="shared" si="3"/>
        <v>1.1343429408891059</v>
      </c>
      <c r="Z31" s="101">
        <f t="shared" si="4"/>
        <v>9.4775510204081641</v>
      </c>
      <c r="AA31" s="4">
        <v>129</v>
      </c>
      <c r="AB31" s="2" t="s">
        <v>872</v>
      </c>
      <c r="AC31" s="106">
        <v>1667</v>
      </c>
      <c r="AD31" s="4">
        <v>12548</v>
      </c>
      <c r="AE31" s="4">
        <v>245</v>
      </c>
      <c r="AF31" s="4">
        <v>2047</v>
      </c>
    </row>
    <row r="32" spans="1:32" ht="13.5" thickBot="1" x14ac:dyDescent="0.25">
      <c r="A32" s="2" t="s">
        <v>327</v>
      </c>
      <c r="B32" s="1" t="s">
        <v>326</v>
      </c>
      <c r="C32" s="2" t="s">
        <v>19</v>
      </c>
      <c r="D32" s="77">
        <v>5418</v>
      </c>
      <c r="E32" s="77">
        <v>20234</v>
      </c>
      <c r="F32" s="77">
        <v>3108</v>
      </c>
      <c r="G32" s="77">
        <v>28760</v>
      </c>
      <c r="H32" s="100">
        <f>Table3[[#This Row],[Circulation of Children''s Materials]]/Table3[[#This Row],[Total Population Served]]</f>
        <v>1.4843835616438357</v>
      </c>
      <c r="I32" s="100">
        <f>Table3[[#This Row],[Circulation of Electronic Materials]]/Table3[[#This Row],[Total Population Served]]</f>
        <v>0.85150684931506848</v>
      </c>
      <c r="J32" s="100">
        <f t="shared" si="0"/>
        <v>7.8794520547945206</v>
      </c>
      <c r="K32" s="100">
        <f t="shared" si="1"/>
        <v>32.60770975056689</v>
      </c>
      <c r="L32" s="103" t="s">
        <v>2632</v>
      </c>
      <c r="M32" s="77">
        <v>3108</v>
      </c>
      <c r="N32" s="77">
        <v>25652</v>
      </c>
      <c r="O32" s="77">
        <v>28760</v>
      </c>
      <c r="P32" s="77">
        <v>30050</v>
      </c>
      <c r="Q32" s="77">
        <v>36695</v>
      </c>
      <c r="R32" s="100">
        <f t="shared" si="2"/>
        <v>10.053424657534247</v>
      </c>
      <c r="S32" s="77">
        <v>310</v>
      </c>
      <c r="T32" s="71">
        <f>S32/AF32</f>
        <v>8.4931506849315067E-2</v>
      </c>
      <c r="U32" s="77">
        <v>486</v>
      </c>
      <c r="V32" s="77">
        <v>753</v>
      </c>
      <c r="W32" s="77">
        <v>17000</v>
      </c>
      <c r="X32" s="77">
        <v>1200</v>
      </c>
      <c r="Y32" s="101">
        <f t="shared" si="3"/>
        <v>4.6575342465753424</v>
      </c>
      <c r="Z32" s="101">
        <f t="shared" si="4"/>
        <v>19.274376417233562</v>
      </c>
      <c r="AA32" s="77">
        <v>2400</v>
      </c>
      <c r="AB32" s="2" t="s">
        <v>872</v>
      </c>
      <c r="AC32" s="106">
        <v>657</v>
      </c>
      <c r="AD32" s="77">
        <v>66745</v>
      </c>
      <c r="AE32" s="77">
        <v>882</v>
      </c>
      <c r="AF32" s="4">
        <v>3650</v>
      </c>
    </row>
    <row r="33" spans="1:32" ht="13.5" thickBot="1" x14ac:dyDescent="0.25">
      <c r="A33" s="2" t="s">
        <v>329</v>
      </c>
      <c r="B33" s="1" t="s">
        <v>328</v>
      </c>
      <c r="C33" s="2" t="s">
        <v>19</v>
      </c>
      <c r="D33" s="77">
        <v>281</v>
      </c>
      <c r="E33" s="77">
        <v>690</v>
      </c>
      <c r="F33" s="77">
        <v>1</v>
      </c>
      <c r="G33" s="77">
        <v>972</v>
      </c>
      <c r="H33" s="100">
        <f>Table3[[#This Row],[Circulation of Children''s Materials]]/Table3[[#This Row],[Total Population Served]]</f>
        <v>0.15371991247264771</v>
      </c>
      <c r="I33" s="100">
        <f>Table3[[#This Row],[Circulation of Electronic Materials]]/Table3[[#This Row],[Total Population Served]]</f>
        <v>5.4704595185995622E-4</v>
      </c>
      <c r="J33" s="100">
        <f t="shared" si="0"/>
        <v>0.53172866520787743</v>
      </c>
      <c r="K33" s="100">
        <f t="shared" si="1"/>
        <v>4.8118811881188117</v>
      </c>
      <c r="L33" s="102">
        <v>0</v>
      </c>
      <c r="M33" s="77">
        <v>1</v>
      </c>
      <c r="N33" s="77">
        <v>971</v>
      </c>
      <c r="O33" s="77">
        <v>972</v>
      </c>
      <c r="P33" s="77">
        <v>6894</v>
      </c>
      <c r="Q33" s="77">
        <v>1</v>
      </c>
      <c r="R33" s="100">
        <f t="shared" si="2"/>
        <v>5.4704595185995622E-4</v>
      </c>
      <c r="S33" s="77">
        <v>225</v>
      </c>
      <c r="T33" s="71">
        <f>S33/AF33</f>
        <v>0.12308533916849015</v>
      </c>
      <c r="U33" s="77">
        <v>0</v>
      </c>
      <c r="V33" s="77">
        <v>0</v>
      </c>
      <c r="W33" s="77">
        <v>924</v>
      </c>
      <c r="X33" s="77">
        <v>130</v>
      </c>
      <c r="Y33" s="101">
        <f t="shared" si="3"/>
        <v>0.50547045951859959</v>
      </c>
      <c r="Z33" s="101">
        <f t="shared" si="4"/>
        <v>4.5742574257425739</v>
      </c>
      <c r="AA33" s="77">
        <v>40</v>
      </c>
      <c r="AB33" s="2" t="s">
        <v>872</v>
      </c>
      <c r="AC33" s="106">
        <v>25</v>
      </c>
      <c r="AD33" s="77">
        <v>6895</v>
      </c>
      <c r="AE33" s="77">
        <v>202</v>
      </c>
      <c r="AF33" s="4">
        <v>1828</v>
      </c>
    </row>
    <row r="34" spans="1:32" ht="13.5" thickBot="1" x14ac:dyDescent="0.25">
      <c r="A34" s="2" t="s">
        <v>379</v>
      </c>
      <c r="B34" s="1" t="s">
        <v>378</v>
      </c>
      <c r="C34" s="2" t="s">
        <v>19</v>
      </c>
      <c r="D34" s="4">
        <v>12321</v>
      </c>
      <c r="E34" s="4">
        <v>22665</v>
      </c>
      <c r="F34" s="4">
        <v>1372</v>
      </c>
      <c r="G34" s="4">
        <v>36358</v>
      </c>
      <c r="H34" s="100">
        <f>Table3[[#This Row],[Circulation of Children''s Materials]]/Table3[[#This Row],[Total Population Served]]</f>
        <v>3.1383087111563932</v>
      </c>
      <c r="I34" s="100">
        <f>Table3[[#This Row],[Circulation of Electronic Materials]]/Table3[[#This Row],[Total Population Served]]</f>
        <v>0.34946510443199186</v>
      </c>
      <c r="J34" s="100">
        <f t="shared" si="0"/>
        <v>9.2608252674477836</v>
      </c>
      <c r="K34" s="100">
        <f t="shared" si="1"/>
        <v>8.2688196497612001</v>
      </c>
      <c r="L34" s="102">
        <v>84</v>
      </c>
      <c r="M34" s="4">
        <v>1456</v>
      </c>
      <c r="N34" s="4">
        <v>34986</v>
      </c>
      <c r="O34" s="4">
        <v>36442</v>
      </c>
      <c r="P34" s="4">
        <v>34150</v>
      </c>
      <c r="Q34" s="4">
        <v>12474</v>
      </c>
      <c r="R34" s="100">
        <f t="shared" si="2"/>
        <v>3.1772796739684157</v>
      </c>
      <c r="S34" s="4">
        <v>5000</v>
      </c>
      <c r="T34" s="71">
        <f>S34/AF34</f>
        <v>1.2735608762098829</v>
      </c>
      <c r="U34" s="4">
        <v>2779</v>
      </c>
      <c r="V34" s="4">
        <v>3514</v>
      </c>
      <c r="W34" s="4">
        <v>40796</v>
      </c>
      <c r="X34" s="77">
        <v>2700</v>
      </c>
      <c r="Y34" s="101">
        <f t="shared" si="3"/>
        <v>10.391237901171676</v>
      </c>
      <c r="Z34" s="101">
        <f t="shared" si="4"/>
        <v>9.2781441892199226</v>
      </c>
      <c r="AA34" s="4">
        <v>6057</v>
      </c>
      <c r="AB34" s="2" t="s">
        <v>872</v>
      </c>
      <c r="AC34" s="106">
        <v>8462</v>
      </c>
      <c r="AD34" s="4">
        <v>46624</v>
      </c>
      <c r="AE34" s="4">
        <v>4397</v>
      </c>
      <c r="AF34" s="4">
        <v>3926</v>
      </c>
    </row>
    <row r="35" spans="1:32" ht="13.5" thickBot="1" x14ac:dyDescent="0.25">
      <c r="A35" s="2" t="s">
        <v>395</v>
      </c>
      <c r="B35" s="1" t="s">
        <v>394</v>
      </c>
      <c r="C35" s="2" t="s">
        <v>19</v>
      </c>
      <c r="D35" s="77">
        <v>2210</v>
      </c>
      <c r="E35" s="77">
        <v>8202</v>
      </c>
      <c r="F35" s="77">
        <v>1487</v>
      </c>
      <c r="G35" s="77">
        <v>11899</v>
      </c>
      <c r="H35" s="100">
        <f>Table3[[#This Row],[Circulation of Children''s Materials]]/Table3[[#This Row],[Total Population Served]]</f>
        <v>0.72745227123107303</v>
      </c>
      <c r="I35" s="100">
        <f>Table3[[#This Row],[Circulation of Electronic Materials]]/Table3[[#This Row],[Total Population Served]]</f>
        <v>0.48946675444371296</v>
      </c>
      <c r="J35" s="100">
        <f t="shared" si="0"/>
        <v>3.9167215273206057</v>
      </c>
      <c r="K35" s="100">
        <f t="shared" si="1"/>
        <v>4.2405559515324303</v>
      </c>
      <c r="L35" s="102">
        <v>0</v>
      </c>
      <c r="M35" s="77">
        <v>1487</v>
      </c>
      <c r="N35" s="77">
        <v>10412</v>
      </c>
      <c r="O35" s="77">
        <v>11899</v>
      </c>
      <c r="P35" s="77">
        <v>37802</v>
      </c>
      <c r="Q35" s="77">
        <v>24970</v>
      </c>
      <c r="R35" s="100">
        <f t="shared" si="2"/>
        <v>8.2192231731402234</v>
      </c>
      <c r="S35" s="77">
        <v>3120</v>
      </c>
      <c r="T35" s="71">
        <f>S35/AF35</f>
        <v>1.0269914417379855</v>
      </c>
      <c r="U35" s="77">
        <v>414</v>
      </c>
      <c r="V35" s="77">
        <v>663</v>
      </c>
      <c r="W35" s="77">
        <v>10400</v>
      </c>
      <c r="X35" s="77">
        <v>9082</v>
      </c>
      <c r="Y35" s="101">
        <f t="shared" si="3"/>
        <v>3.4233048057932849</v>
      </c>
      <c r="Z35" s="101">
        <f t="shared" si="4"/>
        <v>3.7063435495367072</v>
      </c>
      <c r="AA35" s="77">
        <v>3900</v>
      </c>
      <c r="AB35" s="2" t="s">
        <v>872</v>
      </c>
      <c r="AC35" s="106">
        <v>2080</v>
      </c>
      <c r="AD35" s="77">
        <v>62772</v>
      </c>
      <c r="AE35" s="77">
        <v>2806</v>
      </c>
      <c r="AF35" s="4">
        <v>3038</v>
      </c>
    </row>
    <row r="36" spans="1:32" ht="13.5" thickBot="1" x14ac:dyDescent="0.25">
      <c r="A36" s="2" t="s">
        <v>427</v>
      </c>
      <c r="B36" s="1" t="s">
        <v>426</v>
      </c>
      <c r="C36" s="2" t="s">
        <v>19</v>
      </c>
      <c r="D36" s="4">
        <v>4573</v>
      </c>
      <c r="E36" s="4">
        <v>1974</v>
      </c>
      <c r="F36" s="4">
        <v>795</v>
      </c>
      <c r="G36" s="4">
        <v>7342</v>
      </c>
      <c r="H36" s="100">
        <f>Table3[[#This Row],[Circulation of Children''s Materials]]/Table3[[#This Row],[Total Population Served]]</f>
        <v>1.2260053619302949</v>
      </c>
      <c r="I36" s="100">
        <f>Table3[[#This Row],[Circulation of Electronic Materials]]/Table3[[#This Row],[Total Population Served]]</f>
        <v>0.21313672922252011</v>
      </c>
      <c r="J36" s="100">
        <f t="shared" si="0"/>
        <v>1.9683646112600537</v>
      </c>
      <c r="K36" s="100">
        <f t="shared" si="1"/>
        <v>6.7050228310502282</v>
      </c>
      <c r="L36" s="102">
        <v>0</v>
      </c>
      <c r="M36" s="4">
        <v>795</v>
      </c>
      <c r="N36" s="4">
        <v>6547</v>
      </c>
      <c r="O36" s="4">
        <v>7342</v>
      </c>
      <c r="P36" s="4">
        <v>18233</v>
      </c>
      <c r="Q36" s="4">
        <v>11644</v>
      </c>
      <c r="R36" s="100">
        <f t="shared" si="2"/>
        <v>3.12171581769437</v>
      </c>
      <c r="S36" s="4">
        <v>113</v>
      </c>
      <c r="T36" s="71">
        <f>S36/AF36</f>
        <v>3.029490616621984E-2</v>
      </c>
      <c r="U36" s="4">
        <v>232</v>
      </c>
      <c r="V36" s="4">
        <v>127</v>
      </c>
      <c r="W36" s="4">
        <v>9765</v>
      </c>
      <c r="X36" s="77">
        <v>1475</v>
      </c>
      <c r="Y36" s="101">
        <f t="shared" si="3"/>
        <v>2.6179624664879357</v>
      </c>
      <c r="Z36" s="101">
        <f t="shared" si="4"/>
        <v>8.9178082191780828</v>
      </c>
      <c r="AA36" s="4">
        <v>1295</v>
      </c>
      <c r="AB36" s="2" t="s">
        <v>872</v>
      </c>
      <c r="AC36" s="106">
        <v>25</v>
      </c>
      <c r="AD36" s="4">
        <v>29877</v>
      </c>
      <c r="AE36" s="4">
        <v>1095</v>
      </c>
      <c r="AF36" s="4">
        <v>3730</v>
      </c>
    </row>
    <row r="37" spans="1:32" ht="13.5" thickBot="1" x14ac:dyDescent="0.25">
      <c r="A37" s="2" t="s">
        <v>433</v>
      </c>
      <c r="B37" s="1" t="s">
        <v>432</v>
      </c>
      <c r="C37" s="2" t="s">
        <v>19</v>
      </c>
      <c r="D37" s="4">
        <v>2309</v>
      </c>
      <c r="E37" s="4">
        <v>2119</v>
      </c>
      <c r="F37" s="4">
        <v>0</v>
      </c>
      <c r="G37" s="4">
        <v>4428</v>
      </c>
      <c r="H37" s="100">
        <f>Table3[[#This Row],[Circulation of Children''s Materials]]/Table3[[#This Row],[Total Population Served]]</f>
        <v>0.84424131627056676</v>
      </c>
      <c r="I37" s="100">
        <f>Table3[[#This Row],[Circulation of Electronic Materials]]/Table3[[#This Row],[Total Population Served]]</f>
        <v>0</v>
      </c>
      <c r="J37" s="100">
        <f t="shared" si="0"/>
        <v>1.6190127970749544</v>
      </c>
      <c r="K37" s="100">
        <f t="shared" si="1"/>
        <v>9.1487603305785132</v>
      </c>
      <c r="L37" s="102">
        <v>0</v>
      </c>
      <c r="M37" s="4">
        <v>0</v>
      </c>
      <c r="N37" s="4">
        <v>4428</v>
      </c>
      <c r="O37" s="4">
        <v>4428</v>
      </c>
      <c r="P37" s="4">
        <v>16386</v>
      </c>
      <c r="Q37" s="4">
        <v>0</v>
      </c>
      <c r="R37" s="100">
        <f t="shared" si="2"/>
        <v>0</v>
      </c>
      <c r="S37" s="105" t="s">
        <v>2632</v>
      </c>
      <c r="T37" s="110">
        <v>0</v>
      </c>
      <c r="U37" s="77">
        <v>0</v>
      </c>
      <c r="V37" s="4">
        <v>0</v>
      </c>
      <c r="W37" s="4">
        <v>1913</v>
      </c>
      <c r="X37" s="77">
        <v>0</v>
      </c>
      <c r="Y37" s="101">
        <f t="shared" si="3"/>
        <v>0.69945155393053016</v>
      </c>
      <c r="Z37" s="101">
        <f t="shared" si="4"/>
        <v>3.9524793388429753</v>
      </c>
      <c r="AA37" s="77">
        <v>261</v>
      </c>
      <c r="AB37" s="2" t="s">
        <v>872</v>
      </c>
      <c r="AC37" s="106">
        <v>2090</v>
      </c>
      <c r="AD37" s="4">
        <v>16386</v>
      </c>
      <c r="AE37" s="4">
        <v>484</v>
      </c>
      <c r="AF37" s="4">
        <v>2735</v>
      </c>
    </row>
    <row r="38" spans="1:32" ht="13.5" thickBot="1" x14ac:dyDescent="0.25">
      <c r="A38" s="2" t="s">
        <v>435</v>
      </c>
      <c r="B38" s="1" t="s">
        <v>434</v>
      </c>
      <c r="C38" s="2" t="s">
        <v>19</v>
      </c>
      <c r="D38" s="77">
        <v>6634</v>
      </c>
      <c r="E38" s="77">
        <v>13482</v>
      </c>
      <c r="F38" s="77">
        <v>1989</v>
      </c>
      <c r="G38" s="77">
        <v>22105</v>
      </c>
      <c r="H38" s="100">
        <f>Table3[[#This Row],[Circulation of Children''s Materials]]/Table3[[#This Row],[Total Population Served]]</f>
        <v>3.4915789473684211</v>
      </c>
      <c r="I38" s="100">
        <f>Table3[[#This Row],[Circulation of Electronic Materials]]/Table3[[#This Row],[Total Population Served]]</f>
        <v>1.0468421052631578</v>
      </c>
      <c r="J38" s="100">
        <f t="shared" si="0"/>
        <v>11.634210526315789</v>
      </c>
      <c r="K38" s="100">
        <f t="shared" si="1"/>
        <v>9.3744698897370657</v>
      </c>
      <c r="L38" s="102">
        <v>0</v>
      </c>
      <c r="M38" s="77">
        <v>1989</v>
      </c>
      <c r="N38" s="77">
        <v>20116</v>
      </c>
      <c r="O38" s="77">
        <v>22105</v>
      </c>
      <c r="P38" s="77">
        <v>30886</v>
      </c>
      <c r="Q38" s="77">
        <v>12037</v>
      </c>
      <c r="R38" s="100">
        <f t="shared" si="2"/>
        <v>6.3352631578947367</v>
      </c>
      <c r="S38" s="77">
        <v>215</v>
      </c>
      <c r="T38" s="71">
        <f t="shared" ref="T38:T43" si="7">S38/AF38</f>
        <v>0.11315789473684211</v>
      </c>
      <c r="U38" s="77">
        <v>663</v>
      </c>
      <c r="V38" s="77">
        <v>673</v>
      </c>
      <c r="W38" s="77">
        <v>13917</v>
      </c>
      <c r="X38" s="77">
        <v>11224</v>
      </c>
      <c r="Y38" s="101">
        <f t="shared" si="3"/>
        <v>7.3247368421052634</v>
      </c>
      <c r="Z38" s="101">
        <f t="shared" si="4"/>
        <v>5.9020356234096694</v>
      </c>
      <c r="AA38" s="77">
        <v>2748</v>
      </c>
      <c r="AB38" s="2" t="s">
        <v>872</v>
      </c>
      <c r="AC38" s="106">
        <v>1980</v>
      </c>
      <c r="AD38" s="77">
        <v>42923</v>
      </c>
      <c r="AE38" s="77">
        <v>2358</v>
      </c>
      <c r="AF38" s="4">
        <v>1900</v>
      </c>
    </row>
    <row r="39" spans="1:32" ht="13.5" thickBot="1" x14ac:dyDescent="0.25">
      <c r="A39" s="2" t="s">
        <v>439</v>
      </c>
      <c r="B39" s="1" t="s">
        <v>438</v>
      </c>
      <c r="C39" s="2" t="s">
        <v>19</v>
      </c>
      <c r="D39" s="4">
        <v>5648</v>
      </c>
      <c r="E39" s="4">
        <v>24276</v>
      </c>
      <c r="F39" s="4">
        <v>2393</v>
      </c>
      <c r="G39" s="4">
        <v>32317</v>
      </c>
      <c r="H39" s="100">
        <f>Table3[[#This Row],[Circulation of Children''s Materials]]/Table3[[#This Row],[Total Population Served]]</f>
        <v>2.7863838184509127</v>
      </c>
      <c r="I39" s="100">
        <f>Table3[[#This Row],[Circulation of Electronic Materials]]/Table3[[#This Row],[Total Population Served]]</f>
        <v>1.1805624074987666</v>
      </c>
      <c r="J39" s="100">
        <f t="shared" si="0"/>
        <v>15.943265910212137</v>
      </c>
      <c r="K39" s="100">
        <f t="shared" si="1"/>
        <v>11.476207386363637</v>
      </c>
      <c r="L39" s="103" t="s">
        <v>2632</v>
      </c>
      <c r="M39" s="4">
        <v>2393</v>
      </c>
      <c r="N39" s="4">
        <v>29924</v>
      </c>
      <c r="O39" s="4">
        <v>32317</v>
      </c>
      <c r="P39" s="4">
        <v>21266</v>
      </c>
      <c r="Q39" s="4">
        <v>34255</v>
      </c>
      <c r="R39" s="100">
        <f t="shared" si="2"/>
        <v>16.899358658115442</v>
      </c>
      <c r="S39" s="4">
        <v>2080</v>
      </c>
      <c r="T39" s="71">
        <f t="shared" si="7"/>
        <v>1.0261470152935372</v>
      </c>
      <c r="U39" s="4">
        <v>614</v>
      </c>
      <c r="V39" s="4">
        <v>1206</v>
      </c>
      <c r="W39" s="4">
        <v>21106</v>
      </c>
      <c r="X39" s="77">
        <v>17609</v>
      </c>
      <c r="Y39" s="101">
        <f t="shared" si="3"/>
        <v>10.41243216576221</v>
      </c>
      <c r="Z39" s="101">
        <f t="shared" si="4"/>
        <v>7.4950284090909092</v>
      </c>
      <c r="AA39" s="4">
        <v>3000</v>
      </c>
      <c r="AB39" s="2" t="s">
        <v>872</v>
      </c>
      <c r="AC39" s="106">
        <v>6556</v>
      </c>
      <c r="AD39" s="4">
        <v>55521</v>
      </c>
      <c r="AE39" s="4">
        <v>2816</v>
      </c>
      <c r="AF39" s="4">
        <v>2027</v>
      </c>
    </row>
    <row r="40" spans="1:32" ht="13.5" thickBot="1" x14ac:dyDescent="0.25">
      <c r="A40" s="2" t="s">
        <v>449</v>
      </c>
      <c r="B40" s="1" t="s">
        <v>448</v>
      </c>
      <c r="C40" s="2" t="s">
        <v>19</v>
      </c>
      <c r="D40" s="77">
        <v>3061</v>
      </c>
      <c r="E40" s="77">
        <v>5536</v>
      </c>
      <c r="F40" s="77">
        <v>252</v>
      </c>
      <c r="G40" s="77">
        <v>8849</v>
      </c>
      <c r="H40" s="100">
        <f>Table3[[#This Row],[Circulation of Children''s Materials]]/Table3[[#This Row],[Total Population Served]]</f>
        <v>1.0797178130511464</v>
      </c>
      <c r="I40" s="100">
        <f>Table3[[#This Row],[Circulation of Electronic Materials]]/Table3[[#This Row],[Total Population Served]]</f>
        <v>8.8888888888888892E-2</v>
      </c>
      <c r="J40" s="100">
        <f t="shared" si="0"/>
        <v>3.1213403880070545</v>
      </c>
      <c r="K40" s="100">
        <f t="shared" si="1"/>
        <v>17.350980392156863</v>
      </c>
      <c r="L40" s="102">
        <v>0</v>
      </c>
      <c r="M40" s="77">
        <v>252</v>
      </c>
      <c r="N40" s="77">
        <v>8597</v>
      </c>
      <c r="O40" s="77">
        <v>8849</v>
      </c>
      <c r="P40" s="77">
        <v>21942</v>
      </c>
      <c r="Q40" s="77">
        <v>7697</v>
      </c>
      <c r="R40" s="100">
        <f t="shared" si="2"/>
        <v>2.7149911816578483</v>
      </c>
      <c r="S40" s="77">
        <v>253</v>
      </c>
      <c r="T40" s="71">
        <f t="shared" si="7"/>
        <v>8.9241622574955909E-2</v>
      </c>
      <c r="U40" s="77">
        <v>54</v>
      </c>
      <c r="V40" s="77">
        <v>89</v>
      </c>
      <c r="W40" s="77">
        <v>3172</v>
      </c>
      <c r="X40" s="77">
        <v>0</v>
      </c>
      <c r="Y40" s="101">
        <f t="shared" si="3"/>
        <v>1.1188712522045856</v>
      </c>
      <c r="Z40" s="101">
        <f t="shared" si="4"/>
        <v>6.219607843137255</v>
      </c>
      <c r="AA40" s="77">
        <v>1369</v>
      </c>
      <c r="AB40" s="2" t="s">
        <v>872</v>
      </c>
      <c r="AC40" s="106">
        <v>378</v>
      </c>
      <c r="AD40" s="77">
        <v>29639</v>
      </c>
      <c r="AE40" s="77">
        <v>510</v>
      </c>
      <c r="AF40" s="4">
        <v>2835</v>
      </c>
    </row>
    <row r="41" spans="1:32" ht="13.5" thickBot="1" x14ac:dyDescent="0.25">
      <c r="A41" s="2" t="s">
        <v>455</v>
      </c>
      <c r="B41" s="1" t="s">
        <v>454</v>
      </c>
      <c r="C41" s="2" t="s">
        <v>19</v>
      </c>
      <c r="D41" s="77">
        <v>3454</v>
      </c>
      <c r="E41" s="77">
        <v>11250</v>
      </c>
      <c r="F41" s="77">
        <v>14704</v>
      </c>
      <c r="G41" s="77">
        <v>29408</v>
      </c>
      <c r="H41" s="100">
        <f>Table3[[#This Row],[Circulation of Children''s Materials]]/Table3[[#This Row],[Total Population Served]]</f>
        <v>1.4561551433389546</v>
      </c>
      <c r="I41" s="100">
        <f>Table3[[#This Row],[Circulation of Electronic Materials]]/Table3[[#This Row],[Total Population Served]]</f>
        <v>6.198988195615514</v>
      </c>
      <c r="J41" s="100">
        <f t="shared" si="0"/>
        <v>12.397976391231028</v>
      </c>
      <c r="K41" s="100">
        <f t="shared" si="1"/>
        <v>24.344370860927153</v>
      </c>
      <c r="L41" s="102">
        <v>0</v>
      </c>
      <c r="M41" s="77">
        <v>14704</v>
      </c>
      <c r="N41" s="77">
        <v>14704</v>
      </c>
      <c r="O41" s="77">
        <v>29408</v>
      </c>
      <c r="P41" s="77">
        <v>18360</v>
      </c>
      <c r="Q41" s="77">
        <v>12484</v>
      </c>
      <c r="R41" s="100">
        <f t="shared" si="2"/>
        <v>5.263069139966273</v>
      </c>
      <c r="S41" s="77">
        <v>426</v>
      </c>
      <c r="T41" s="71">
        <f t="shared" si="7"/>
        <v>0.17959527824620575</v>
      </c>
      <c r="U41" s="77">
        <v>353</v>
      </c>
      <c r="V41" s="77">
        <v>390</v>
      </c>
      <c r="W41" s="77">
        <v>10887</v>
      </c>
      <c r="X41" s="77">
        <v>2523</v>
      </c>
      <c r="Y41" s="101">
        <f t="shared" si="3"/>
        <v>4.5897976391231028</v>
      </c>
      <c r="Z41" s="101">
        <f t="shared" si="4"/>
        <v>9.012417218543046</v>
      </c>
      <c r="AA41" s="77">
        <v>914</v>
      </c>
      <c r="AB41" s="2" t="s">
        <v>872</v>
      </c>
      <c r="AC41" s="106">
        <v>2658</v>
      </c>
      <c r="AD41" s="77">
        <v>30844</v>
      </c>
      <c r="AE41" s="77">
        <v>1208</v>
      </c>
      <c r="AF41" s="4">
        <v>2372</v>
      </c>
    </row>
    <row r="42" spans="1:32" ht="13.5" thickBot="1" x14ac:dyDescent="0.25">
      <c r="A42" s="2" t="s">
        <v>469</v>
      </c>
      <c r="B42" s="1" t="s">
        <v>468</v>
      </c>
      <c r="C42" s="2" t="s">
        <v>19</v>
      </c>
      <c r="D42" s="4">
        <v>2711</v>
      </c>
      <c r="E42" s="4">
        <v>12378</v>
      </c>
      <c r="F42" s="4">
        <v>0</v>
      </c>
      <c r="G42" s="4">
        <v>15089</v>
      </c>
      <c r="H42" s="100">
        <f>Table3[[#This Row],[Circulation of Children''s Materials]]/Table3[[#This Row],[Total Population Served]]</f>
        <v>0.73929642759749115</v>
      </c>
      <c r="I42" s="100">
        <f>Table3[[#This Row],[Circulation of Electronic Materials]]/Table3[[#This Row],[Total Population Served]]</f>
        <v>0</v>
      </c>
      <c r="J42" s="100">
        <f t="shared" si="0"/>
        <v>4.1148077447504772</v>
      </c>
      <c r="K42" s="100">
        <f t="shared" si="1"/>
        <v>8.1960890820206416</v>
      </c>
      <c r="L42" s="102">
        <v>80</v>
      </c>
      <c r="M42" s="4">
        <v>80</v>
      </c>
      <c r="N42" s="4">
        <v>15089</v>
      </c>
      <c r="O42" s="4">
        <v>15169</v>
      </c>
      <c r="P42" s="4">
        <v>19205</v>
      </c>
      <c r="Q42" s="4">
        <v>0</v>
      </c>
      <c r="R42" s="100">
        <f t="shared" si="2"/>
        <v>0</v>
      </c>
      <c r="S42" s="4">
        <v>1085</v>
      </c>
      <c r="T42" s="71">
        <f t="shared" si="7"/>
        <v>0.295882192527952</v>
      </c>
      <c r="U42" s="4">
        <v>680</v>
      </c>
      <c r="V42" s="4">
        <v>931</v>
      </c>
      <c r="W42" s="4">
        <v>10616</v>
      </c>
      <c r="X42" s="77">
        <v>7000</v>
      </c>
      <c r="Y42" s="101">
        <f t="shared" si="3"/>
        <v>2.8950095445868556</v>
      </c>
      <c r="Z42" s="101">
        <f t="shared" si="4"/>
        <v>5.7664312873438348</v>
      </c>
      <c r="AA42" s="4">
        <v>2314</v>
      </c>
      <c r="AB42" s="2" t="s">
        <v>872</v>
      </c>
      <c r="AC42" s="106">
        <v>4000</v>
      </c>
      <c r="AD42" s="4">
        <v>19205</v>
      </c>
      <c r="AE42" s="4">
        <v>1841</v>
      </c>
      <c r="AF42" s="4">
        <v>3667</v>
      </c>
    </row>
    <row r="43" spans="1:32" ht="13.5" thickBot="1" x14ac:dyDescent="0.25">
      <c r="A43" s="2" t="s">
        <v>476</v>
      </c>
      <c r="B43" s="1" t="s">
        <v>475</v>
      </c>
      <c r="C43" s="2" t="s">
        <v>19</v>
      </c>
      <c r="D43" s="4">
        <v>784</v>
      </c>
      <c r="E43" s="4">
        <v>2927</v>
      </c>
      <c r="F43" s="4">
        <v>382</v>
      </c>
      <c r="G43" s="4">
        <v>4093</v>
      </c>
      <c r="H43" s="100">
        <f>Table3[[#This Row],[Circulation of Children''s Materials]]/Table3[[#This Row],[Total Population Served]]</f>
        <v>1.5934959349593496</v>
      </c>
      <c r="I43" s="100">
        <f>Table3[[#This Row],[Circulation of Electronic Materials]]/Table3[[#This Row],[Total Population Served]]</f>
        <v>0.77642276422764223</v>
      </c>
      <c r="J43" s="100">
        <f t="shared" si="0"/>
        <v>8.3191056910569099</v>
      </c>
      <c r="K43" s="100">
        <f t="shared" si="1"/>
        <v>3.4627749576988154</v>
      </c>
      <c r="L43" s="103" t="s">
        <v>2632</v>
      </c>
      <c r="M43" s="4">
        <v>382</v>
      </c>
      <c r="N43" s="4">
        <v>3711</v>
      </c>
      <c r="O43" s="4">
        <v>4093</v>
      </c>
      <c r="P43" s="4">
        <v>14443</v>
      </c>
      <c r="Q43" s="4">
        <v>11644</v>
      </c>
      <c r="R43" s="100">
        <f t="shared" si="2"/>
        <v>23.666666666666668</v>
      </c>
      <c r="S43" s="77">
        <v>981</v>
      </c>
      <c r="T43" s="71">
        <f t="shared" si="7"/>
        <v>1.9939024390243902</v>
      </c>
      <c r="U43" s="77">
        <v>1</v>
      </c>
      <c r="V43" s="4">
        <v>4</v>
      </c>
      <c r="W43" s="4">
        <v>21349</v>
      </c>
      <c r="X43" s="77">
        <v>3257</v>
      </c>
      <c r="Y43" s="101">
        <f t="shared" si="3"/>
        <v>43.392276422764226</v>
      </c>
      <c r="Z43" s="101">
        <f t="shared" si="4"/>
        <v>18.061759729272421</v>
      </c>
      <c r="AA43" s="77">
        <v>1365</v>
      </c>
      <c r="AB43" s="2" t="s">
        <v>872</v>
      </c>
      <c r="AC43" s="106">
        <v>3254</v>
      </c>
      <c r="AD43" s="4">
        <v>26087</v>
      </c>
      <c r="AE43" s="4">
        <v>1182</v>
      </c>
      <c r="AF43" s="4">
        <v>492</v>
      </c>
    </row>
    <row r="44" spans="1:32" ht="13.5" thickBot="1" x14ac:dyDescent="0.25">
      <c r="A44" s="2" t="s">
        <v>492</v>
      </c>
      <c r="B44" s="1" t="s">
        <v>491</v>
      </c>
      <c r="C44" s="2" t="s">
        <v>19</v>
      </c>
      <c r="D44" s="4">
        <v>2509</v>
      </c>
      <c r="E44" s="4">
        <v>6053</v>
      </c>
      <c r="F44" s="4">
        <v>0</v>
      </c>
      <c r="G44" s="4">
        <v>8562</v>
      </c>
      <c r="H44" s="100">
        <f>Table3[[#This Row],[Circulation of Children''s Materials]]/Table3[[#This Row],[Total Population Served]]</f>
        <v>0.80545746388443018</v>
      </c>
      <c r="I44" s="100">
        <f>Table3[[#This Row],[Circulation of Electronic Materials]]/Table3[[#This Row],[Total Population Served]]</f>
        <v>0</v>
      </c>
      <c r="J44" s="100">
        <f t="shared" si="0"/>
        <v>2.7486356340288927</v>
      </c>
      <c r="K44" s="100">
        <f t="shared" si="1"/>
        <v>4.0463137996219283</v>
      </c>
      <c r="L44" s="102">
        <v>0</v>
      </c>
      <c r="M44" s="4">
        <v>0</v>
      </c>
      <c r="N44" s="4">
        <v>8562</v>
      </c>
      <c r="O44" s="4">
        <v>8562</v>
      </c>
      <c r="P44" s="4">
        <v>12087</v>
      </c>
      <c r="Q44" s="4">
        <v>0</v>
      </c>
      <c r="R44" s="100">
        <f t="shared" si="2"/>
        <v>0</v>
      </c>
      <c r="S44" s="105" t="s">
        <v>2632</v>
      </c>
      <c r="T44" s="110">
        <v>0</v>
      </c>
      <c r="U44" s="4">
        <v>0</v>
      </c>
      <c r="V44" s="4">
        <v>645</v>
      </c>
      <c r="W44" s="4">
        <v>8512</v>
      </c>
      <c r="X44" s="77">
        <v>0</v>
      </c>
      <c r="Y44" s="101">
        <f t="shared" si="3"/>
        <v>2.7325842696629215</v>
      </c>
      <c r="Z44" s="101">
        <f t="shared" si="4"/>
        <v>4.0226843100189038</v>
      </c>
      <c r="AA44" s="4">
        <v>353</v>
      </c>
      <c r="AB44" s="2" t="s">
        <v>872</v>
      </c>
      <c r="AC44" s="106">
        <v>163</v>
      </c>
      <c r="AD44" s="4">
        <v>12087</v>
      </c>
      <c r="AE44" s="4">
        <v>2116</v>
      </c>
      <c r="AF44" s="4">
        <v>3115</v>
      </c>
    </row>
    <row r="45" spans="1:32" ht="13.5" thickBot="1" x14ac:dyDescent="0.25">
      <c r="A45" s="2" t="s">
        <v>508</v>
      </c>
      <c r="B45" s="1" t="s">
        <v>507</v>
      </c>
      <c r="C45" s="2" t="s">
        <v>19</v>
      </c>
      <c r="D45" s="77">
        <v>1359</v>
      </c>
      <c r="E45" s="77">
        <v>2294</v>
      </c>
      <c r="F45" s="77">
        <v>430</v>
      </c>
      <c r="G45" s="77">
        <v>4083</v>
      </c>
      <c r="H45" s="100">
        <f>Table3[[#This Row],[Circulation of Children''s Materials]]/Table3[[#This Row],[Total Population Served]]</f>
        <v>0.55696721311475406</v>
      </c>
      <c r="I45" s="100">
        <f>Table3[[#This Row],[Circulation of Electronic Materials]]/Table3[[#This Row],[Total Population Served]]</f>
        <v>0.17622950819672131</v>
      </c>
      <c r="J45" s="100">
        <f t="shared" si="0"/>
        <v>1.673360655737705</v>
      </c>
      <c r="K45" s="100">
        <f t="shared" si="1"/>
        <v>14.740072202166065</v>
      </c>
      <c r="L45" s="103" t="s">
        <v>2632</v>
      </c>
      <c r="M45" s="77">
        <v>430</v>
      </c>
      <c r="N45" s="77">
        <v>3653</v>
      </c>
      <c r="O45" s="77">
        <v>4083</v>
      </c>
      <c r="P45" s="77">
        <v>17149</v>
      </c>
      <c r="Q45" s="77">
        <v>11644</v>
      </c>
      <c r="R45" s="100">
        <f t="shared" si="2"/>
        <v>4.7721311475409838</v>
      </c>
      <c r="S45" s="78" t="s">
        <v>16</v>
      </c>
      <c r="T45" s="71">
        <v>0</v>
      </c>
      <c r="U45" s="78" t="s">
        <v>16</v>
      </c>
      <c r="V45" s="77">
        <v>2</v>
      </c>
      <c r="W45" s="77">
        <v>7700</v>
      </c>
      <c r="X45" s="77">
        <v>187</v>
      </c>
      <c r="Y45" s="101">
        <f t="shared" si="3"/>
        <v>3.1557377049180326</v>
      </c>
      <c r="Z45" s="101">
        <f t="shared" si="4"/>
        <v>27.797833935018051</v>
      </c>
      <c r="AA45" s="104" t="s">
        <v>2632</v>
      </c>
      <c r="AB45" s="2" t="s">
        <v>872</v>
      </c>
      <c r="AC45" s="108" t="s">
        <v>2632</v>
      </c>
      <c r="AD45" s="77">
        <v>28793</v>
      </c>
      <c r="AE45" s="77">
        <v>277</v>
      </c>
      <c r="AF45" s="4">
        <v>2440</v>
      </c>
    </row>
    <row r="46" spans="1:32" ht="13.5" thickBot="1" x14ac:dyDescent="0.25">
      <c r="A46" s="2" t="s">
        <v>516</v>
      </c>
      <c r="B46" s="1" t="s">
        <v>515</v>
      </c>
      <c r="C46" s="2" t="s">
        <v>19</v>
      </c>
      <c r="D46" s="77">
        <v>5183</v>
      </c>
      <c r="E46" s="77">
        <v>9023</v>
      </c>
      <c r="F46" s="77">
        <v>0</v>
      </c>
      <c r="G46" s="77">
        <v>14206</v>
      </c>
      <c r="H46" s="100">
        <f>Table3[[#This Row],[Circulation of Children''s Materials]]/Table3[[#This Row],[Total Population Served]]</f>
        <v>1.5097582289542675</v>
      </c>
      <c r="I46" s="100">
        <f>Table3[[#This Row],[Circulation of Electronic Materials]]/Table3[[#This Row],[Total Population Served]]</f>
        <v>0</v>
      </c>
      <c r="J46" s="100">
        <f t="shared" si="0"/>
        <v>4.1380716574424703</v>
      </c>
      <c r="K46" s="100">
        <f t="shared" si="1"/>
        <v>7.5443441317047268</v>
      </c>
      <c r="L46" s="102">
        <v>0</v>
      </c>
      <c r="M46" s="77">
        <v>0</v>
      </c>
      <c r="N46" s="77">
        <v>14206</v>
      </c>
      <c r="O46" s="77">
        <v>14206</v>
      </c>
      <c r="P46" s="77">
        <v>19140</v>
      </c>
      <c r="Q46" s="77">
        <v>0</v>
      </c>
      <c r="R46" s="100">
        <f t="shared" si="2"/>
        <v>0</v>
      </c>
      <c r="S46" s="77">
        <v>1481</v>
      </c>
      <c r="T46" s="71">
        <f t="shared" ref="T46:T68" si="8">S46/AF46</f>
        <v>0.43140110690358285</v>
      </c>
      <c r="U46" s="77">
        <v>1373</v>
      </c>
      <c r="V46" s="77">
        <v>1607</v>
      </c>
      <c r="W46" s="77">
        <v>13021</v>
      </c>
      <c r="X46" s="77">
        <v>444</v>
      </c>
      <c r="Y46" s="101">
        <f t="shared" si="3"/>
        <v>3.792892513836295</v>
      </c>
      <c r="Z46" s="101">
        <f t="shared" si="4"/>
        <v>6.9150292087095062</v>
      </c>
      <c r="AA46" s="77">
        <v>1222</v>
      </c>
      <c r="AB46" s="2" t="s">
        <v>872</v>
      </c>
      <c r="AC46" s="106">
        <v>1040</v>
      </c>
      <c r="AD46" s="77">
        <v>19140</v>
      </c>
      <c r="AE46" s="77">
        <v>1883</v>
      </c>
      <c r="AF46" s="4">
        <v>3433</v>
      </c>
    </row>
    <row r="47" spans="1:32" ht="13.5" thickBot="1" x14ac:dyDescent="0.25">
      <c r="A47" s="2" t="s">
        <v>536</v>
      </c>
      <c r="B47" s="1" t="s">
        <v>535</v>
      </c>
      <c r="C47" s="2" t="s">
        <v>19</v>
      </c>
      <c r="D47" s="4">
        <v>2238</v>
      </c>
      <c r="E47" s="4">
        <v>9476</v>
      </c>
      <c r="F47" s="4">
        <v>0</v>
      </c>
      <c r="G47" s="4">
        <v>11714</v>
      </c>
      <c r="H47" s="100">
        <f>Table3[[#This Row],[Circulation of Children''s Materials]]/Table3[[#This Row],[Total Population Served]]</f>
        <v>1.2110389610389611</v>
      </c>
      <c r="I47" s="100">
        <f>Table3[[#This Row],[Circulation of Electronic Materials]]/Table3[[#This Row],[Total Population Served]]</f>
        <v>0</v>
      </c>
      <c r="J47" s="100">
        <f t="shared" si="0"/>
        <v>6.3387445887445883</v>
      </c>
      <c r="K47" s="100">
        <f t="shared" si="1"/>
        <v>5.4610722610722613</v>
      </c>
      <c r="L47" s="103" t="s">
        <v>2632</v>
      </c>
      <c r="M47" s="4">
        <v>0</v>
      </c>
      <c r="N47" s="4">
        <v>11714</v>
      </c>
      <c r="O47" s="4">
        <v>11714</v>
      </c>
      <c r="P47" s="4">
        <v>11714</v>
      </c>
      <c r="Q47" s="4">
        <v>0</v>
      </c>
      <c r="R47" s="100">
        <f t="shared" si="2"/>
        <v>0</v>
      </c>
      <c r="S47" s="77">
        <v>130</v>
      </c>
      <c r="T47" s="71">
        <f t="shared" si="8"/>
        <v>7.0346320346320351E-2</v>
      </c>
      <c r="U47" s="77">
        <v>230</v>
      </c>
      <c r="V47" s="4">
        <v>641</v>
      </c>
      <c r="W47" s="4">
        <v>4524</v>
      </c>
      <c r="X47" s="77">
        <v>8320</v>
      </c>
      <c r="Y47" s="101">
        <f t="shared" si="3"/>
        <v>2.448051948051948</v>
      </c>
      <c r="Z47" s="101">
        <f t="shared" si="4"/>
        <v>2.1090909090909089</v>
      </c>
      <c r="AA47" s="77">
        <v>984</v>
      </c>
      <c r="AB47" s="2" t="s">
        <v>872</v>
      </c>
      <c r="AC47" s="106">
        <v>377</v>
      </c>
      <c r="AD47" s="4">
        <v>11714</v>
      </c>
      <c r="AE47" s="4">
        <v>2145</v>
      </c>
      <c r="AF47" s="4">
        <v>1848</v>
      </c>
    </row>
    <row r="48" spans="1:32" ht="13.5" thickBot="1" x14ac:dyDescent="0.25">
      <c r="A48" s="2" t="s">
        <v>552</v>
      </c>
      <c r="B48" s="1" t="s">
        <v>551</v>
      </c>
      <c r="C48" s="2" t="s">
        <v>19</v>
      </c>
      <c r="D48" s="77">
        <v>13688</v>
      </c>
      <c r="E48" s="77">
        <v>17022</v>
      </c>
      <c r="F48" s="77">
        <v>2741</v>
      </c>
      <c r="G48" s="77">
        <v>33451</v>
      </c>
      <c r="H48" s="100">
        <f>Table3[[#This Row],[Circulation of Children''s Materials]]/Table3[[#This Row],[Total Population Served]]</f>
        <v>3.7552812071330588</v>
      </c>
      <c r="I48" s="100">
        <f>Table3[[#This Row],[Circulation of Electronic Materials]]/Table3[[#This Row],[Total Population Served]]</f>
        <v>0.75198902606310014</v>
      </c>
      <c r="J48" s="100">
        <f t="shared" si="0"/>
        <v>9.1772290809327846</v>
      </c>
      <c r="K48" s="100">
        <f t="shared" si="1"/>
        <v>5.3831670421628584</v>
      </c>
      <c r="L48" s="102">
        <v>135</v>
      </c>
      <c r="M48" s="77">
        <v>2876</v>
      </c>
      <c r="N48" s="77">
        <v>30710</v>
      </c>
      <c r="O48" s="77">
        <v>33586</v>
      </c>
      <c r="P48" s="77">
        <v>40148</v>
      </c>
      <c r="Q48" s="77">
        <v>14425</v>
      </c>
      <c r="R48" s="100">
        <f t="shared" si="2"/>
        <v>3.9574759945130316</v>
      </c>
      <c r="S48" s="77">
        <v>25896</v>
      </c>
      <c r="T48" s="71">
        <f t="shared" si="8"/>
        <v>7.1045267489711934</v>
      </c>
      <c r="U48" s="77">
        <v>3468</v>
      </c>
      <c r="V48" s="77">
        <v>3800</v>
      </c>
      <c r="W48" s="77">
        <v>34320</v>
      </c>
      <c r="X48" s="77">
        <v>9100</v>
      </c>
      <c r="Y48" s="101">
        <f t="shared" si="3"/>
        <v>9.4156378600823043</v>
      </c>
      <c r="Z48" s="101">
        <f t="shared" si="4"/>
        <v>5.523012552301255</v>
      </c>
      <c r="AA48" s="77">
        <v>3291</v>
      </c>
      <c r="AB48" s="2" t="s">
        <v>872</v>
      </c>
      <c r="AC48" s="106">
        <v>7280</v>
      </c>
      <c r="AD48" s="77">
        <v>54573</v>
      </c>
      <c r="AE48" s="77">
        <v>6214</v>
      </c>
      <c r="AF48" s="4">
        <v>3645</v>
      </c>
    </row>
    <row r="49" spans="1:32" ht="13.5" thickBot="1" x14ac:dyDescent="0.25">
      <c r="A49" s="2" t="s">
        <v>566</v>
      </c>
      <c r="B49" s="1" t="s">
        <v>565</v>
      </c>
      <c r="C49" s="2" t="s">
        <v>19</v>
      </c>
      <c r="D49" s="4">
        <v>4581</v>
      </c>
      <c r="E49" s="4">
        <v>12221</v>
      </c>
      <c r="F49" s="4">
        <v>1563</v>
      </c>
      <c r="G49" s="4">
        <v>18365</v>
      </c>
      <c r="H49" s="100">
        <f>Table3[[#This Row],[Circulation of Children''s Materials]]/Table3[[#This Row],[Total Population Served]]</f>
        <v>1.2451753193802664</v>
      </c>
      <c r="I49" s="100">
        <f>Table3[[#This Row],[Circulation of Electronic Materials]]/Table3[[#This Row],[Total Population Served]]</f>
        <v>0.4248437075292199</v>
      </c>
      <c r="J49" s="100">
        <f t="shared" si="0"/>
        <v>4.9918456102201683</v>
      </c>
      <c r="K49" s="100">
        <f t="shared" si="1"/>
        <v>16.864095500459136</v>
      </c>
      <c r="L49" s="102">
        <v>12</v>
      </c>
      <c r="M49" s="4">
        <v>1575</v>
      </c>
      <c r="N49" s="4">
        <v>16802</v>
      </c>
      <c r="O49" s="4">
        <v>18377</v>
      </c>
      <c r="P49" s="4">
        <v>32061</v>
      </c>
      <c r="Q49" s="4">
        <v>10030</v>
      </c>
      <c r="R49" s="100">
        <f t="shared" si="2"/>
        <v>2.7262843163903234</v>
      </c>
      <c r="S49" s="4">
        <v>2652</v>
      </c>
      <c r="T49" s="71">
        <f t="shared" si="8"/>
        <v>0.72084805653710249</v>
      </c>
      <c r="U49" s="4">
        <v>904</v>
      </c>
      <c r="V49" s="4">
        <v>1492</v>
      </c>
      <c r="W49" s="4">
        <v>12532</v>
      </c>
      <c r="X49" s="77">
        <v>4858</v>
      </c>
      <c r="Y49" s="101">
        <f t="shared" si="3"/>
        <v>3.4063604240282683</v>
      </c>
      <c r="Z49" s="101">
        <f t="shared" si="4"/>
        <v>11.507805325987144</v>
      </c>
      <c r="AA49" s="4">
        <v>3893</v>
      </c>
      <c r="AB49" s="2" t="s">
        <v>872</v>
      </c>
      <c r="AC49" s="106">
        <v>1500</v>
      </c>
      <c r="AD49" s="4">
        <v>42091</v>
      </c>
      <c r="AE49" s="4">
        <v>1089</v>
      </c>
      <c r="AF49" s="4">
        <v>3679</v>
      </c>
    </row>
    <row r="50" spans="1:32" ht="13.5" thickBot="1" x14ac:dyDescent="0.25">
      <c r="A50" s="2" t="s">
        <v>570</v>
      </c>
      <c r="B50" s="1" t="s">
        <v>569</v>
      </c>
      <c r="C50" s="2" t="s">
        <v>19</v>
      </c>
      <c r="D50" s="77">
        <v>3089</v>
      </c>
      <c r="E50" s="77">
        <v>705</v>
      </c>
      <c r="F50" s="77">
        <v>0</v>
      </c>
      <c r="G50" s="77">
        <v>3794</v>
      </c>
      <c r="H50" s="100">
        <f>Table3[[#This Row],[Circulation of Children''s Materials]]/Table3[[#This Row],[Total Population Served]]</f>
        <v>1.6879781420765028</v>
      </c>
      <c r="I50" s="100">
        <f>Table3[[#This Row],[Circulation of Electronic Materials]]/Table3[[#This Row],[Total Population Served]]</f>
        <v>0</v>
      </c>
      <c r="J50" s="100">
        <f t="shared" si="0"/>
        <v>2.0732240437158471</v>
      </c>
      <c r="K50" s="100">
        <f t="shared" si="1"/>
        <v>5.6207407407407404</v>
      </c>
      <c r="L50" s="102">
        <v>0</v>
      </c>
      <c r="M50" s="77">
        <v>0</v>
      </c>
      <c r="N50" s="77">
        <v>3794</v>
      </c>
      <c r="O50" s="77">
        <v>3794</v>
      </c>
      <c r="P50" s="77">
        <v>8940</v>
      </c>
      <c r="Q50" s="77">
        <v>0</v>
      </c>
      <c r="R50" s="100">
        <f t="shared" si="2"/>
        <v>0</v>
      </c>
      <c r="S50" s="77">
        <v>56</v>
      </c>
      <c r="T50" s="71">
        <f t="shared" si="8"/>
        <v>3.0601092896174863E-2</v>
      </c>
      <c r="U50" s="77">
        <v>0</v>
      </c>
      <c r="V50" s="77">
        <v>1</v>
      </c>
      <c r="W50" s="77">
        <v>1450</v>
      </c>
      <c r="X50" s="77">
        <v>0</v>
      </c>
      <c r="Y50" s="101">
        <f t="shared" si="3"/>
        <v>0.79234972677595628</v>
      </c>
      <c r="Z50" s="101">
        <f t="shared" si="4"/>
        <v>2.1481481481481484</v>
      </c>
      <c r="AA50" s="77">
        <v>117</v>
      </c>
      <c r="AB50" s="2" t="s">
        <v>872</v>
      </c>
      <c r="AC50" s="107" t="s">
        <v>2632</v>
      </c>
      <c r="AD50" s="77">
        <v>8940</v>
      </c>
      <c r="AE50" s="77">
        <v>675</v>
      </c>
      <c r="AF50" s="4">
        <v>1830</v>
      </c>
    </row>
    <row r="51" spans="1:32" ht="13.5" thickBot="1" x14ac:dyDescent="0.25">
      <c r="A51" s="2" t="s">
        <v>592</v>
      </c>
      <c r="B51" s="1" t="s">
        <v>591</v>
      </c>
      <c r="C51" s="2" t="s">
        <v>19</v>
      </c>
      <c r="D51" s="77">
        <v>5976</v>
      </c>
      <c r="E51" s="77">
        <v>15343</v>
      </c>
      <c r="F51" s="77">
        <v>7120</v>
      </c>
      <c r="G51" s="77">
        <v>28439</v>
      </c>
      <c r="H51" s="100">
        <f>Table3[[#This Row],[Circulation of Children''s Materials]]/Table3[[#This Row],[Total Population Served]]</f>
        <v>3.0820010314595154</v>
      </c>
      <c r="I51" s="100">
        <f>Table3[[#This Row],[Circulation of Electronic Materials]]/Table3[[#This Row],[Total Population Served]]</f>
        <v>3.6719958741619392</v>
      </c>
      <c r="J51" s="100">
        <f t="shared" si="0"/>
        <v>14.666838576585869</v>
      </c>
      <c r="K51" s="100">
        <f t="shared" si="1"/>
        <v>15.686155543298401</v>
      </c>
      <c r="L51" s="103" t="s">
        <v>2632</v>
      </c>
      <c r="M51" s="77">
        <v>7120</v>
      </c>
      <c r="N51" s="77">
        <v>21319</v>
      </c>
      <c r="O51" s="77">
        <v>28439</v>
      </c>
      <c r="P51" s="77">
        <v>16656</v>
      </c>
      <c r="Q51" s="77">
        <v>30793</v>
      </c>
      <c r="R51" s="100">
        <f t="shared" si="2"/>
        <v>15.88086642599278</v>
      </c>
      <c r="S51" s="77">
        <v>196</v>
      </c>
      <c r="T51" s="71">
        <f t="shared" si="8"/>
        <v>0.10108303249097472</v>
      </c>
      <c r="U51" s="77">
        <v>500</v>
      </c>
      <c r="V51" s="77">
        <v>954</v>
      </c>
      <c r="W51" s="77">
        <v>20372</v>
      </c>
      <c r="X51" s="77">
        <v>2579</v>
      </c>
      <c r="Y51" s="101">
        <f t="shared" si="3"/>
        <v>10.506446621970088</v>
      </c>
      <c r="Z51" s="101">
        <f t="shared" si="4"/>
        <v>11.236624379481523</v>
      </c>
      <c r="AA51" s="77">
        <v>2884</v>
      </c>
      <c r="AB51" s="2" t="s">
        <v>872</v>
      </c>
      <c r="AC51" s="106">
        <v>8887</v>
      </c>
      <c r="AD51" s="77">
        <v>47449</v>
      </c>
      <c r="AE51" s="77">
        <v>1813</v>
      </c>
      <c r="AF51" s="4">
        <v>1939</v>
      </c>
    </row>
    <row r="52" spans="1:32" ht="13.5" thickBot="1" x14ac:dyDescent="0.25">
      <c r="A52" s="2" t="s">
        <v>612</v>
      </c>
      <c r="B52" s="1" t="s">
        <v>611</v>
      </c>
      <c r="C52" s="2" t="s">
        <v>19</v>
      </c>
      <c r="D52" s="4">
        <v>3200</v>
      </c>
      <c r="E52" s="4">
        <v>11250</v>
      </c>
      <c r="F52" s="4">
        <v>200</v>
      </c>
      <c r="G52" s="4">
        <v>14650</v>
      </c>
      <c r="H52" s="100">
        <f>Table3[[#This Row],[Circulation of Children''s Materials]]/Table3[[#This Row],[Total Population Served]]</f>
        <v>0.63580369560898076</v>
      </c>
      <c r="I52" s="100">
        <f>Table3[[#This Row],[Circulation of Electronic Materials]]/Table3[[#This Row],[Total Population Served]]</f>
        <v>3.9737730975561297E-2</v>
      </c>
      <c r="J52" s="100">
        <f t="shared" si="0"/>
        <v>2.9107887939598647</v>
      </c>
      <c r="K52" s="100">
        <f t="shared" si="1"/>
        <v>22.890625</v>
      </c>
      <c r="L52" s="103" t="s">
        <v>2632</v>
      </c>
      <c r="M52" s="4">
        <v>200</v>
      </c>
      <c r="N52" s="4">
        <v>14450</v>
      </c>
      <c r="O52" s="4">
        <v>14650</v>
      </c>
      <c r="P52" s="4">
        <v>21715</v>
      </c>
      <c r="Q52" s="4">
        <v>10900</v>
      </c>
      <c r="R52" s="100">
        <f t="shared" si="2"/>
        <v>2.1657063381680906</v>
      </c>
      <c r="S52" s="4">
        <v>35</v>
      </c>
      <c r="T52" s="71">
        <f t="shared" si="8"/>
        <v>6.954102920723227E-3</v>
      </c>
      <c r="U52" s="4">
        <v>500</v>
      </c>
      <c r="V52" s="4">
        <v>1900</v>
      </c>
      <c r="W52" s="4">
        <v>25600</v>
      </c>
      <c r="X52" s="77">
        <v>3900</v>
      </c>
      <c r="Y52" s="101">
        <f t="shared" si="3"/>
        <v>5.0864295648718461</v>
      </c>
      <c r="Z52" s="101">
        <f t="shared" si="4"/>
        <v>40</v>
      </c>
      <c r="AA52" s="4">
        <v>3500</v>
      </c>
      <c r="AB52" s="2" t="s">
        <v>872</v>
      </c>
      <c r="AC52" s="106">
        <v>1200</v>
      </c>
      <c r="AD52" s="4">
        <v>32615</v>
      </c>
      <c r="AE52" s="4">
        <v>640</v>
      </c>
      <c r="AF52" s="4">
        <v>5033</v>
      </c>
    </row>
    <row r="53" spans="1:32" ht="13.5" thickBot="1" x14ac:dyDescent="0.25">
      <c r="A53" s="2" t="s">
        <v>632</v>
      </c>
      <c r="B53" s="1" t="s">
        <v>631</v>
      </c>
      <c r="C53" s="2" t="s">
        <v>19</v>
      </c>
      <c r="D53" s="4">
        <v>5218</v>
      </c>
      <c r="E53" s="4">
        <v>6551</v>
      </c>
      <c r="F53" s="4">
        <v>4670</v>
      </c>
      <c r="G53" s="4">
        <v>16439</v>
      </c>
      <c r="H53" s="100">
        <f>Table3[[#This Row],[Circulation of Children''s Materials]]/Table3[[#This Row],[Total Population Served]]</f>
        <v>1.3955603102433807</v>
      </c>
      <c r="I53" s="100">
        <f>Table3[[#This Row],[Circulation of Electronic Materials]]/Table3[[#This Row],[Total Population Served]]</f>
        <v>1.2489970580369083</v>
      </c>
      <c r="J53" s="100">
        <f t="shared" si="0"/>
        <v>4.3966301150040117</v>
      </c>
      <c r="K53" s="100">
        <f t="shared" si="1"/>
        <v>17.395767195767196</v>
      </c>
      <c r="L53" s="102">
        <v>534</v>
      </c>
      <c r="M53" s="4">
        <v>5204</v>
      </c>
      <c r="N53" s="4">
        <v>11769</v>
      </c>
      <c r="O53" s="4">
        <v>16973</v>
      </c>
      <c r="P53" s="4">
        <v>11315</v>
      </c>
      <c r="Q53" s="4">
        <v>4076</v>
      </c>
      <c r="R53" s="100">
        <f t="shared" si="2"/>
        <v>1.0901310510831774</v>
      </c>
      <c r="S53" s="4">
        <v>1524</v>
      </c>
      <c r="T53" s="71">
        <f t="shared" si="8"/>
        <v>0.40759561380048143</v>
      </c>
      <c r="U53" s="4">
        <v>3762</v>
      </c>
      <c r="V53" s="4">
        <v>3548</v>
      </c>
      <c r="W53" s="4">
        <v>6744</v>
      </c>
      <c r="X53" s="77">
        <v>3924</v>
      </c>
      <c r="Y53" s="101">
        <f t="shared" si="3"/>
        <v>1.8036908264241776</v>
      </c>
      <c r="Z53" s="101">
        <f t="shared" si="4"/>
        <v>7.1365079365079369</v>
      </c>
      <c r="AA53" s="4">
        <v>483</v>
      </c>
      <c r="AB53" s="2" t="s">
        <v>872</v>
      </c>
      <c r="AC53" s="106">
        <v>1778</v>
      </c>
      <c r="AD53" s="4">
        <v>15391</v>
      </c>
      <c r="AE53" s="4">
        <v>945</v>
      </c>
      <c r="AF53" s="4">
        <v>3739</v>
      </c>
    </row>
    <row r="54" spans="1:32" ht="13.5" thickBot="1" x14ac:dyDescent="0.25">
      <c r="A54" s="2" t="s">
        <v>642</v>
      </c>
      <c r="B54" s="1" t="s">
        <v>641</v>
      </c>
      <c r="C54" s="2" t="s">
        <v>19</v>
      </c>
      <c r="D54" s="4">
        <v>1311</v>
      </c>
      <c r="E54" s="4">
        <v>1013</v>
      </c>
      <c r="F54" s="4">
        <v>0</v>
      </c>
      <c r="G54" s="4">
        <v>2324</v>
      </c>
      <c r="H54" s="100">
        <f>Table3[[#This Row],[Circulation of Children''s Materials]]/Table3[[#This Row],[Total Population Served]]</f>
        <v>0.86936339522546424</v>
      </c>
      <c r="I54" s="100">
        <f>Table3[[#This Row],[Circulation of Electronic Materials]]/Table3[[#This Row],[Total Population Served]]</f>
        <v>0</v>
      </c>
      <c r="J54" s="100">
        <f t="shared" si="0"/>
        <v>1.5411140583554377</v>
      </c>
      <c r="K54" s="100">
        <f t="shared" si="1"/>
        <v>12.911111111111111</v>
      </c>
      <c r="L54" s="102">
        <v>0</v>
      </c>
      <c r="M54" s="4">
        <v>0</v>
      </c>
      <c r="N54" s="4">
        <v>2324</v>
      </c>
      <c r="O54" s="4">
        <v>2324</v>
      </c>
      <c r="P54" s="4">
        <v>13759</v>
      </c>
      <c r="Q54" s="4">
        <v>0</v>
      </c>
      <c r="R54" s="100">
        <f t="shared" si="2"/>
        <v>0</v>
      </c>
      <c r="S54" s="77">
        <v>3</v>
      </c>
      <c r="T54" s="71">
        <f t="shared" si="8"/>
        <v>1.9893899204244032E-3</v>
      </c>
      <c r="U54" s="77">
        <v>0</v>
      </c>
      <c r="V54" s="4">
        <v>5</v>
      </c>
      <c r="W54" s="4">
        <v>4058</v>
      </c>
      <c r="X54" s="77">
        <v>0</v>
      </c>
      <c r="Y54" s="101">
        <f t="shared" si="3"/>
        <v>2.6909814323607426</v>
      </c>
      <c r="Z54" s="101">
        <f t="shared" si="4"/>
        <v>22.544444444444444</v>
      </c>
      <c r="AA54" s="77">
        <v>256</v>
      </c>
      <c r="AB54" s="2" t="s">
        <v>872</v>
      </c>
      <c r="AC54" s="106">
        <v>145</v>
      </c>
      <c r="AD54" s="4">
        <v>13759</v>
      </c>
      <c r="AE54" s="4">
        <v>180</v>
      </c>
      <c r="AF54" s="4">
        <v>1508</v>
      </c>
    </row>
    <row r="55" spans="1:32" ht="13.5" thickBot="1" x14ac:dyDescent="0.25">
      <c r="A55" s="2" t="s">
        <v>644</v>
      </c>
      <c r="B55" s="1" t="s">
        <v>643</v>
      </c>
      <c r="C55" s="2" t="s">
        <v>19</v>
      </c>
      <c r="D55" s="4">
        <v>2213</v>
      </c>
      <c r="E55" s="4">
        <v>12536</v>
      </c>
      <c r="F55" s="4">
        <v>0</v>
      </c>
      <c r="G55" s="4">
        <v>14749</v>
      </c>
      <c r="H55" s="100">
        <f>Table3[[#This Row],[Circulation of Children''s Materials]]/Table3[[#This Row],[Total Population Served]]</f>
        <v>0.59313856874832482</v>
      </c>
      <c r="I55" s="100">
        <f>Table3[[#This Row],[Circulation of Electronic Materials]]/Table3[[#This Row],[Total Population Served]]</f>
        <v>0</v>
      </c>
      <c r="J55" s="100">
        <f t="shared" si="0"/>
        <v>3.9530956848030017</v>
      </c>
      <c r="K55" s="100">
        <f t="shared" si="1"/>
        <v>4.9443513241702988</v>
      </c>
      <c r="L55" s="102">
        <v>0</v>
      </c>
      <c r="M55" s="4">
        <v>0</v>
      </c>
      <c r="N55" s="4">
        <v>14749</v>
      </c>
      <c r="O55" s="4">
        <v>14749</v>
      </c>
      <c r="P55" s="4">
        <v>19207</v>
      </c>
      <c r="Q55" s="4">
        <v>0</v>
      </c>
      <c r="R55" s="100">
        <f t="shared" si="2"/>
        <v>0</v>
      </c>
      <c r="S55" s="77">
        <v>800</v>
      </c>
      <c r="T55" s="71">
        <f t="shared" si="8"/>
        <v>0.21441972661484857</v>
      </c>
      <c r="U55" s="77">
        <v>29</v>
      </c>
      <c r="V55" s="4">
        <v>442</v>
      </c>
      <c r="W55" s="4">
        <v>11524</v>
      </c>
      <c r="X55" s="77">
        <v>3938</v>
      </c>
      <c r="Y55" s="101">
        <f t="shared" si="3"/>
        <v>3.0887161618868935</v>
      </c>
      <c r="Z55" s="101">
        <f t="shared" si="4"/>
        <v>3.8632249413342272</v>
      </c>
      <c r="AA55" s="77">
        <v>2576</v>
      </c>
      <c r="AB55" s="2" t="s">
        <v>872</v>
      </c>
      <c r="AC55" s="106">
        <v>850</v>
      </c>
      <c r="AD55" s="4">
        <v>19207</v>
      </c>
      <c r="AE55" s="4">
        <v>2983</v>
      </c>
      <c r="AF55" s="4">
        <v>3731</v>
      </c>
    </row>
    <row r="56" spans="1:32" ht="13.5" thickBot="1" x14ac:dyDescent="0.25">
      <c r="A56" s="2" t="s">
        <v>650</v>
      </c>
      <c r="B56" s="1" t="s">
        <v>649</v>
      </c>
      <c r="C56" s="2" t="s">
        <v>19</v>
      </c>
      <c r="D56" s="4">
        <v>2590</v>
      </c>
      <c r="E56" s="4">
        <v>8048</v>
      </c>
      <c r="F56" s="4">
        <v>25</v>
      </c>
      <c r="G56" s="4">
        <v>10663</v>
      </c>
      <c r="H56" s="100">
        <f>Table3[[#This Row],[Circulation of Children''s Materials]]/Table3[[#This Row],[Total Population Served]]</f>
        <v>0.70495372890582475</v>
      </c>
      <c r="I56" s="100">
        <f>Table3[[#This Row],[Circulation of Electronic Materials]]/Table3[[#This Row],[Total Population Served]]</f>
        <v>6.8045726728361462E-3</v>
      </c>
      <c r="J56" s="100">
        <f t="shared" si="0"/>
        <v>2.9022863364180731</v>
      </c>
      <c r="K56" s="100">
        <f t="shared" si="1"/>
        <v>3.9375923190546529</v>
      </c>
      <c r="L56" s="102">
        <v>0</v>
      </c>
      <c r="M56" s="4">
        <v>25</v>
      </c>
      <c r="N56" s="4">
        <v>10638</v>
      </c>
      <c r="O56" s="4">
        <v>10663</v>
      </c>
      <c r="P56" s="4">
        <v>18700</v>
      </c>
      <c r="Q56" s="4">
        <v>25</v>
      </c>
      <c r="R56" s="100">
        <f t="shared" si="2"/>
        <v>6.8045726728361462E-3</v>
      </c>
      <c r="S56" s="4">
        <v>504</v>
      </c>
      <c r="T56" s="71">
        <f t="shared" si="8"/>
        <v>0.13718018508437671</v>
      </c>
      <c r="U56" s="4">
        <v>157</v>
      </c>
      <c r="V56" s="4">
        <v>335</v>
      </c>
      <c r="W56" s="4">
        <v>15075</v>
      </c>
      <c r="X56" s="77">
        <v>866</v>
      </c>
      <c r="Y56" s="101">
        <f t="shared" si="3"/>
        <v>4.1031573217201958</v>
      </c>
      <c r="Z56" s="101">
        <f t="shared" si="4"/>
        <v>5.566838995568685</v>
      </c>
      <c r="AA56" s="4">
        <v>2440</v>
      </c>
      <c r="AB56" s="2" t="s">
        <v>872</v>
      </c>
      <c r="AC56" s="106">
        <v>866</v>
      </c>
      <c r="AD56" s="4">
        <v>18725</v>
      </c>
      <c r="AE56" s="4">
        <v>2708</v>
      </c>
      <c r="AF56" s="4">
        <v>3674</v>
      </c>
    </row>
    <row r="57" spans="1:32" ht="13.5" thickBot="1" x14ac:dyDescent="0.25">
      <c r="A57" s="2" t="s">
        <v>652</v>
      </c>
      <c r="B57" s="1" t="s">
        <v>651</v>
      </c>
      <c r="C57" s="2" t="s">
        <v>19</v>
      </c>
      <c r="D57" s="4">
        <v>646</v>
      </c>
      <c r="E57" s="4">
        <v>1434</v>
      </c>
      <c r="F57" s="4">
        <v>148</v>
      </c>
      <c r="G57" s="4">
        <v>2228</v>
      </c>
      <c r="H57" s="100">
        <f>Table3[[#This Row],[Circulation of Children''s Materials]]/Table3[[#This Row],[Total Population Served]]</f>
        <v>0.73242630385487528</v>
      </c>
      <c r="I57" s="100">
        <f>Table3[[#This Row],[Circulation of Electronic Materials]]/Table3[[#This Row],[Total Population Served]]</f>
        <v>0.16780045351473924</v>
      </c>
      <c r="J57" s="100">
        <f t="shared" si="0"/>
        <v>2.5260770975056688</v>
      </c>
      <c r="K57" s="100">
        <f t="shared" si="1"/>
        <v>3.7319932998324958</v>
      </c>
      <c r="L57" s="103" t="s">
        <v>2632</v>
      </c>
      <c r="M57" s="4">
        <v>148</v>
      </c>
      <c r="N57" s="4">
        <v>2080</v>
      </c>
      <c r="O57" s="4">
        <v>2228</v>
      </c>
      <c r="P57" s="4">
        <v>15078</v>
      </c>
      <c r="Q57" s="4">
        <v>11957</v>
      </c>
      <c r="R57" s="100">
        <f t="shared" si="2"/>
        <v>13.556689342403628</v>
      </c>
      <c r="S57" s="4">
        <v>398</v>
      </c>
      <c r="T57" s="71">
        <f t="shared" si="8"/>
        <v>0.4512471655328798</v>
      </c>
      <c r="U57" s="4">
        <v>0</v>
      </c>
      <c r="V57" s="4">
        <v>0</v>
      </c>
      <c r="W57" s="4">
        <v>3487</v>
      </c>
      <c r="X57" s="77">
        <v>704</v>
      </c>
      <c r="Y57" s="101">
        <f t="shared" si="3"/>
        <v>3.9535147392290249</v>
      </c>
      <c r="Z57" s="101">
        <f t="shared" si="4"/>
        <v>5.840871021775544</v>
      </c>
      <c r="AA57" s="4">
        <v>1742</v>
      </c>
      <c r="AB57" s="2" t="s">
        <v>872</v>
      </c>
      <c r="AC57" s="106">
        <v>141</v>
      </c>
      <c r="AD57" s="4">
        <v>27035</v>
      </c>
      <c r="AE57" s="4">
        <v>597</v>
      </c>
      <c r="AF57" s="4">
        <v>882</v>
      </c>
    </row>
    <row r="58" spans="1:32" ht="13.5" thickBot="1" x14ac:dyDescent="0.25">
      <c r="A58" s="2" t="s">
        <v>672</v>
      </c>
      <c r="B58" s="1" t="s">
        <v>671</v>
      </c>
      <c r="C58" s="2" t="s">
        <v>19</v>
      </c>
      <c r="D58" s="77">
        <v>383</v>
      </c>
      <c r="E58" s="77">
        <v>450</v>
      </c>
      <c r="F58" s="77">
        <v>0</v>
      </c>
      <c r="G58" s="77">
        <v>833</v>
      </c>
      <c r="H58" s="100">
        <f>Table3[[#This Row],[Circulation of Children''s Materials]]/Table3[[#This Row],[Total Population Served]]</f>
        <v>0.1583298883836296</v>
      </c>
      <c r="I58" s="100">
        <f>Table3[[#This Row],[Circulation of Electronic Materials]]/Table3[[#This Row],[Total Population Served]]</f>
        <v>0</v>
      </c>
      <c r="J58" s="100">
        <f t="shared" si="0"/>
        <v>0.34435717238528318</v>
      </c>
      <c r="K58" s="100">
        <f t="shared" si="1"/>
        <v>0.46406685236768802</v>
      </c>
      <c r="L58" s="102">
        <v>0</v>
      </c>
      <c r="M58" s="77">
        <v>0</v>
      </c>
      <c r="N58" s="77">
        <v>833</v>
      </c>
      <c r="O58" s="77">
        <v>833</v>
      </c>
      <c r="P58" s="77">
        <v>14483</v>
      </c>
      <c r="Q58" s="77">
        <v>0</v>
      </c>
      <c r="R58" s="100">
        <f t="shared" si="2"/>
        <v>0</v>
      </c>
      <c r="S58" s="77">
        <v>92</v>
      </c>
      <c r="T58" s="71">
        <f t="shared" si="8"/>
        <v>3.8032244729226956E-2</v>
      </c>
      <c r="U58" s="77">
        <v>0</v>
      </c>
      <c r="V58" s="77">
        <v>0</v>
      </c>
      <c r="W58" s="77">
        <v>3110</v>
      </c>
      <c r="X58" s="77">
        <v>583</v>
      </c>
      <c r="Y58" s="101">
        <f t="shared" si="3"/>
        <v>1.2856552294336503</v>
      </c>
      <c r="Z58" s="101">
        <f t="shared" si="4"/>
        <v>1.7325905292479109</v>
      </c>
      <c r="AA58" s="77">
        <v>2001</v>
      </c>
      <c r="AB58" s="2" t="s">
        <v>872</v>
      </c>
      <c r="AC58" s="106">
        <v>415</v>
      </c>
      <c r="AD58" s="77">
        <v>14483</v>
      </c>
      <c r="AE58" s="77">
        <v>1795</v>
      </c>
      <c r="AF58" s="4">
        <v>2419</v>
      </c>
    </row>
    <row r="59" spans="1:32" ht="13.5" thickBot="1" x14ac:dyDescent="0.25">
      <c r="A59" s="2" t="s">
        <v>698</v>
      </c>
      <c r="B59" s="1" t="s">
        <v>697</v>
      </c>
      <c r="C59" s="2" t="s">
        <v>19</v>
      </c>
      <c r="D59" s="77">
        <v>9406</v>
      </c>
      <c r="E59" s="77">
        <v>7931</v>
      </c>
      <c r="F59" s="77">
        <v>1348</v>
      </c>
      <c r="G59" s="77">
        <v>18685</v>
      </c>
      <c r="H59" s="100">
        <f>Table3[[#This Row],[Circulation of Children''s Materials]]/Table3[[#This Row],[Total Population Served]]</f>
        <v>2.491655629139073</v>
      </c>
      <c r="I59" s="100">
        <f>Table3[[#This Row],[Circulation of Electronic Materials]]/Table3[[#This Row],[Total Population Served]]</f>
        <v>0.35708609271523178</v>
      </c>
      <c r="J59" s="100">
        <f t="shared" si="0"/>
        <v>4.9496688741721853</v>
      </c>
      <c r="K59" s="100">
        <f t="shared" si="1"/>
        <v>9.3192019950124685</v>
      </c>
      <c r="L59" s="102">
        <v>540</v>
      </c>
      <c r="M59" s="77">
        <v>1888</v>
      </c>
      <c r="N59" s="77">
        <v>17337</v>
      </c>
      <c r="O59" s="77">
        <v>19225</v>
      </c>
      <c r="P59" s="77">
        <v>31196</v>
      </c>
      <c r="Q59" s="77">
        <v>16963</v>
      </c>
      <c r="R59" s="100">
        <f t="shared" si="2"/>
        <v>4.4935099337748348</v>
      </c>
      <c r="S59" s="77">
        <v>1053</v>
      </c>
      <c r="T59" s="71">
        <f t="shared" si="8"/>
        <v>0.27894039735099335</v>
      </c>
      <c r="U59" s="77">
        <v>1040</v>
      </c>
      <c r="V59" s="77">
        <v>1681</v>
      </c>
      <c r="W59" s="77">
        <v>12758</v>
      </c>
      <c r="X59" s="77">
        <v>8327</v>
      </c>
      <c r="Y59" s="101">
        <f t="shared" si="3"/>
        <v>3.3796026490066224</v>
      </c>
      <c r="Z59" s="101">
        <f t="shared" si="4"/>
        <v>6.3630922693266836</v>
      </c>
      <c r="AA59" s="77">
        <v>917</v>
      </c>
      <c r="AB59" s="2" t="s">
        <v>872</v>
      </c>
      <c r="AC59" s="106">
        <v>1102</v>
      </c>
      <c r="AD59" s="77">
        <v>48159</v>
      </c>
      <c r="AE59" s="77">
        <v>2005</v>
      </c>
      <c r="AF59" s="4">
        <v>3775</v>
      </c>
    </row>
    <row r="60" spans="1:32" ht="13.5" thickBot="1" x14ac:dyDescent="0.25">
      <c r="A60" s="2" t="s">
        <v>704</v>
      </c>
      <c r="B60" s="1" t="s">
        <v>703</v>
      </c>
      <c r="C60" s="2" t="s">
        <v>19</v>
      </c>
      <c r="D60" s="4">
        <v>2470</v>
      </c>
      <c r="E60" s="4">
        <v>8235</v>
      </c>
      <c r="F60" s="4">
        <v>27</v>
      </c>
      <c r="G60" s="4">
        <v>10732</v>
      </c>
      <c r="H60" s="100">
        <f>Table3[[#This Row],[Circulation of Children''s Materials]]/Table3[[#This Row],[Total Population Served]]</f>
        <v>0.78712555768005099</v>
      </c>
      <c r="I60" s="100">
        <f>Table3[[#This Row],[Circulation of Electronic Materials]]/Table3[[#This Row],[Total Population Served]]</f>
        <v>8.6042065009560229E-3</v>
      </c>
      <c r="J60" s="100">
        <f t="shared" si="0"/>
        <v>3.4200127469725938</v>
      </c>
      <c r="K60" s="100">
        <f t="shared" si="1"/>
        <v>10.710578842315369</v>
      </c>
      <c r="L60" s="102">
        <v>25</v>
      </c>
      <c r="M60" s="4">
        <v>52</v>
      </c>
      <c r="N60" s="4">
        <v>10705</v>
      </c>
      <c r="O60" s="4">
        <v>10757</v>
      </c>
      <c r="P60" s="4">
        <v>14758</v>
      </c>
      <c r="Q60" s="4">
        <v>7672</v>
      </c>
      <c r="R60" s="100">
        <f t="shared" si="2"/>
        <v>2.4448693435309115</v>
      </c>
      <c r="S60" s="4">
        <v>4000</v>
      </c>
      <c r="T60" s="71">
        <f t="shared" si="8"/>
        <v>1.2746972594008923</v>
      </c>
      <c r="U60" s="4">
        <v>91</v>
      </c>
      <c r="V60" s="4">
        <v>213</v>
      </c>
      <c r="W60" s="4">
        <v>6330</v>
      </c>
      <c r="X60" s="77">
        <v>3466</v>
      </c>
      <c r="Y60" s="101">
        <f t="shared" si="3"/>
        <v>2.0172084130019119</v>
      </c>
      <c r="Z60" s="101">
        <f t="shared" si="4"/>
        <v>6.317365269461078</v>
      </c>
      <c r="AA60" s="4">
        <v>1643</v>
      </c>
      <c r="AB60" s="2" t="s">
        <v>872</v>
      </c>
      <c r="AC60" s="106">
        <v>3050</v>
      </c>
      <c r="AD60" s="4">
        <v>22430</v>
      </c>
      <c r="AE60" s="4">
        <v>1002</v>
      </c>
      <c r="AF60" s="4">
        <v>3138</v>
      </c>
    </row>
    <row r="61" spans="1:32" ht="13.5" thickBot="1" x14ac:dyDescent="0.25">
      <c r="A61" s="2" t="s">
        <v>714</v>
      </c>
      <c r="B61" s="1" t="s">
        <v>713</v>
      </c>
      <c r="C61" s="2" t="s">
        <v>19</v>
      </c>
      <c r="D61" s="4">
        <v>4528</v>
      </c>
      <c r="E61" s="4">
        <v>15632</v>
      </c>
      <c r="F61" s="4">
        <v>636</v>
      </c>
      <c r="G61" s="4">
        <v>20796</v>
      </c>
      <c r="H61" s="100">
        <f>Table3[[#This Row],[Circulation of Children''s Materials]]/Table3[[#This Row],[Total Population Served]]</f>
        <v>1.3208868144690782</v>
      </c>
      <c r="I61" s="100">
        <f>Table3[[#This Row],[Circulation of Electronic Materials]]/Table3[[#This Row],[Total Population Served]]</f>
        <v>0.1855309218203034</v>
      </c>
      <c r="J61" s="100">
        <f t="shared" si="0"/>
        <v>6.0665110851808635</v>
      </c>
      <c r="K61" s="100">
        <f t="shared" si="1"/>
        <v>14.234086242299794</v>
      </c>
      <c r="L61" s="102">
        <v>183</v>
      </c>
      <c r="M61" s="4">
        <v>819</v>
      </c>
      <c r="N61" s="4">
        <v>20160</v>
      </c>
      <c r="O61" s="4">
        <v>20979</v>
      </c>
      <c r="P61" s="4">
        <v>14253</v>
      </c>
      <c r="Q61" s="4">
        <v>6432</v>
      </c>
      <c r="R61" s="100">
        <f t="shared" si="2"/>
        <v>1.8763127187864643</v>
      </c>
      <c r="S61" s="4">
        <v>1694</v>
      </c>
      <c r="T61" s="71">
        <f t="shared" si="8"/>
        <v>0.49416569428238039</v>
      </c>
      <c r="U61" s="4">
        <v>468</v>
      </c>
      <c r="V61" s="4">
        <v>651</v>
      </c>
      <c r="W61" s="4">
        <v>15892</v>
      </c>
      <c r="X61" s="77">
        <v>3907</v>
      </c>
      <c r="Y61" s="101">
        <f t="shared" si="3"/>
        <v>4.635939323220537</v>
      </c>
      <c r="Z61" s="101">
        <f t="shared" si="4"/>
        <v>10.877481177275838</v>
      </c>
      <c r="AA61" s="4">
        <v>2711</v>
      </c>
      <c r="AB61" s="2" t="s">
        <v>872</v>
      </c>
      <c r="AC61" s="106">
        <v>896</v>
      </c>
      <c r="AD61" s="4">
        <v>20685</v>
      </c>
      <c r="AE61" s="4">
        <v>1461</v>
      </c>
      <c r="AF61" s="4">
        <v>3428</v>
      </c>
    </row>
    <row r="62" spans="1:32" ht="13.5" thickBot="1" x14ac:dyDescent="0.25">
      <c r="A62" s="2" t="s">
        <v>716</v>
      </c>
      <c r="B62" s="1" t="s">
        <v>715</v>
      </c>
      <c r="C62" s="2" t="s">
        <v>19</v>
      </c>
      <c r="D62" s="4">
        <v>2771</v>
      </c>
      <c r="E62" s="4">
        <v>5008</v>
      </c>
      <c r="F62" s="4">
        <v>0</v>
      </c>
      <c r="G62" s="4">
        <v>7779</v>
      </c>
      <c r="H62" s="100">
        <f>Table3[[#This Row],[Circulation of Children''s Materials]]/Table3[[#This Row],[Total Population Served]]</f>
        <v>1.434265010351967</v>
      </c>
      <c r="I62" s="100">
        <f>Table3[[#This Row],[Circulation of Electronic Materials]]/Table3[[#This Row],[Total Population Served]]</f>
        <v>0</v>
      </c>
      <c r="J62" s="100">
        <f t="shared" si="0"/>
        <v>4.0263975155279503</v>
      </c>
      <c r="K62" s="100">
        <f t="shared" si="1"/>
        <v>11.4903988183161</v>
      </c>
      <c r="L62" s="102">
        <v>0</v>
      </c>
      <c r="M62" s="4">
        <v>0</v>
      </c>
      <c r="N62" s="4">
        <v>7779</v>
      </c>
      <c r="O62" s="4">
        <v>7779</v>
      </c>
      <c r="P62" s="4">
        <v>15125</v>
      </c>
      <c r="Q62" s="4">
        <v>0</v>
      </c>
      <c r="R62" s="100">
        <f t="shared" si="2"/>
        <v>0</v>
      </c>
      <c r="S62" s="4">
        <v>277</v>
      </c>
      <c r="T62" s="71">
        <f t="shared" si="8"/>
        <v>0.14337474120082816</v>
      </c>
      <c r="U62" s="4">
        <v>223</v>
      </c>
      <c r="V62" s="4">
        <v>176</v>
      </c>
      <c r="W62" s="4">
        <v>3090</v>
      </c>
      <c r="X62" s="77">
        <v>585</v>
      </c>
      <c r="Y62" s="101">
        <f t="shared" si="3"/>
        <v>1.5993788819875776</v>
      </c>
      <c r="Z62" s="101">
        <f t="shared" si="4"/>
        <v>4.5642540620384047</v>
      </c>
      <c r="AA62" s="4">
        <v>466</v>
      </c>
      <c r="AB62" s="2" t="s">
        <v>872</v>
      </c>
      <c r="AC62" s="106">
        <v>772</v>
      </c>
      <c r="AD62" s="4">
        <v>15125</v>
      </c>
      <c r="AE62" s="4">
        <v>677</v>
      </c>
      <c r="AF62" s="4">
        <v>1932</v>
      </c>
    </row>
    <row r="63" spans="1:32" ht="13.5" thickBot="1" x14ac:dyDescent="0.25">
      <c r="A63" s="2" t="s">
        <v>738</v>
      </c>
      <c r="B63" s="1" t="s">
        <v>737</v>
      </c>
      <c r="C63" s="2" t="s">
        <v>19</v>
      </c>
      <c r="D63" s="77">
        <v>4501</v>
      </c>
      <c r="E63" s="77">
        <v>8111</v>
      </c>
      <c r="F63" s="77">
        <v>514</v>
      </c>
      <c r="G63" s="77">
        <v>13126</v>
      </c>
      <c r="H63" s="100">
        <f>Table3[[#This Row],[Circulation of Children''s Materials]]/Table3[[#This Row],[Total Population Served]]</f>
        <v>1.8856304985337244</v>
      </c>
      <c r="I63" s="100">
        <f>Table3[[#This Row],[Circulation of Electronic Materials]]/Table3[[#This Row],[Total Population Served]]</f>
        <v>0.21533305404273145</v>
      </c>
      <c r="J63" s="100">
        <f t="shared" si="0"/>
        <v>5.498952660242983</v>
      </c>
      <c r="K63" s="100">
        <f t="shared" si="1"/>
        <v>11.067453625632378</v>
      </c>
      <c r="L63" s="102">
        <v>0</v>
      </c>
      <c r="M63" s="77">
        <v>514</v>
      </c>
      <c r="N63" s="77">
        <v>12612</v>
      </c>
      <c r="O63" s="77">
        <v>13126</v>
      </c>
      <c r="P63" s="77">
        <v>22422</v>
      </c>
      <c r="Q63" s="77">
        <v>30561</v>
      </c>
      <c r="R63" s="100">
        <f t="shared" si="2"/>
        <v>12.803100125680771</v>
      </c>
      <c r="S63" s="77">
        <v>1174</v>
      </c>
      <c r="T63" s="71">
        <f t="shared" si="8"/>
        <v>0.49183074989526604</v>
      </c>
      <c r="U63" s="77">
        <v>558</v>
      </c>
      <c r="V63" s="77">
        <v>1559</v>
      </c>
      <c r="W63" s="77">
        <v>9956</v>
      </c>
      <c r="X63" s="77">
        <v>1563</v>
      </c>
      <c r="Y63" s="101">
        <f t="shared" si="3"/>
        <v>4.1709258483452034</v>
      </c>
      <c r="Z63" s="101">
        <f t="shared" si="4"/>
        <v>8.3946037099494095</v>
      </c>
      <c r="AA63" s="77">
        <v>497</v>
      </c>
      <c r="AB63" s="2" t="s">
        <v>872</v>
      </c>
      <c r="AC63" s="106">
        <v>121</v>
      </c>
      <c r="AD63" s="77">
        <v>52983</v>
      </c>
      <c r="AE63" s="77">
        <v>1186</v>
      </c>
      <c r="AF63" s="4">
        <v>2387</v>
      </c>
    </row>
    <row r="64" spans="1:32" ht="13.5" thickBot="1" x14ac:dyDescent="0.25">
      <c r="A64" s="2" t="s">
        <v>757</v>
      </c>
      <c r="B64" s="1" t="s">
        <v>756</v>
      </c>
      <c r="C64" s="2" t="s">
        <v>19</v>
      </c>
      <c r="D64" s="4">
        <v>961</v>
      </c>
      <c r="E64" s="4">
        <v>3370</v>
      </c>
      <c r="F64" s="4">
        <v>287</v>
      </c>
      <c r="G64" s="4">
        <v>4618</v>
      </c>
      <c r="H64" s="100">
        <f>Table3[[#This Row],[Circulation of Children''s Materials]]/Table3[[#This Row],[Total Population Served]]</f>
        <v>0.51308061932728244</v>
      </c>
      <c r="I64" s="100">
        <f>Table3[[#This Row],[Circulation of Electronic Materials]]/Table3[[#This Row],[Total Population Served]]</f>
        <v>0.15323011211959423</v>
      </c>
      <c r="J64" s="100">
        <f t="shared" si="0"/>
        <v>2.4655632674853178</v>
      </c>
      <c r="K64" s="100">
        <f t="shared" si="1"/>
        <v>3.8644351464435145</v>
      </c>
      <c r="L64" s="102">
        <v>416</v>
      </c>
      <c r="M64" s="4">
        <v>703</v>
      </c>
      <c r="N64" s="4">
        <v>4331</v>
      </c>
      <c r="O64" s="4">
        <v>5034</v>
      </c>
      <c r="P64" s="4">
        <v>17859</v>
      </c>
      <c r="Q64" s="4">
        <v>16763</v>
      </c>
      <c r="R64" s="100">
        <f t="shared" si="2"/>
        <v>8.9498131340096094</v>
      </c>
      <c r="S64" s="4">
        <v>498</v>
      </c>
      <c r="T64" s="71">
        <f t="shared" si="8"/>
        <v>0.26588360918312864</v>
      </c>
      <c r="U64" s="4">
        <v>403</v>
      </c>
      <c r="V64" s="4">
        <v>690</v>
      </c>
      <c r="W64" s="4">
        <v>8443</v>
      </c>
      <c r="X64" s="77">
        <v>2016</v>
      </c>
      <c r="Y64" s="101">
        <f t="shared" si="3"/>
        <v>4.5077415910304328</v>
      </c>
      <c r="Z64" s="101">
        <f t="shared" si="4"/>
        <v>7.065271966527197</v>
      </c>
      <c r="AA64" s="4">
        <v>1183</v>
      </c>
      <c r="AB64" s="2" t="s">
        <v>872</v>
      </c>
      <c r="AC64" s="106">
        <v>1500</v>
      </c>
      <c r="AD64" s="4">
        <v>34622</v>
      </c>
      <c r="AE64" s="4">
        <v>1195</v>
      </c>
      <c r="AF64" s="4">
        <v>1873</v>
      </c>
    </row>
    <row r="65" spans="1:32" ht="13.5" thickBot="1" x14ac:dyDescent="0.25">
      <c r="A65" s="2" t="s">
        <v>775</v>
      </c>
      <c r="B65" s="1" t="s">
        <v>774</v>
      </c>
      <c r="C65" s="2" t="s">
        <v>19</v>
      </c>
      <c r="D65" s="4">
        <v>5180</v>
      </c>
      <c r="E65" s="4">
        <v>9800</v>
      </c>
      <c r="F65" s="4">
        <v>1825</v>
      </c>
      <c r="G65" s="4">
        <v>16805</v>
      </c>
      <c r="H65" s="100">
        <f>Table3[[#This Row],[Circulation of Children''s Materials]]/Table3[[#This Row],[Total Population Served]]</f>
        <v>3.1355932203389831</v>
      </c>
      <c r="I65" s="100">
        <f>Table3[[#This Row],[Circulation of Electronic Materials]]/Table3[[#This Row],[Total Population Served]]</f>
        <v>1.1047215496368039</v>
      </c>
      <c r="J65" s="100">
        <f t="shared" si="0"/>
        <v>10.172518159806295</v>
      </c>
      <c r="K65" s="100">
        <f t="shared" si="1"/>
        <v>20.246987951807228</v>
      </c>
      <c r="L65" s="102">
        <v>0</v>
      </c>
      <c r="M65" s="4">
        <v>1825</v>
      </c>
      <c r="N65" s="4">
        <v>14980</v>
      </c>
      <c r="O65" s="4">
        <v>16805</v>
      </c>
      <c r="P65" s="4">
        <v>11582</v>
      </c>
      <c r="Q65" s="4">
        <v>24670</v>
      </c>
      <c r="R65" s="100">
        <f t="shared" si="2"/>
        <v>14.933414043583536</v>
      </c>
      <c r="S65" s="4">
        <v>270</v>
      </c>
      <c r="T65" s="71">
        <f t="shared" si="8"/>
        <v>0.16343825665859565</v>
      </c>
      <c r="U65" s="4">
        <v>6</v>
      </c>
      <c r="V65" s="4">
        <v>24</v>
      </c>
      <c r="W65" s="4">
        <v>4630</v>
      </c>
      <c r="X65" s="77">
        <v>280</v>
      </c>
      <c r="Y65" s="101">
        <f t="shared" si="3"/>
        <v>2.8026634382566584</v>
      </c>
      <c r="Z65" s="101">
        <f t="shared" si="4"/>
        <v>5.5783132530120483</v>
      </c>
      <c r="AA65" s="4">
        <v>1675</v>
      </c>
      <c r="AB65" s="2" t="s">
        <v>872</v>
      </c>
      <c r="AC65" s="106">
        <v>1225</v>
      </c>
      <c r="AD65" s="4">
        <v>36252</v>
      </c>
      <c r="AE65" s="4">
        <v>830</v>
      </c>
      <c r="AF65" s="4">
        <v>1652</v>
      </c>
    </row>
    <row r="66" spans="1:32" ht="13.5" thickBot="1" x14ac:dyDescent="0.25">
      <c r="A66" s="2" t="s">
        <v>787</v>
      </c>
      <c r="B66" s="1" t="s">
        <v>786</v>
      </c>
      <c r="C66" s="2" t="s">
        <v>19</v>
      </c>
      <c r="D66" s="4">
        <v>3012</v>
      </c>
      <c r="E66" s="4">
        <v>6337</v>
      </c>
      <c r="F66" s="4">
        <v>989</v>
      </c>
      <c r="G66" s="4">
        <v>10338</v>
      </c>
      <c r="H66" s="100">
        <f>Table3[[#This Row],[Circulation of Children''s Materials]]/Table3[[#This Row],[Total Population Served]]</f>
        <v>0.7732991014120667</v>
      </c>
      <c r="I66" s="100">
        <f>Table3[[#This Row],[Circulation of Electronic Materials]]/Table3[[#This Row],[Total Population Served]]</f>
        <v>0.25391527599486519</v>
      </c>
      <c r="J66" s="100">
        <f t="shared" si="0"/>
        <v>2.6541720154043644</v>
      </c>
      <c r="K66" s="100">
        <f t="shared" si="1"/>
        <v>4.349179638199411</v>
      </c>
      <c r="L66" s="103" t="s">
        <v>2632</v>
      </c>
      <c r="M66" s="4">
        <v>989</v>
      </c>
      <c r="N66" s="4">
        <v>9349</v>
      </c>
      <c r="O66" s="4">
        <v>10338</v>
      </c>
      <c r="P66" s="4">
        <v>24671</v>
      </c>
      <c r="Q66" s="4">
        <v>36859</v>
      </c>
      <c r="R66" s="100">
        <f t="shared" si="2"/>
        <v>9.4631578947368418</v>
      </c>
      <c r="S66" s="4">
        <v>1102</v>
      </c>
      <c r="T66" s="71">
        <f t="shared" si="8"/>
        <v>0.28292682926829266</v>
      </c>
      <c r="U66" s="4">
        <v>486</v>
      </c>
      <c r="V66" s="4">
        <v>914</v>
      </c>
      <c r="W66" s="4">
        <v>11352</v>
      </c>
      <c r="X66" s="77">
        <v>2100</v>
      </c>
      <c r="Y66" s="101">
        <f t="shared" si="3"/>
        <v>2.9145057766367137</v>
      </c>
      <c r="Z66" s="101">
        <f t="shared" si="4"/>
        <v>4.7757677745056792</v>
      </c>
      <c r="AA66" s="4">
        <v>1822</v>
      </c>
      <c r="AB66" s="2" t="s">
        <v>872</v>
      </c>
      <c r="AC66" s="106">
        <v>5165</v>
      </c>
      <c r="AD66" s="4">
        <v>61530</v>
      </c>
      <c r="AE66" s="4">
        <v>2377</v>
      </c>
      <c r="AF66" s="4">
        <v>3895</v>
      </c>
    </row>
    <row r="67" spans="1:32" ht="13.5" thickBot="1" x14ac:dyDescent="0.25">
      <c r="A67" s="2" t="s">
        <v>793</v>
      </c>
      <c r="B67" s="1" t="s">
        <v>792</v>
      </c>
      <c r="C67" s="2" t="s">
        <v>19</v>
      </c>
      <c r="D67" s="4">
        <v>1562</v>
      </c>
      <c r="E67" s="4">
        <v>6943</v>
      </c>
      <c r="F67" s="4">
        <v>632</v>
      </c>
      <c r="G67" s="4">
        <v>9137</v>
      </c>
      <c r="H67" s="100">
        <f>Table3[[#This Row],[Circulation of Children''s Materials]]/Table3[[#This Row],[Total Population Served]]</f>
        <v>0.72448979591836737</v>
      </c>
      <c r="I67" s="100">
        <f>Table3[[#This Row],[Circulation of Electronic Materials]]/Table3[[#This Row],[Total Population Served]]</f>
        <v>0.29313543599257885</v>
      </c>
      <c r="J67" s="100">
        <f t="shared" si="0"/>
        <v>4.2379406307977741</v>
      </c>
      <c r="K67" s="100">
        <f t="shared" si="1"/>
        <v>14.689710610932476</v>
      </c>
      <c r="L67" s="102">
        <v>0</v>
      </c>
      <c r="M67" s="4">
        <v>632</v>
      </c>
      <c r="N67" s="4">
        <v>8505</v>
      </c>
      <c r="O67" s="4">
        <v>9137</v>
      </c>
      <c r="P67" s="4">
        <v>15606</v>
      </c>
      <c r="Q67" s="4">
        <v>12179</v>
      </c>
      <c r="R67" s="100">
        <f t="shared" si="2"/>
        <v>5.6488868274582558</v>
      </c>
      <c r="S67" s="4">
        <v>110</v>
      </c>
      <c r="T67" s="71">
        <f t="shared" si="8"/>
        <v>5.1020408163265307E-2</v>
      </c>
      <c r="U67" s="4">
        <v>542</v>
      </c>
      <c r="V67" s="4">
        <v>676</v>
      </c>
      <c r="W67" s="4">
        <v>7176</v>
      </c>
      <c r="X67" s="77">
        <v>1894</v>
      </c>
      <c r="Y67" s="101">
        <f t="shared" si="3"/>
        <v>3.3283858998144713</v>
      </c>
      <c r="Z67" s="101">
        <f t="shared" si="4"/>
        <v>11.536977491961414</v>
      </c>
      <c r="AA67" s="4">
        <v>1437</v>
      </c>
      <c r="AB67" s="2" t="s">
        <v>872</v>
      </c>
      <c r="AC67" s="106">
        <v>2144</v>
      </c>
      <c r="AD67" s="4">
        <v>27785</v>
      </c>
      <c r="AE67" s="4">
        <v>622</v>
      </c>
      <c r="AF67" s="4">
        <v>2156</v>
      </c>
    </row>
    <row r="68" spans="1:32" ht="13.5" thickBot="1" x14ac:dyDescent="0.25">
      <c r="A68" s="2" t="s">
        <v>795</v>
      </c>
      <c r="B68" s="1" t="s">
        <v>794</v>
      </c>
      <c r="C68" s="2" t="s">
        <v>19</v>
      </c>
      <c r="D68" s="4">
        <v>2053</v>
      </c>
      <c r="E68" s="4">
        <v>6429</v>
      </c>
      <c r="F68" s="4">
        <v>327</v>
      </c>
      <c r="G68" s="4">
        <v>8809</v>
      </c>
      <c r="H68" s="100">
        <f>Table3[[#This Row],[Circulation of Children''s Materials]]/Table3[[#This Row],[Total Population Served]]</f>
        <v>0.82949494949494951</v>
      </c>
      <c r="I68" s="100">
        <f>Table3[[#This Row],[Circulation of Electronic Materials]]/Table3[[#This Row],[Total Population Served]]</f>
        <v>0.13212121212121211</v>
      </c>
      <c r="J68" s="100">
        <f t="shared" ref="J68:J131" si="9">G68/AF68</f>
        <v>3.5591919191919192</v>
      </c>
      <c r="K68" s="100">
        <f t="shared" ref="K68:K131" si="10">G68/AE68</f>
        <v>12.251738525730181</v>
      </c>
      <c r="L68" s="102">
        <v>0</v>
      </c>
      <c r="M68" s="4">
        <v>327</v>
      </c>
      <c r="N68" s="4">
        <v>8482</v>
      </c>
      <c r="O68" s="4">
        <v>8809</v>
      </c>
      <c r="P68" s="4">
        <v>21708</v>
      </c>
      <c r="Q68" s="4">
        <v>17732</v>
      </c>
      <c r="R68" s="100">
        <f t="shared" ref="R68:R131" si="11">Q68/AF68</f>
        <v>7.1644444444444444</v>
      </c>
      <c r="S68" s="77">
        <v>6517</v>
      </c>
      <c r="T68" s="71">
        <f t="shared" si="8"/>
        <v>2.633131313131313</v>
      </c>
      <c r="U68" s="77">
        <v>769</v>
      </c>
      <c r="V68" s="4">
        <v>1070</v>
      </c>
      <c r="W68" s="4">
        <v>6747</v>
      </c>
      <c r="X68" s="77">
        <v>1268</v>
      </c>
      <c r="Y68" s="101">
        <f t="shared" ref="Y68:Y131" si="12">W68/AF68</f>
        <v>2.7260606060606061</v>
      </c>
      <c r="Z68" s="101">
        <f t="shared" ref="Z68:Z131" si="13">W68/AE68</f>
        <v>9.3838664812239223</v>
      </c>
      <c r="AA68" s="77">
        <v>1610</v>
      </c>
      <c r="AB68" s="2" t="s">
        <v>872</v>
      </c>
      <c r="AC68" s="106">
        <v>1108</v>
      </c>
      <c r="AD68" s="4">
        <v>39440</v>
      </c>
      <c r="AE68" s="4">
        <v>719</v>
      </c>
      <c r="AF68" s="4">
        <v>2475</v>
      </c>
    </row>
    <row r="69" spans="1:32" ht="13.5" thickBot="1" x14ac:dyDescent="0.25">
      <c r="A69" s="2" t="s">
        <v>799</v>
      </c>
      <c r="B69" s="1" t="s">
        <v>798</v>
      </c>
      <c r="C69" s="2" t="s">
        <v>19</v>
      </c>
      <c r="D69" s="4">
        <v>4500</v>
      </c>
      <c r="E69" s="4">
        <v>300</v>
      </c>
      <c r="F69" s="4">
        <v>0</v>
      </c>
      <c r="G69" s="4">
        <v>4800</v>
      </c>
      <c r="H69" s="100">
        <f>Table3[[#This Row],[Circulation of Children''s Materials]]/Table3[[#This Row],[Total Population Served]]</f>
        <v>2.2865853658536586</v>
      </c>
      <c r="I69" s="100">
        <f>Table3[[#This Row],[Circulation of Electronic Materials]]/Table3[[#This Row],[Total Population Served]]</f>
        <v>0</v>
      </c>
      <c r="J69" s="100">
        <f t="shared" si="9"/>
        <v>2.4390243902439024</v>
      </c>
      <c r="K69" s="100">
        <f t="shared" si="10"/>
        <v>192</v>
      </c>
      <c r="L69" s="102">
        <v>0</v>
      </c>
      <c r="M69" s="4">
        <v>0</v>
      </c>
      <c r="N69" s="4">
        <v>4800</v>
      </c>
      <c r="O69" s="4">
        <v>4800</v>
      </c>
      <c r="P69" s="4">
        <v>12857</v>
      </c>
      <c r="Q69" s="4">
        <v>0</v>
      </c>
      <c r="R69" s="100">
        <f t="shared" si="11"/>
        <v>0</v>
      </c>
      <c r="S69" s="105" t="s">
        <v>2632</v>
      </c>
      <c r="T69" s="110">
        <v>0</v>
      </c>
      <c r="U69" s="4">
        <v>0</v>
      </c>
      <c r="V69" s="4">
        <v>15</v>
      </c>
      <c r="W69" s="4">
        <v>600</v>
      </c>
      <c r="X69" s="77">
        <v>0</v>
      </c>
      <c r="Y69" s="101">
        <f t="shared" si="12"/>
        <v>0.3048780487804878</v>
      </c>
      <c r="Z69" s="101">
        <f t="shared" si="13"/>
        <v>24</v>
      </c>
      <c r="AA69" s="4">
        <v>100</v>
      </c>
      <c r="AB69" s="2" t="s">
        <v>872</v>
      </c>
      <c r="AC69" s="107" t="s">
        <v>2632</v>
      </c>
      <c r="AD69" s="4">
        <v>12857</v>
      </c>
      <c r="AE69" s="4">
        <v>25</v>
      </c>
      <c r="AF69" s="4">
        <v>1968</v>
      </c>
    </row>
    <row r="70" spans="1:32" ht="13.5" thickBot="1" x14ac:dyDescent="0.25">
      <c r="A70" s="2" t="s">
        <v>809</v>
      </c>
      <c r="B70" s="1" t="s">
        <v>808</v>
      </c>
      <c r="C70" s="2" t="s">
        <v>19</v>
      </c>
      <c r="D70" s="77">
        <v>749</v>
      </c>
      <c r="E70" s="77">
        <v>6789</v>
      </c>
      <c r="F70" s="77">
        <v>0</v>
      </c>
      <c r="G70" s="77">
        <v>7538</v>
      </c>
      <c r="H70" s="100">
        <f>Table3[[#This Row],[Circulation of Children''s Materials]]/Table3[[#This Row],[Total Population Served]]</f>
        <v>0.3401453224341508</v>
      </c>
      <c r="I70" s="100">
        <f>Table3[[#This Row],[Circulation of Electronic Materials]]/Table3[[#This Row],[Total Population Served]]</f>
        <v>0</v>
      </c>
      <c r="J70" s="100">
        <f t="shared" si="9"/>
        <v>3.4232515894641233</v>
      </c>
      <c r="K70" s="100">
        <f t="shared" si="10"/>
        <v>14.496153846153845</v>
      </c>
      <c r="L70" s="102">
        <v>0</v>
      </c>
      <c r="M70" s="77">
        <v>0</v>
      </c>
      <c r="N70" s="77">
        <v>7538</v>
      </c>
      <c r="O70" s="77">
        <v>7538</v>
      </c>
      <c r="P70" s="77">
        <v>10964</v>
      </c>
      <c r="Q70" s="77">
        <v>0</v>
      </c>
      <c r="R70" s="100">
        <f t="shared" si="11"/>
        <v>0</v>
      </c>
      <c r="S70" s="77">
        <v>64</v>
      </c>
      <c r="T70" s="71">
        <f t="shared" ref="T70:T101" si="14">S70/AF70</f>
        <v>2.9064486830154404E-2</v>
      </c>
      <c r="U70" s="77">
        <v>19</v>
      </c>
      <c r="V70" s="77">
        <v>104</v>
      </c>
      <c r="W70" s="77">
        <v>5439</v>
      </c>
      <c r="X70" s="77">
        <v>0</v>
      </c>
      <c r="Y70" s="101">
        <f t="shared" si="12"/>
        <v>2.4700272479564034</v>
      </c>
      <c r="Z70" s="101">
        <f t="shared" si="13"/>
        <v>10.459615384615384</v>
      </c>
      <c r="AA70" s="77">
        <v>419</v>
      </c>
      <c r="AB70" s="2" t="s">
        <v>872</v>
      </c>
      <c r="AC70" s="107" t="s">
        <v>2632</v>
      </c>
      <c r="AD70" s="77">
        <v>10964</v>
      </c>
      <c r="AE70" s="77">
        <v>520</v>
      </c>
      <c r="AF70" s="4">
        <v>2202</v>
      </c>
    </row>
    <row r="71" spans="1:32" ht="13.5" thickBot="1" x14ac:dyDescent="0.25">
      <c r="A71" s="2" t="s">
        <v>821</v>
      </c>
      <c r="B71" s="1" t="s">
        <v>820</v>
      </c>
      <c r="C71" s="2" t="s">
        <v>19</v>
      </c>
      <c r="D71" s="4">
        <v>774</v>
      </c>
      <c r="E71" s="4">
        <v>2859</v>
      </c>
      <c r="F71" s="4">
        <v>0</v>
      </c>
      <c r="G71" s="4">
        <v>3633</v>
      </c>
      <c r="H71" s="100">
        <f>Table3[[#This Row],[Circulation of Children''s Materials]]/Table3[[#This Row],[Total Population Served]]</f>
        <v>0.26570545829042225</v>
      </c>
      <c r="I71" s="100">
        <f>Table3[[#This Row],[Circulation of Electronic Materials]]/Table3[[#This Row],[Total Population Served]]</f>
        <v>0</v>
      </c>
      <c r="J71" s="100">
        <f t="shared" si="9"/>
        <v>1.247167868177137</v>
      </c>
      <c r="K71" s="100">
        <f t="shared" si="10"/>
        <v>1.4631494160289973</v>
      </c>
      <c r="L71" s="102">
        <v>0</v>
      </c>
      <c r="M71" s="4">
        <v>0</v>
      </c>
      <c r="N71" s="4">
        <v>3633</v>
      </c>
      <c r="O71" s="4">
        <v>3633</v>
      </c>
      <c r="P71" s="4">
        <v>19986</v>
      </c>
      <c r="Q71" s="4">
        <v>0</v>
      </c>
      <c r="R71" s="100">
        <f t="shared" si="11"/>
        <v>0</v>
      </c>
      <c r="S71" s="4">
        <v>325</v>
      </c>
      <c r="T71" s="71">
        <f t="shared" si="14"/>
        <v>0.11156882938551321</v>
      </c>
      <c r="U71" s="4">
        <v>0</v>
      </c>
      <c r="V71" s="4">
        <v>0</v>
      </c>
      <c r="W71" s="4">
        <v>4952</v>
      </c>
      <c r="X71" s="78" t="s">
        <v>16</v>
      </c>
      <c r="Y71" s="101">
        <f t="shared" si="12"/>
        <v>1.6999656711294198</v>
      </c>
      <c r="Z71" s="101">
        <f t="shared" si="13"/>
        <v>1.9943616592831253</v>
      </c>
      <c r="AA71" s="4">
        <v>728</v>
      </c>
      <c r="AB71" s="2" t="s">
        <v>872</v>
      </c>
      <c r="AC71" s="106">
        <v>320</v>
      </c>
      <c r="AD71" s="4">
        <v>19986</v>
      </c>
      <c r="AE71" s="4">
        <v>2483</v>
      </c>
      <c r="AF71" s="4">
        <v>2913</v>
      </c>
    </row>
    <row r="72" spans="1:32" ht="13.5" thickBot="1" x14ac:dyDescent="0.25">
      <c r="A72" s="2" t="s">
        <v>833</v>
      </c>
      <c r="B72" s="1" t="s">
        <v>832</v>
      </c>
      <c r="C72" s="2" t="s">
        <v>19</v>
      </c>
      <c r="D72" s="77">
        <v>766</v>
      </c>
      <c r="E72" s="77">
        <v>5194</v>
      </c>
      <c r="F72" s="77">
        <v>1007</v>
      </c>
      <c r="G72" s="77">
        <v>6967</v>
      </c>
      <c r="H72" s="100">
        <f>Table3[[#This Row],[Circulation of Children''s Materials]]/Table3[[#This Row],[Total Population Served]]</f>
        <v>1.3321739130434782</v>
      </c>
      <c r="I72" s="100">
        <f>Table3[[#This Row],[Circulation of Electronic Materials]]/Table3[[#This Row],[Total Population Served]]</f>
        <v>1.751304347826087</v>
      </c>
      <c r="J72" s="100">
        <f t="shared" si="9"/>
        <v>12.116521739130436</v>
      </c>
      <c r="K72" s="100">
        <f t="shared" si="10"/>
        <v>9.7988748241912802</v>
      </c>
      <c r="L72" s="102">
        <v>1007</v>
      </c>
      <c r="M72" s="77">
        <v>2014</v>
      </c>
      <c r="N72" s="77">
        <v>5960</v>
      </c>
      <c r="O72" s="77">
        <v>7974</v>
      </c>
      <c r="P72" s="77">
        <v>17085</v>
      </c>
      <c r="Q72" s="77">
        <v>11644</v>
      </c>
      <c r="R72" s="100">
        <f t="shared" si="11"/>
        <v>20.250434782608696</v>
      </c>
      <c r="S72" s="77">
        <v>24</v>
      </c>
      <c r="T72" s="71">
        <f t="shared" si="14"/>
        <v>4.1739130434782612E-2</v>
      </c>
      <c r="U72" s="77">
        <v>19</v>
      </c>
      <c r="V72" s="77">
        <v>26</v>
      </c>
      <c r="W72" s="77">
        <v>5240</v>
      </c>
      <c r="X72" s="77">
        <v>230</v>
      </c>
      <c r="Y72" s="101">
        <f t="shared" si="12"/>
        <v>9.1130434782608702</v>
      </c>
      <c r="Z72" s="101">
        <f t="shared" si="13"/>
        <v>7.3699015471167373</v>
      </c>
      <c r="AA72" s="77">
        <v>568</v>
      </c>
      <c r="AB72" s="2" t="s">
        <v>872</v>
      </c>
      <c r="AC72" s="106">
        <v>152</v>
      </c>
      <c r="AD72" s="77">
        <v>28729</v>
      </c>
      <c r="AE72" s="77">
        <v>711</v>
      </c>
      <c r="AF72" s="4">
        <v>575</v>
      </c>
    </row>
    <row r="73" spans="1:32" ht="13.5" thickBot="1" x14ac:dyDescent="0.25">
      <c r="A73" s="2" t="s">
        <v>841</v>
      </c>
      <c r="B73" s="1" t="s">
        <v>840</v>
      </c>
      <c r="C73" s="2" t="s">
        <v>19</v>
      </c>
      <c r="D73" s="77">
        <v>2711</v>
      </c>
      <c r="E73" s="77">
        <v>5398</v>
      </c>
      <c r="F73" s="77">
        <v>0</v>
      </c>
      <c r="G73" s="77">
        <v>8109</v>
      </c>
      <c r="H73" s="100">
        <f>Table3[[#This Row],[Circulation of Children''s Materials]]/Table3[[#This Row],[Total Population Served]]</f>
        <v>0.99013878743608474</v>
      </c>
      <c r="I73" s="100">
        <f>Table3[[#This Row],[Circulation of Electronic Materials]]/Table3[[#This Row],[Total Population Served]]</f>
        <v>0</v>
      </c>
      <c r="J73" s="100">
        <f t="shared" si="9"/>
        <v>2.9616508400292183</v>
      </c>
      <c r="K73" s="100">
        <f t="shared" si="10"/>
        <v>26.5</v>
      </c>
      <c r="L73" s="102">
        <v>0</v>
      </c>
      <c r="M73" s="77">
        <v>0</v>
      </c>
      <c r="N73" s="77">
        <v>8109</v>
      </c>
      <c r="O73" s="77">
        <v>8109</v>
      </c>
      <c r="P73" s="77">
        <v>33922</v>
      </c>
      <c r="Q73" s="77">
        <v>0</v>
      </c>
      <c r="R73" s="100">
        <f t="shared" si="11"/>
        <v>0</v>
      </c>
      <c r="S73" s="77">
        <v>1926</v>
      </c>
      <c r="T73" s="71">
        <f t="shared" si="14"/>
        <v>0.70343316289262237</v>
      </c>
      <c r="U73" s="77">
        <v>2</v>
      </c>
      <c r="V73" s="77">
        <v>80</v>
      </c>
      <c r="W73" s="77">
        <v>9732</v>
      </c>
      <c r="X73" s="77">
        <v>0</v>
      </c>
      <c r="Y73" s="101">
        <f t="shared" si="12"/>
        <v>3.5544192841490139</v>
      </c>
      <c r="Z73" s="101">
        <f t="shared" si="13"/>
        <v>31.803921568627452</v>
      </c>
      <c r="AA73" s="77">
        <v>1426</v>
      </c>
      <c r="AB73" s="2" t="s">
        <v>873</v>
      </c>
      <c r="AC73" s="106">
        <v>0</v>
      </c>
      <c r="AD73" s="77">
        <v>33922</v>
      </c>
      <c r="AE73" s="77">
        <v>306</v>
      </c>
      <c r="AF73" s="4">
        <v>2738</v>
      </c>
    </row>
    <row r="74" spans="1:32" ht="13.5" thickBot="1" x14ac:dyDescent="0.25">
      <c r="A74" s="2" t="s">
        <v>21</v>
      </c>
      <c r="B74" s="1" t="s">
        <v>20</v>
      </c>
      <c r="C74" s="2" t="s">
        <v>24</v>
      </c>
      <c r="D74" s="77">
        <v>7484</v>
      </c>
      <c r="E74" s="77">
        <v>20342</v>
      </c>
      <c r="F74" s="77">
        <v>3615</v>
      </c>
      <c r="G74" s="77">
        <v>31441</v>
      </c>
      <c r="H74" s="100">
        <f>Table3[[#This Row],[Circulation of Children''s Materials]]/Table3[[#This Row],[Total Population Served]]</f>
        <v>1.1783971028184539</v>
      </c>
      <c r="I74" s="100">
        <f>Table3[[#This Row],[Circulation of Electronic Materials]]/Table3[[#This Row],[Total Population Served]]</f>
        <v>0.56920170051960317</v>
      </c>
      <c r="J74" s="100">
        <f t="shared" si="9"/>
        <v>4.9505589670917969</v>
      </c>
      <c r="K74" s="100">
        <f t="shared" si="10"/>
        <v>15.815392354124748</v>
      </c>
      <c r="L74" s="102">
        <v>2219</v>
      </c>
      <c r="M74" s="77">
        <v>5834</v>
      </c>
      <c r="N74" s="77">
        <v>27826</v>
      </c>
      <c r="O74" s="77">
        <v>33660</v>
      </c>
      <c r="P74" s="77">
        <v>26484</v>
      </c>
      <c r="Q74" s="77">
        <v>21629</v>
      </c>
      <c r="R74" s="100">
        <f t="shared" si="11"/>
        <v>3.405605416469847</v>
      </c>
      <c r="S74" s="77">
        <v>2032</v>
      </c>
      <c r="T74" s="71">
        <f t="shared" si="14"/>
        <v>0.31994961423397889</v>
      </c>
      <c r="U74" s="77">
        <v>10942</v>
      </c>
      <c r="V74" s="77">
        <v>5684</v>
      </c>
      <c r="W74" s="77">
        <v>21973</v>
      </c>
      <c r="X74" s="77">
        <v>9455</v>
      </c>
      <c r="Y74" s="101">
        <f t="shared" si="12"/>
        <v>3.4597701149425286</v>
      </c>
      <c r="Z74" s="101">
        <f t="shared" si="13"/>
        <v>11.05281690140845</v>
      </c>
      <c r="AA74" s="77">
        <v>734</v>
      </c>
      <c r="AB74" s="2" t="s">
        <v>872</v>
      </c>
      <c r="AC74" s="106">
        <v>1252</v>
      </c>
      <c r="AD74" s="77">
        <v>48113</v>
      </c>
      <c r="AE74" s="77">
        <v>1988</v>
      </c>
      <c r="AF74" s="4">
        <v>6351</v>
      </c>
    </row>
    <row r="75" spans="1:32" ht="13.5" thickBot="1" x14ac:dyDescent="0.25">
      <c r="A75" s="2" t="s">
        <v>51</v>
      </c>
      <c r="B75" s="1" t="s">
        <v>50</v>
      </c>
      <c r="C75" s="2" t="s">
        <v>24</v>
      </c>
      <c r="D75" s="4">
        <v>13166</v>
      </c>
      <c r="E75" s="4">
        <v>16428</v>
      </c>
      <c r="F75" s="4">
        <v>3234</v>
      </c>
      <c r="G75" s="4">
        <v>32828</v>
      </c>
      <c r="H75" s="100">
        <f>Table3[[#This Row],[Circulation of Children''s Materials]]/Table3[[#This Row],[Total Population Served]]</f>
        <v>2</v>
      </c>
      <c r="I75" s="100">
        <f>Table3[[#This Row],[Circulation of Electronic Materials]]/Table3[[#This Row],[Total Population Served]]</f>
        <v>0.49126538052559621</v>
      </c>
      <c r="J75" s="100">
        <f t="shared" si="9"/>
        <v>4.9867841409691627</v>
      </c>
      <c r="K75" s="100">
        <f t="shared" si="10"/>
        <v>11.207920792079207</v>
      </c>
      <c r="L75" s="102">
        <v>0</v>
      </c>
      <c r="M75" s="4">
        <v>3234</v>
      </c>
      <c r="N75" s="4">
        <v>29594</v>
      </c>
      <c r="O75" s="4">
        <v>32828</v>
      </c>
      <c r="P75" s="4">
        <v>34982</v>
      </c>
      <c r="Q75" s="4">
        <v>15643</v>
      </c>
      <c r="R75" s="100">
        <f t="shared" si="11"/>
        <v>2.3762722163147503</v>
      </c>
      <c r="S75" s="4">
        <v>1560</v>
      </c>
      <c r="T75" s="71">
        <f t="shared" si="14"/>
        <v>0.23697402400121526</v>
      </c>
      <c r="U75" s="4">
        <v>2655</v>
      </c>
      <c r="V75" s="4">
        <v>3815</v>
      </c>
      <c r="W75" s="4">
        <v>28000</v>
      </c>
      <c r="X75" s="77">
        <v>34860</v>
      </c>
      <c r="Y75" s="101">
        <f t="shared" si="12"/>
        <v>4.2533799179705305</v>
      </c>
      <c r="Z75" s="101">
        <f t="shared" si="13"/>
        <v>9.5595766473199042</v>
      </c>
      <c r="AA75" s="4">
        <v>3686</v>
      </c>
      <c r="AB75" s="2" t="s">
        <v>872</v>
      </c>
      <c r="AC75" s="106">
        <v>5000</v>
      </c>
      <c r="AD75" s="4">
        <v>50625</v>
      </c>
      <c r="AE75" s="4">
        <v>2929</v>
      </c>
      <c r="AF75" s="4">
        <v>6583</v>
      </c>
    </row>
    <row r="76" spans="1:32" ht="13.5" thickBot="1" x14ac:dyDescent="0.25">
      <c r="A76" s="2" t="s">
        <v>62</v>
      </c>
      <c r="B76" s="1" t="s">
        <v>61</v>
      </c>
      <c r="C76" s="2" t="s">
        <v>24</v>
      </c>
      <c r="D76" s="4">
        <v>11211</v>
      </c>
      <c r="E76" s="4">
        <v>20078</v>
      </c>
      <c r="F76" s="4">
        <v>616</v>
      </c>
      <c r="G76" s="4">
        <v>31905</v>
      </c>
      <c r="H76" s="100">
        <f>Table3[[#This Row],[Circulation of Children''s Materials]]/Table3[[#This Row],[Total Population Served]]</f>
        <v>2.0842163970998326</v>
      </c>
      <c r="I76" s="100">
        <f>Table3[[#This Row],[Circulation of Electronic Materials]]/Table3[[#This Row],[Total Population Served]]</f>
        <v>0.11451942740286299</v>
      </c>
      <c r="J76" s="100">
        <f t="shared" si="9"/>
        <v>5.9313998884551031</v>
      </c>
      <c r="K76" s="100">
        <f t="shared" si="10"/>
        <v>16.303014818599898</v>
      </c>
      <c r="L76" s="102">
        <v>0</v>
      </c>
      <c r="M76" s="4">
        <v>616</v>
      </c>
      <c r="N76" s="4">
        <v>31289</v>
      </c>
      <c r="O76" s="4">
        <v>31905</v>
      </c>
      <c r="P76" s="4">
        <v>28046</v>
      </c>
      <c r="Q76" s="4">
        <v>9166</v>
      </c>
      <c r="R76" s="100">
        <f t="shared" si="11"/>
        <v>1.7040342071016918</v>
      </c>
      <c r="S76" s="4">
        <v>2020</v>
      </c>
      <c r="T76" s="71">
        <f t="shared" si="14"/>
        <v>0.3755344859639338</v>
      </c>
      <c r="U76" s="4">
        <v>3124</v>
      </c>
      <c r="V76" s="4">
        <v>4221</v>
      </c>
      <c r="W76" s="4">
        <v>22013</v>
      </c>
      <c r="X76" s="77">
        <v>11640</v>
      </c>
      <c r="Y76" s="101">
        <f t="shared" si="12"/>
        <v>4.0923963562000374</v>
      </c>
      <c r="Z76" s="101">
        <f t="shared" si="13"/>
        <v>11.24833929483904</v>
      </c>
      <c r="AA76" s="4">
        <v>674</v>
      </c>
      <c r="AB76" s="2" t="s">
        <v>872</v>
      </c>
      <c r="AC76" s="106">
        <v>6942</v>
      </c>
      <c r="AD76" s="4">
        <v>37212</v>
      </c>
      <c r="AE76" s="4">
        <v>1957</v>
      </c>
      <c r="AF76" s="4">
        <v>5379</v>
      </c>
    </row>
    <row r="77" spans="1:32" ht="13.5" thickBot="1" x14ac:dyDescent="0.25">
      <c r="A77" s="2" t="s">
        <v>66</v>
      </c>
      <c r="B77" s="1" t="s">
        <v>65</v>
      </c>
      <c r="C77" s="2" t="s">
        <v>24</v>
      </c>
      <c r="D77" s="77">
        <v>2154</v>
      </c>
      <c r="E77" s="77">
        <v>3506</v>
      </c>
      <c r="F77" s="77">
        <v>428</v>
      </c>
      <c r="G77" s="77">
        <v>6088</v>
      </c>
      <c r="H77" s="100">
        <f>Table3[[#This Row],[Circulation of Children''s Materials]]/Table3[[#This Row],[Total Population Served]]</f>
        <v>0.50504103165298941</v>
      </c>
      <c r="I77" s="100">
        <f>Table3[[#This Row],[Circulation of Electronic Materials]]/Table3[[#This Row],[Total Population Served]]</f>
        <v>0.10035169988276671</v>
      </c>
      <c r="J77" s="100">
        <f t="shared" si="9"/>
        <v>1.427432590855803</v>
      </c>
      <c r="K77" s="100">
        <f t="shared" si="10"/>
        <v>4.1899518238128008</v>
      </c>
      <c r="L77" s="102">
        <v>428</v>
      </c>
      <c r="M77" s="77">
        <v>856</v>
      </c>
      <c r="N77" s="77">
        <v>5660</v>
      </c>
      <c r="O77" s="77">
        <v>6516</v>
      </c>
      <c r="P77" s="77">
        <v>9241</v>
      </c>
      <c r="Q77" s="77">
        <v>0</v>
      </c>
      <c r="R77" s="100">
        <f t="shared" si="11"/>
        <v>0</v>
      </c>
      <c r="S77" s="77">
        <v>3844</v>
      </c>
      <c r="T77" s="71">
        <f t="shared" si="14"/>
        <v>0.90128956623681122</v>
      </c>
      <c r="U77" s="77">
        <v>355</v>
      </c>
      <c r="V77" s="77">
        <v>896</v>
      </c>
      <c r="W77" s="77">
        <v>7602</v>
      </c>
      <c r="X77" s="78" t="s">
        <v>16</v>
      </c>
      <c r="Y77" s="101">
        <f t="shared" si="12"/>
        <v>1.7824150058616648</v>
      </c>
      <c r="Z77" s="101">
        <f t="shared" si="13"/>
        <v>5.2319339298004133</v>
      </c>
      <c r="AA77" s="77">
        <v>1272</v>
      </c>
      <c r="AB77" s="2" t="s">
        <v>872</v>
      </c>
      <c r="AC77" s="108" t="s">
        <v>2632</v>
      </c>
      <c r="AD77" s="77">
        <v>9241</v>
      </c>
      <c r="AE77" s="77">
        <v>1453</v>
      </c>
      <c r="AF77" s="4">
        <v>4265</v>
      </c>
    </row>
    <row r="78" spans="1:32" ht="13.5" thickBot="1" x14ac:dyDescent="0.25">
      <c r="A78" s="2" t="s">
        <v>78</v>
      </c>
      <c r="B78" s="1" t="s">
        <v>77</v>
      </c>
      <c r="C78" s="2" t="s">
        <v>24</v>
      </c>
      <c r="D78" s="4">
        <v>7650</v>
      </c>
      <c r="E78" s="4">
        <v>24262</v>
      </c>
      <c r="F78" s="4">
        <v>3687</v>
      </c>
      <c r="G78" s="4">
        <v>35599</v>
      </c>
      <c r="H78" s="100">
        <f>Table3[[#This Row],[Circulation of Children''s Materials]]/Table3[[#This Row],[Total Population Served]]</f>
        <v>1.1554145899410966</v>
      </c>
      <c r="I78" s="100">
        <f>Table3[[#This Row],[Circulation of Electronic Materials]]/Table3[[#This Row],[Total Population Served]]</f>
        <v>0.55686452197553238</v>
      </c>
      <c r="J78" s="100">
        <f t="shared" si="9"/>
        <v>5.3766802597794898</v>
      </c>
      <c r="K78" s="100">
        <f t="shared" si="10"/>
        <v>5.9331666666666667</v>
      </c>
      <c r="L78" s="102">
        <v>1965</v>
      </c>
      <c r="M78" s="4">
        <v>5652</v>
      </c>
      <c r="N78" s="4">
        <v>31912</v>
      </c>
      <c r="O78" s="4">
        <v>37564</v>
      </c>
      <c r="P78" s="4">
        <v>38989</v>
      </c>
      <c r="Q78" s="4">
        <v>15645</v>
      </c>
      <c r="R78" s="100">
        <f t="shared" si="11"/>
        <v>2.3629361123697326</v>
      </c>
      <c r="S78" s="77">
        <v>250</v>
      </c>
      <c r="T78" s="71">
        <f t="shared" si="14"/>
        <v>3.7758646730101195E-2</v>
      </c>
      <c r="U78" s="77">
        <v>1916</v>
      </c>
      <c r="V78" s="4">
        <v>2250</v>
      </c>
      <c r="W78" s="4">
        <v>36322</v>
      </c>
      <c r="X78" s="77">
        <v>19682</v>
      </c>
      <c r="Y78" s="101">
        <f t="shared" si="12"/>
        <v>5.4858782661229419</v>
      </c>
      <c r="Z78" s="101">
        <f t="shared" si="13"/>
        <v>6.0536666666666665</v>
      </c>
      <c r="AA78" s="77">
        <v>4510</v>
      </c>
      <c r="AB78" s="2" t="s">
        <v>872</v>
      </c>
      <c r="AC78" s="106">
        <v>19364</v>
      </c>
      <c r="AD78" s="4">
        <v>54634</v>
      </c>
      <c r="AE78" s="4">
        <v>6000</v>
      </c>
      <c r="AF78" s="4">
        <v>6621</v>
      </c>
    </row>
    <row r="79" spans="1:32" ht="13.5" thickBot="1" x14ac:dyDescent="0.25">
      <c r="A79" s="2" t="s">
        <v>82</v>
      </c>
      <c r="B79" s="1" t="s">
        <v>81</v>
      </c>
      <c r="C79" s="2" t="s">
        <v>24</v>
      </c>
      <c r="D79" s="77">
        <v>4106</v>
      </c>
      <c r="E79" s="77">
        <v>11637</v>
      </c>
      <c r="F79" s="77">
        <v>1036</v>
      </c>
      <c r="G79" s="77">
        <v>16779</v>
      </c>
      <c r="H79" s="100">
        <f>Table3[[#This Row],[Circulation of Children''s Materials]]/Table3[[#This Row],[Total Population Served]]</f>
        <v>1.0076073619631902</v>
      </c>
      <c r="I79" s="100">
        <f>Table3[[#This Row],[Circulation of Electronic Materials]]/Table3[[#This Row],[Total Population Served]]</f>
        <v>0.25423312883435584</v>
      </c>
      <c r="J79" s="100">
        <f t="shared" si="9"/>
        <v>4.1175460122699388</v>
      </c>
      <c r="K79" s="100">
        <f t="shared" si="10"/>
        <v>7.3883751651254954</v>
      </c>
      <c r="L79" s="103" t="s">
        <v>2632</v>
      </c>
      <c r="M79" s="77">
        <v>1036</v>
      </c>
      <c r="N79" s="77">
        <v>15743</v>
      </c>
      <c r="O79" s="77">
        <v>16779</v>
      </c>
      <c r="P79" s="77">
        <v>30151</v>
      </c>
      <c r="Q79" s="77">
        <v>19511</v>
      </c>
      <c r="R79" s="100">
        <f t="shared" si="11"/>
        <v>4.7879754601226994</v>
      </c>
      <c r="S79" s="77">
        <v>498</v>
      </c>
      <c r="T79" s="71">
        <f t="shared" si="14"/>
        <v>0.12220858895705522</v>
      </c>
      <c r="U79" s="77">
        <v>869</v>
      </c>
      <c r="V79" s="77">
        <v>1293</v>
      </c>
      <c r="W79" s="77">
        <v>12566</v>
      </c>
      <c r="X79" s="78" t="s">
        <v>16</v>
      </c>
      <c r="Y79" s="101">
        <f t="shared" si="12"/>
        <v>3.0836809815950921</v>
      </c>
      <c r="Z79" s="101">
        <f t="shared" si="13"/>
        <v>5.5332452664024663</v>
      </c>
      <c r="AA79" s="77">
        <v>5233</v>
      </c>
      <c r="AB79" s="2" t="s">
        <v>872</v>
      </c>
      <c r="AC79" s="106">
        <v>4168</v>
      </c>
      <c r="AD79" s="77">
        <v>49662</v>
      </c>
      <c r="AE79" s="77">
        <v>2271</v>
      </c>
      <c r="AF79" s="4">
        <v>4075</v>
      </c>
    </row>
    <row r="80" spans="1:32" ht="13.5" thickBot="1" x14ac:dyDescent="0.25">
      <c r="A80" s="2" t="s">
        <v>106</v>
      </c>
      <c r="B80" s="1" t="s">
        <v>105</v>
      </c>
      <c r="C80" s="2" t="s">
        <v>24</v>
      </c>
      <c r="D80" s="77">
        <v>4961</v>
      </c>
      <c r="E80" s="77">
        <v>11808</v>
      </c>
      <c r="F80" s="77">
        <v>1475</v>
      </c>
      <c r="G80" s="77">
        <v>18244</v>
      </c>
      <c r="H80" s="100">
        <f>Table3[[#This Row],[Circulation of Children''s Materials]]/Table3[[#This Row],[Total Population Served]]</f>
        <v>0.91632803841891397</v>
      </c>
      <c r="I80" s="100">
        <f>Table3[[#This Row],[Circulation of Electronic Materials]]/Table3[[#This Row],[Total Population Served]]</f>
        <v>0.27244181751015883</v>
      </c>
      <c r="J80" s="100">
        <f t="shared" si="9"/>
        <v>3.3697820465459918</v>
      </c>
      <c r="K80" s="100">
        <f t="shared" si="10"/>
        <v>13.727614747930774</v>
      </c>
      <c r="L80" s="103" t="s">
        <v>2632</v>
      </c>
      <c r="M80" s="77">
        <v>1475</v>
      </c>
      <c r="N80" s="77">
        <v>16769</v>
      </c>
      <c r="O80" s="77">
        <v>18244</v>
      </c>
      <c r="P80" s="77">
        <v>12993</v>
      </c>
      <c r="Q80" s="77">
        <v>12179</v>
      </c>
      <c r="R80" s="100">
        <f t="shared" si="11"/>
        <v>2.24953823420761</v>
      </c>
      <c r="S80" s="77">
        <v>2027</v>
      </c>
      <c r="T80" s="71">
        <f t="shared" si="14"/>
        <v>0.37439970446989285</v>
      </c>
      <c r="U80" s="77">
        <v>1144</v>
      </c>
      <c r="V80" s="77">
        <v>1139</v>
      </c>
      <c r="W80" s="77">
        <v>9855</v>
      </c>
      <c r="X80" s="77">
        <v>3372</v>
      </c>
      <c r="Y80" s="101">
        <f t="shared" si="12"/>
        <v>1.8202807536017731</v>
      </c>
      <c r="Z80" s="101">
        <f t="shared" si="13"/>
        <v>7.4153498871331829</v>
      </c>
      <c r="AA80" s="77">
        <v>1765</v>
      </c>
      <c r="AB80" s="2" t="s">
        <v>872</v>
      </c>
      <c r="AC80" s="106">
        <v>1359</v>
      </c>
      <c r="AD80" s="77">
        <v>25172</v>
      </c>
      <c r="AE80" s="77">
        <v>1329</v>
      </c>
      <c r="AF80" s="4">
        <v>5414</v>
      </c>
    </row>
    <row r="81" spans="1:32" ht="13.5" thickBot="1" x14ac:dyDescent="0.25">
      <c r="A81" s="2" t="s">
        <v>126</v>
      </c>
      <c r="B81" s="1" t="s">
        <v>125</v>
      </c>
      <c r="C81" s="2" t="s">
        <v>24</v>
      </c>
      <c r="D81" s="77">
        <v>17146</v>
      </c>
      <c r="E81" s="77">
        <v>33559</v>
      </c>
      <c r="F81" s="77">
        <v>7275</v>
      </c>
      <c r="G81" s="77">
        <v>57980</v>
      </c>
      <c r="H81" s="100">
        <f>Table3[[#This Row],[Circulation of Children''s Materials]]/Table3[[#This Row],[Total Population Served]]</f>
        <v>2.7233163913595932</v>
      </c>
      <c r="I81" s="100">
        <f>Table3[[#This Row],[Circulation of Electronic Materials]]/Table3[[#This Row],[Total Population Served]]</f>
        <v>1.1554955527318933</v>
      </c>
      <c r="J81" s="100">
        <f t="shared" si="9"/>
        <v>9.2090216010165182</v>
      </c>
      <c r="K81" s="100">
        <f t="shared" si="10"/>
        <v>16.575185820468839</v>
      </c>
      <c r="L81" s="102">
        <v>652</v>
      </c>
      <c r="M81" s="77">
        <v>7927</v>
      </c>
      <c r="N81" s="77">
        <v>50705</v>
      </c>
      <c r="O81" s="77">
        <v>58632</v>
      </c>
      <c r="P81" s="77">
        <v>34375</v>
      </c>
      <c r="Q81" s="77">
        <v>16105</v>
      </c>
      <c r="R81" s="100">
        <f t="shared" si="11"/>
        <v>2.5579733163913594</v>
      </c>
      <c r="S81" s="77">
        <v>3441</v>
      </c>
      <c r="T81" s="71">
        <f t="shared" si="14"/>
        <v>0.54653748411689962</v>
      </c>
      <c r="U81" s="77">
        <v>1827</v>
      </c>
      <c r="V81" s="77">
        <v>2374</v>
      </c>
      <c r="W81" s="77">
        <v>67973</v>
      </c>
      <c r="X81" s="77">
        <v>13320</v>
      </c>
      <c r="Y81" s="101">
        <f t="shared" si="12"/>
        <v>10.796219822109276</v>
      </c>
      <c r="Z81" s="101">
        <f t="shared" si="13"/>
        <v>19.431961120640366</v>
      </c>
      <c r="AA81" s="77">
        <v>13089</v>
      </c>
      <c r="AB81" s="2" t="s">
        <v>872</v>
      </c>
      <c r="AC81" s="106">
        <v>12384</v>
      </c>
      <c r="AD81" s="77">
        <v>50480</v>
      </c>
      <c r="AE81" s="77">
        <v>3498</v>
      </c>
      <c r="AF81" s="4">
        <v>6296</v>
      </c>
    </row>
    <row r="82" spans="1:32" ht="13.5" thickBot="1" x14ac:dyDescent="0.25">
      <c r="A82" s="2" t="s">
        <v>132</v>
      </c>
      <c r="B82" s="1" t="s">
        <v>131</v>
      </c>
      <c r="C82" s="2" t="s">
        <v>24</v>
      </c>
      <c r="D82" s="77">
        <v>2500</v>
      </c>
      <c r="E82" s="77">
        <v>4500</v>
      </c>
      <c r="F82" s="77">
        <v>0</v>
      </c>
      <c r="G82" s="77">
        <v>7000</v>
      </c>
      <c r="H82" s="100">
        <f>Table3[[#This Row],[Circulation of Children''s Materials]]/Table3[[#This Row],[Total Population Served]]</f>
        <v>0.62421972534332082</v>
      </c>
      <c r="I82" s="100">
        <f>Table3[[#This Row],[Circulation of Electronic Materials]]/Table3[[#This Row],[Total Population Served]]</f>
        <v>0</v>
      </c>
      <c r="J82" s="100">
        <f t="shared" si="9"/>
        <v>1.7478152309612984</v>
      </c>
      <c r="K82" s="100">
        <f t="shared" si="10"/>
        <v>6.3926940639269407</v>
      </c>
      <c r="L82" s="103" t="s">
        <v>2632</v>
      </c>
      <c r="M82" s="77">
        <v>0</v>
      </c>
      <c r="N82" s="77">
        <v>7000</v>
      </c>
      <c r="O82" s="77">
        <v>7000</v>
      </c>
      <c r="P82" s="77">
        <v>14948</v>
      </c>
      <c r="Q82" s="77">
        <v>0</v>
      </c>
      <c r="R82" s="100">
        <f t="shared" si="11"/>
        <v>0</v>
      </c>
      <c r="S82" s="77">
        <v>225</v>
      </c>
      <c r="T82" s="71">
        <f t="shared" si="14"/>
        <v>5.6179775280898875E-2</v>
      </c>
      <c r="U82" s="77">
        <v>582</v>
      </c>
      <c r="V82" s="77">
        <v>659</v>
      </c>
      <c r="W82" s="77">
        <v>3000</v>
      </c>
      <c r="X82" s="77">
        <v>100</v>
      </c>
      <c r="Y82" s="101">
        <f t="shared" si="12"/>
        <v>0.74906367041198507</v>
      </c>
      <c r="Z82" s="101">
        <f t="shared" si="13"/>
        <v>2.7397260273972601</v>
      </c>
      <c r="AA82" s="77">
        <v>1230</v>
      </c>
      <c r="AB82" s="2" t="s">
        <v>872</v>
      </c>
      <c r="AC82" s="106">
        <v>400</v>
      </c>
      <c r="AD82" s="77">
        <v>14948</v>
      </c>
      <c r="AE82" s="77">
        <v>1095</v>
      </c>
      <c r="AF82" s="4">
        <v>4005</v>
      </c>
    </row>
    <row r="83" spans="1:32" ht="13.5" thickBot="1" x14ac:dyDescent="0.25">
      <c r="A83" s="2" t="s">
        <v>146</v>
      </c>
      <c r="B83" s="1" t="s">
        <v>145</v>
      </c>
      <c r="C83" s="2" t="s">
        <v>24</v>
      </c>
      <c r="D83" s="4">
        <v>5688</v>
      </c>
      <c r="E83" s="4">
        <v>5456</v>
      </c>
      <c r="F83" s="4">
        <v>682</v>
      </c>
      <c r="G83" s="4">
        <v>11826</v>
      </c>
      <c r="H83" s="100">
        <f>Table3[[#This Row],[Circulation of Children''s Materials]]/Table3[[#This Row],[Total Population Served]]</f>
        <v>1.357193987115247</v>
      </c>
      <c r="I83" s="100">
        <f>Table3[[#This Row],[Circulation of Electronic Materials]]/Table3[[#This Row],[Total Population Served]]</f>
        <v>0.16272965879265092</v>
      </c>
      <c r="J83" s="100">
        <f t="shared" si="9"/>
        <v>2.8217609162491053</v>
      </c>
      <c r="K83" s="100">
        <f t="shared" si="10"/>
        <v>23.279527559055119</v>
      </c>
      <c r="L83" s="102">
        <v>124</v>
      </c>
      <c r="M83" s="4">
        <v>806</v>
      </c>
      <c r="N83" s="4">
        <v>11144</v>
      </c>
      <c r="O83" s="4">
        <v>11950</v>
      </c>
      <c r="P83" s="4">
        <v>13885</v>
      </c>
      <c r="Q83" s="4">
        <v>12760</v>
      </c>
      <c r="R83" s="100">
        <f t="shared" si="11"/>
        <v>3.0446194225721785</v>
      </c>
      <c r="S83" s="77">
        <v>1480</v>
      </c>
      <c r="T83" s="71">
        <f t="shared" si="14"/>
        <v>0.35313767597232165</v>
      </c>
      <c r="U83" s="77">
        <v>1144</v>
      </c>
      <c r="V83" s="4">
        <v>1373</v>
      </c>
      <c r="W83" s="4">
        <v>7054</v>
      </c>
      <c r="X83" s="77">
        <v>7200</v>
      </c>
      <c r="Y83" s="101">
        <f t="shared" si="12"/>
        <v>1.6831305177761871</v>
      </c>
      <c r="Z83" s="101">
        <f t="shared" si="13"/>
        <v>13.885826771653543</v>
      </c>
      <c r="AA83" s="77">
        <v>1078</v>
      </c>
      <c r="AB83" s="2" t="s">
        <v>872</v>
      </c>
      <c r="AC83" s="106">
        <v>425</v>
      </c>
      <c r="AD83" s="4">
        <v>26645</v>
      </c>
      <c r="AE83" s="4">
        <v>508</v>
      </c>
      <c r="AF83" s="4">
        <v>4191</v>
      </c>
    </row>
    <row r="84" spans="1:32" ht="13.5" thickBot="1" x14ac:dyDescent="0.25">
      <c r="A84" s="2" t="s">
        <v>188</v>
      </c>
      <c r="B84" s="1" t="s">
        <v>187</v>
      </c>
      <c r="C84" s="2" t="s">
        <v>24</v>
      </c>
      <c r="D84" s="77">
        <v>3816</v>
      </c>
      <c r="E84" s="77">
        <v>11369</v>
      </c>
      <c r="F84" s="77">
        <v>1852</v>
      </c>
      <c r="G84" s="77">
        <v>17037</v>
      </c>
      <c r="H84" s="100">
        <f>Table3[[#This Row],[Circulation of Children''s Materials]]/Table3[[#This Row],[Total Population Served]]</f>
        <v>0.82561661618347038</v>
      </c>
      <c r="I84" s="100">
        <f>Table3[[#This Row],[Circulation of Electronic Materials]]/Table3[[#This Row],[Total Population Served]]</f>
        <v>0.4006923409779316</v>
      </c>
      <c r="J84" s="100">
        <f t="shared" si="9"/>
        <v>3.6860666378191258</v>
      </c>
      <c r="K84" s="100">
        <f t="shared" si="10"/>
        <v>15.601648351648352</v>
      </c>
      <c r="L84" s="102">
        <v>0</v>
      </c>
      <c r="M84" s="77">
        <v>1852</v>
      </c>
      <c r="N84" s="77">
        <v>15185</v>
      </c>
      <c r="O84" s="77">
        <v>17037</v>
      </c>
      <c r="P84" s="77">
        <v>28402</v>
      </c>
      <c r="Q84" s="77">
        <v>11386</v>
      </c>
      <c r="R84" s="100">
        <f t="shared" si="11"/>
        <v>2.4634357421029858</v>
      </c>
      <c r="S84" s="77">
        <v>367</v>
      </c>
      <c r="T84" s="71">
        <f t="shared" si="14"/>
        <v>7.9402855906533967E-2</v>
      </c>
      <c r="U84" s="77">
        <v>2767</v>
      </c>
      <c r="V84" s="77">
        <v>1679</v>
      </c>
      <c r="W84" s="77">
        <v>20774</v>
      </c>
      <c r="X84" s="77">
        <v>18762</v>
      </c>
      <c r="Y84" s="101">
        <f t="shared" si="12"/>
        <v>4.4945910861099092</v>
      </c>
      <c r="Z84" s="101">
        <f t="shared" si="13"/>
        <v>19.023809523809526</v>
      </c>
      <c r="AA84" s="77">
        <v>2308</v>
      </c>
      <c r="AB84" s="2" t="s">
        <v>872</v>
      </c>
      <c r="AC84" s="106">
        <v>206</v>
      </c>
      <c r="AD84" s="77">
        <v>39788</v>
      </c>
      <c r="AE84" s="77">
        <v>1092</v>
      </c>
      <c r="AF84" s="4">
        <v>4622</v>
      </c>
    </row>
    <row r="85" spans="1:32" ht="13.5" thickBot="1" x14ac:dyDescent="0.25">
      <c r="A85" s="2" t="s">
        <v>202</v>
      </c>
      <c r="B85" s="1" t="s">
        <v>201</v>
      </c>
      <c r="C85" s="2" t="s">
        <v>24</v>
      </c>
      <c r="D85" s="77">
        <v>9235</v>
      </c>
      <c r="E85" s="77">
        <v>11287</v>
      </c>
      <c r="F85" s="77">
        <v>1235</v>
      </c>
      <c r="G85" s="77">
        <v>21757</v>
      </c>
      <c r="H85" s="100">
        <f>Table3[[#This Row],[Circulation of Children''s Materials]]/Table3[[#This Row],[Total Population Served]]</f>
        <v>1.8521861211391897</v>
      </c>
      <c r="I85" s="100">
        <f>Table3[[#This Row],[Circulation of Electronic Materials]]/Table3[[#This Row],[Total Population Served]]</f>
        <v>0.24769354191736864</v>
      </c>
      <c r="J85" s="100">
        <f t="shared" si="9"/>
        <v>4.3636181307661452</v>
      </c>
      <c r="K85" s="100">
        <f t="shared" si="10"/>
        <v>8.3200764818355637</v>
      </c>
      <c r="L85" s="102">
        <v>33</v>
      </c>
      <c r="M85" s="77">
        <v>1268</v>
      </c>
      <c r="N85" s="77">
        <v>20522</v>
      </c>
      <c r="O85" s="77">
        <v>21790</v>
      </c>
      <c r="P85" s="77">
        <v>21618</v>
      </c>
      <c r="Q85" s="77">
        <v>10442</v>
      </c>
      <c r="R85" s="100">
        <f t="shared" si="11"/>
        <v>2.0942639390292821</v>
      </c>
      <c r="S85" s="77">
        <v>1134</v>
      </c>
      <c r="T85" s="71">
        <f t="shared" si="14"/>
        <v>0.22743682310469315</v>
      </c>
      <c r="U85" s="77">
        <v>698</v>
      </c>
      <c r="V85" s="77">
        <v>681</v>
      </c>
      <c r="W85" s="77">
        <v>13600</v>
      </c>
      <c r="X85" s="77">
        <v>4861</v>
      </c>
      <c r="Y85" s="101">
        <f t="shared" si="12"/>
        <v>2.727637384677096</v>
      </c>
      <c r="Z85" s="101">
        <f t="shared" si="13"/>
        <v>5.2007648183556405</v>
      </c>
      <c r="AA85" s="77">
        <v>5922</v>
      </c>
      <c r="AB85" s="2" t="s">
        <v>872</v>
      </c>
      <c r="AC85" s="106">
        <v>630</v>
      </c>
      <c r="AD85" s="77">
        <v>32060</v>
      </c>
      <c r="AE85" s="77">
        <v>2615</v>
      </c>
      <c r="AF85" s="4">
        <v>4986</v>
      </c>
    </row>
    <row r="86" spans="1:32" ht="13.5" thickBot="1" x14ac:dyDescent="0.25">
      <c r="A86" s="2" t="s">
        <v>225</v>
      </c>
      <c r="B86" s="1" t="s">
        <v>224</v>
      </c>
      <c r="C86" s="2" t="s">
        <v>24</v>
      </c>
      <c r="D86" s="77">
        <v>4947</v>
      </c>
      <c r="E86" s="77">
        <v>10996</v>
      </c>
      <c r="F86" s="77">
        <v>0</v>
      </c>
      <c r="G86" s="77">
        <v>15943</v>
      </c>
      <c r="H86" s="100">
        <f>Table3[[#This Row],[Circulation of Children''s Materials]]/Table3[[#This Row],[Total Population Served]]</f>
        <v>1.0959237926451042</v>
      </c>
      <c r="I86" s="100">
        <f>Table3[[#This Row],[Circulation of Electronic Materials]]/Table3[[#This Row],[Total Population Served]]</f>
        <v>0</v>
      </c>
      <c r="J86" s="100">
        <f t="shared" si="9"/>
        <v>3.5319007532122284</v>
      </c>
      <c r="K86" s="100">
        <f t="shared" si="10"/>
        <v>9.5753753753753745</v>
      </c>
      <c r="L86" s="102">
        <v>441</v>
      </c>
      <c r="M86" s="77">
        <v>441</v>
      </c>
      <c r="N86" s="77">
        <v>15943</v>
      </c>
      <c r="O86" s="77">
        <v>16384</v>
      </c>
      <c r="P86" s="77">
        <v>11140</v>
      </c>
      <c r="Q86" s="77">
        <v>0</v>
      </c>
      <c r="R86" s="100">
        <f t="shared" si="11"/>
        <v>0</v>
      </c>
      <c r="S86" s="77">
        <v>2987</v>
      </c>
      <c r="T86" s="71">
        <f t="shared" si="14"/>
        <v>0.66171909614532565</v>
      </c>
      <c r="U86" s="77">
        <v>1877</v>
      </c>
      <c r="V86" s="77">
        <v>1576</v>
      </c>
      <c r="W86" s="77">
        <v>15123</v>
      </c>
      <c r="X86" s="77">
        <v>1247</v>
      </c>
      <c r="Y86" s="101">
        <f t="shared" si="12"/>
        <v>3.3502436863092599</v>
      </c>
      <c r="Z86" s="101">
        <f t="shared" si="13"/>
        <v>9.0828828828828829</v>
      </c>
      <c r="AA86" s="77">
        <v>583</v>
      </c>
      <c r="AB86" s="2" t="s">
        <v>872</v>
      </c>
      <c r="AC86" s="106">
        <v>1375</v>
      </c>
      <c r="AD86" s="77">
        <v>11140</v>
      </c>
      <c r="AE86" s="77">
        <v>1665</v>
      </c>
      <c r="AF86" s="4">
        <v>4514</v>
      </c>
    </row>
    <row r="87" spans="1:32" ht="13.5" thickBot="1" x14ac:dyDescent="0.25">
      <c r="A87" s="2" t="s">
        <v>241</v>
      </c>
      <c r="B87" s="1" t="s">
        <v>240</v>
      </c>
      <c r="C87" s="2" t="s">
        <v>24</v>
      </c>
      <c r="D87" s="77">
        <v>3375</v>
      </c>
      <c r="E87" s="77">
        <v>7928</v>
      </c>
      <c r="F87" s="77">
        <v>2056</v>
      </c>
      <c r="G87" s="77">
        <v>13359</v>
      </c>
      <c r="H87" s="100">
        <f>Table3[[#This Row],[Circulation of Children''s Materials]]/Table3[[#This Row],[Total Population Served]]</f>
        <v>0.49356536999122552</v>
      </c>
      <c r="I87" s="100">
        <f>Table3[[#This Row],[Circulation of Electronic Materials]]/Table3[[#This Row],[Total Population Served]]</f>
        <v>0.30067271131909917</v>
      </c>
      <c r="J87" s="100">
        <f t="shared" si="9"/>
        <v>1.9536414156186019</v>
      </c>
      <c r="K87" s="100">
        <f t="shared" si="10"/>
        <v>6.6595214356929215</v>
      </c>
      <c r="L87" s="102">
        <v>51</v>
      </c>
      <c r="M87" s="77">
        <v>2107</v>
      </c>
      <c r="N87" s="77">
        <v>11303</v>
      </c>
      <c r="O87" s="77">
        <v>13410</v>
      </c>
      <c r="P87" s="77">
        <v>14601</v>
      </c>
      <c r="Q87" s="77">
        <v>16561</v>
      </c>
      <c r="R87" s="100">
        <f t="shared" si="11"/>
        <v>2.421906990348055</v>
      </c>
      <c r="S87" s="77">
        <v>1703</v>
      </c>
      <c r="T87" s="71">
        <f t="shared" si="14"/>
        <v>0.24904942965779467</v>
      </c>
      <c r="U87" s="77">
        <v>7</v>
      </c>
      <c r="V87" s="77">
        <v>201</v>
      </c>
      <c r="W87" s="77">
        <v>9954</v>
      </c>
      <c r="X87" s="77">
        <v>19045</v>
      </c>
      <c r="Y87" s="101">
        <f t="shared" si="12"/>
        <v>1.4556887978941211</v>
      </c>
      <c r="Z87" s="101">
        <f t="shared" si="13"/>
        <v>4.9621136590229309</v>
      </c>
      <c r="AA87" s="77">
        <v>1481</v>
      </c>
      <c r="AB87" s="2" t="s">
        <v>872</v>
      </c>
      <c r="AC87" s="106">
        <v>1047</v>
      </c>
      <c r="AD87" s="77">
        <v>31162</v>
      </c>
      <c r="AE87" s="77">
        <v>2006</v>
      </c>
      <c r="AF87" s="4">
        <v>6838</v>
      </c>
    </row>
    <row r="88" spans="1:32" ht="13.5" thickBot="1" x14ac:dyDescent="0.25">
      <c r="A88" s="2" t="s">
        <v>247</v>
      </c>
      <c r="B88" s="1" t="s">
        <v>246</v>
      </c>
      <c r="C88" s="2" t="s">
        <v>24</v>
      </c>
      <c r="D88" s="77">
        <v>990</v>
      </c>
      <c r="E88" s="77">
        <v>6500</v>
      </c>
      <c r="F88" s="77">
        <v>1512</v>
      </c>
      <c r="G88" s="77">
        <v>9002</v>
      </c>
      <c r="H88" s="100">
        <f>Table3[[#This Row],[Circulation of Children''s Materials]]/Table3[[#This Row],[Total Population Served]]</f>
        <v>0.20332717190388169</v>
      </c>
      <c r="I88" s="100">
        <f>Table3[[#This Row],[Circulation of Electronic Materials]]/Table3[[#This Row],[Total Population Served]]</f>
        <v>0.31053604436229204</v>
      </c>
      <c r="J88" s="100">
        <f t="shared" si="9"/>
        <v>1.8488395974532759</v>
      </c>
      <c r="K88" s="100">
        <f t="shared" si="10"/>
        <v>4.9488730071467844</v>
      </c>
      <c r="L88" s="102">
        <v>0</v>
      </c>
      <c r="M88" s="77">
        <v>1512</v>
      </c>
      <c r="N88" s="77">
        <v>7490</v>
      </c>
      <c r="O88" s="77">
        <v>9002</v>
      </c>
      <c r="P88" s="77">
        <v>17671</v>
      </c>
      <c r="Q88" s="77">
        <v>39422</v>
      </c>
      <c r="R88" s="100">
        <f t="shared" si="11"/>
        <v>8.0965290614089138</v>
      </c>
      <c r="S88" s="77">
        <v>195</v>
      </c>
      <c r="T88" s="71">
        <f t="shared" si="14"/>
        <v>4.004929143561306E-2</v>
      </c>
      <c r="U88" s="77">
        <v>150</v>
      </c>
      <c r="V88" s="77">
        <v>1954</v>
      </c>
      <c r="W88" s="77">
        <v>6020</v>
      </c>
      <c r="X88" s="77">
        <v>895</v>
      </c>
      <c r="Y88" s="101">
        <f t="shared" si="12"/>
        <v>1.2363935099609775</v>
      </c>
      <c r="Z88" s="101">
        <f t="shared" si="13"/>
        <v>3.3095107201759206</v>
      </c>
      <c r="AA88" s="77">
        <v>801</v>
      </c>
      <c r="AB88" s="2" t="s">
        <v>872</v>
      </c>
      <c r="AC88" s="106">
        <v>352</v>
      </c>
      <c r="AD88" s="77">
        <v>57093</v>
      </c>
      <c r="AE88" s="77">
        <v>1819</v>
      </c>
      <c r="AF88" s="4">
        <v>4869</v>
      </c>
    </row>
    <row r="89" spans="1:32" ht="13.5" thickBot="1" x14ac:dyDescent="0.25">
      <c r="A89" s="2" t="s">
        <v>249</v>
      </c>
      <c r="B89" s="1" t="s">
        <v>248</v>
      </c>
      <c r="C89" s="2" t="s">
        <v>24</v>
      </c>
      <c r="D89" s="4">
        <v>3904</v>
      </c>
      <c r="E89" s="4">
        <v>7743</v>
      </c>
      <c r="F89" s="4">
        <v>3009</v>
      </c>
      <c r="G89" s="4">
        <v>14656</v>
      </c>
      <c r="H89" s="100">
        <f>Table3[[#This Row],[Circulation of Children''s Materials]]/Table3[[#This Row],[Total Population Served]]</f>
        <v>0.81879194630872487</v>
      </c>
      <c r="I89" s="100">
        <f>Table3[[#This Row],[Circulation of Electronic Materials]]/Table3[[#This Row],[Total Population Served]]</f>
        <v>0.63108221476510062</v>
      </c>
      <c r="J89" s="100">
        <f t="shared" si="9"/>
        <v>3.0738255033557045</v>
      </c>
      <c r="K89" s="100">
        <f t="shared" si="10"/>
        <v>8.0043691971600222</v>
      </c>
      <c r="L89" s="102">
        <v>21</v>
      </c>
      <c r="M89" s="4">
        <v>3030</v>
      </c>
      <c r="N89" s="4">
        <v>11647</v>
      </c>
      <c r="O89" s="4">
        <v>14677</v>
      </c>
      <c r="P89" s="4">
        <v>27286</v>
      </c>
      <c r="Q89" s="4">
        <v>14425</v>
      </c>
      <c r="R89" s="100">
        <f t="shared" si="11"/>
        <v>3.0253775167785233</v>
      </c>
      <c r="S89" s="4">
        <v>1692</v>
      </c>
      <c r="T89" s="71">
        <f t="shared" si="14"/>
        <v>0.35486577181208051</v>
      </c>
      <c r="U89" s="4">
        <v>3480</v>
      </c>
      <c r="V89" s="4">
        <v>2143</v>
      </c>
      <c r="W89" s="4">
        <v>24896</v>
      </c>
      <c r="X89" s="77">
        <v>1727</v>
      </c>
      <c r="Y89" s="101">
        <f t="shared" si="12"/>
        <v>5.2214765100671139</v>
      </c>
      <c r="Z89" s="101">
        <f t="shared" si="13"/>
        <v>13.596941561987984</v>
      </c>
      <c r="AA89" s="4">
        <v>1947</v>
      </c>
      <c r="AB89" s="2" t="s">
        <v>872</v>
      </c>
      <c r="AC89" s="106">
        <v>976</v>
      </c>
      <c r="AD89" s="4">
        <v>41711</v>
      </c>
      <c r="AE89" s="4">
        <v>1831</v>
      </c>
      <c r="AF89" s="4">
        <v>4768</v>
      </c>
    </row>
    <row r="90" spans="1:32" ht="13.5" thickBot="1" x14ac:dyDescent="0.25">
      <c r="A90" s="2" t="s">
        <v>263</v>
      </c>
      <c r="B90" s="1" t="s">
        <v>262</v>
      </c>
      <c r="C90" s="2" t="s">
        <v>24</v>
      </c>
      <c r="D90" s="4">
        <v>8476</v>
      </c>
      <c r="E90" s="4">
        <v>27118</v>
      </c>
      <c r="F90" s="4">
        <v>4848</v>
      </c>
      <c r="G90" s="4">
        <v>40442</v>
      </c>
      <c r="H90" s="100">
        <f>Table3[[#This Row],[Circulation of Children''s Materials]]/Table3[[#This Row],[Total Population Served]]</f>
        <v>1.5603829160530192</v>
      </c>
      <c r="I90" s="100">
        <f>Table3[[#This Row],[Circulation of Electronic Materials]]/Table3[[#This Row],[Total Population Served]]</f>
        <v>0.8924889543446245</v>
      </c>
      <c r="J90" s="100">
        <f t="shared" si="9"/>
        <v>7.4451399116347572</v>
      </c>
      <c r="K90" s="100">
        <f t="shared" si="10"/>
        <v>12.733627204030226</v>
      </c>
      <c r="L90" s="102">
        <v>0</v>
      </c>
      <c r="M90" s="4">
        <v>4848</v>
      </c>
      <c r="N90" s="4">
        <v>35594</v>
      </c>
      <c r="O90" s="4">
        <v>40442</v>
      </c>
      <c r="P90" s="4">
        <v>19932</v>
      </c>
      <c r="Q90" s="4">
        <v>17389</v>
      </c>
      <c r="R90" s="100">
        <f t="shared" si="11"/>
        <v>3.2012150220913109</v>
      </c>
      <c r="S90" s="4">
        <v>289</v>
      </c>
      <c r="T90" s="71">
        <f t="shared" si="14"/>
        <v>5.320324005891016E-2</v>
      </c>
      <c r="U90" s="4">
        <v>1058</v>
      </c>
      <c r="V90" s="4">
        <v>1661</v>
      </c>
      <c r="W90" s="4">
        <v>45965</v>
      </c>
      <c r="X90" s="77">
        <v>31193</v>
      </c>
      <c r="Y90" s="101">
        <f t="shared" si="12"/>
        <v>8.4618924889543443</v>
      </c>
      <c r="Z90" s="101">
        <f t="shared" si="13"/>
        <v>14.472607052896725</v>
      </c>
      <c r="AA90" s="4">
        <v>6230</v>
      </c>
      <c r="AB90" s="2" t="s">
        <v>872</v>
      </c>
      <c r="AC90" s="106">
        <v>12975</v>
      </c>
      <c r="AD90" s="4">
        <v>37321</v>
      </c>
      <c r="AE90" s="4">
        <v>3176</v>
      </c>
      <c r="AF90" s="4">
        <v>5432</v>
      </c>
    </row>
    <row r="91" spans="1:32" ht="13.5" thickBot="1" x14ac:dyDescent="0.25">
      <c r="A91" s="2" t="s">
        <v>293</v>
      </c>
      <c r="B91" s="1" t="s">
        <v>292</v>
      </c>
      <c r="C91" s="2" t="s">
        <v>24</v>
      </c>
      <c r="D91" s="4">
        <v>9571</v>
      </c>
      <c r="E91" s="4">
        <v>19719</v>
      </c>
      <c r="F91" s="4">
        <v>3468</v>
      </c>
      <c r="G91" s="4">
        <v>32758</v>
      </c>
      <c r="H91" s="100">
        <f>Table3[[#This Row],[Circulation of Children''s Materials]]/Table3[[#This Row],[Total Population Served]]</f>
        <v>1.5527255029201816</v>
      </c>
      <c r="I91" s="100">
        <f>Table3[[#This Row],[Circulation of Electronic Materials]]/Table3[[#This Row],[Total Population Served]]</f>
        <v>0.56262167423750808</v>
      </c>
      <c r="J91" s="100">
        <f t="shared" si="9"/>
        <v>5.3144062297209604</v>
      </c>
      <c r="K91" s="100">
        <f t="shared" si="10"/>
        <v>9.364779874213836</v>
      </c>
      <c r="L91" s="102">
        <v>0</v>
      </c>
      <c r="M91" s="4">
        <v>3468</v>
      </c>
      <c r="N91" s="4">
        <v>29290</v>
      </c>
      <c r="O91" s="4">
        <v>32758</v>
      </c>
      <c r="P91" s="4">
        <v>18981</v>
      </c>
      <c r="Q91" s="4">
        <v>11957</v>
      </c>
      <c r="R91" s="100">
        <f t="shared" si="11"/>
        <v>1.9398118105126541</v>
      </c>
      <c r="S91" s="4">
        <v>5400</v>
      </c>
      <c r="T91" s="71">
        <f t="shared" si="14"/>
        <v>0.87605451005840362</v>
      </c>
      <c r="U91" s="4">
        <v>3635</v>
      </c>
      <c r="V91" s="4">
        <v>3273</v>
      </c>
      <c r="W91" s="4">
        <v>34588</v>
      </c>
      <c r="X91" s="77">
        <v>7753</v>
      </c>
      <c r="Y91" s="101">
        <f t="shared" si="12"/>
        <v>5.6112913692407531</v>
      </c>
      <c r="Z91" s="101">
        <f t="shared" si="13"/>
        <v>9.8879359634076618</v>
      </c>
      <c r="AA91" s="4">
        <v>5173</v>
      </c>
      <c r="AB91" s="2" t="s">
        <v>872</v>
      </c>
      <c r="AC91" s="106">
        <v>5776</v>
      </c>
      <c r="AD91" s="4">
        <v>30938</v>
      </c>
      <c r="AE91" s="4">
        <v>3498</v>
      </c>
      <c r="AF91" s="4">
        <v>6164</v>
      </c>
    </row>
    <row r="92" spans="1:32" ht="13.5" thickBot="1" x14ac:dyDescent="0.25">
      <c r="A92" s="2" t="s">
        <v>303</v>
      </c>
      <c r="B92" s="1" t="s">
        <v>302</v>
      </c>
      <c r="C92" s="2" t="s">
        <v>24</v>
      </c>
      <c r="D92" s="4">
        <v>6313</v>
      </c>
      <c r="E92" s="4">
        <v>9783</v>
      </c>
      <c r="F92" s="4">
        <v>1544</v>
      </c>
      <c r="G92" s="4">
        <v>17640</v>
      </c>
      <c r="H92" s="100">
        <f>Table3[[#This Row],[Circulation of Children''s Materials]]/Table3[[#This Row],[Total Population Served]]</f>
        <v>1.1191278142173373</v>
      </c>
      <c r="I92" s="100">
        <f>Table3[[#This Row],[Circulation of Electronic Materials]]/Table3[[#This Row],[Total Population Served]]</f>
        <v>0.2737103350469775</v>
      </c>
      <c r="J92" s="100">
        <f t="shared" si="9"/>
        <v>3.1271051232051055</v>
      </c>
      <c r="K92" s="100">
        <f t="shared" si="10"/>
        <v>20.068259385665527</v>
      </c>
      <c r="L92" s="102">
        <v>0</v>
      </c>
      <c r="M92" s="4">
        <v>1544</v>
      </c>
      <c r="N92" s="4">
        <v>16096</v>
      </c>
      <c r="O92" s="4">
        <v>17640</v>
      </c>
      <c r="P92" s="4">
        <v>20138</v>
      </c>
      <c r="Q92" s="4">
        <v>10292</v>
      </c>
      <c r="R92" s="100">
        <f t="shared" si="11"/>
        <v>1.8244992022691011</v>
      </c>
      <c r="S92" s="4">
        <v>267</v>
      </c>
      <c r="T92" s="71">
        <f t="shared" si="14"/>
        <v>4.7332033327424215E-2</v>
      </c>
      <c r="U92" s="4">
        <v>1857</v>
      </c>
      <c r="V92" s="4">
        <v>1800</v>
      </c>
      <c r="W92" s="4">
        <v>5690</v>
      </c>
      <c r="X92" s="77">
        <v>3903</v>
      </c>
      <c r="Y92" s="101">
        <f t="shared" si="12"/>
        <v>1.0086864031200142</v>
      </c>
      <c r="Z92" s="101">
        <f t="shared" si="13"/>
        <v>6.473265073947668</v>
      </c>
      <c r="AA92" s="4">
        <v>507</v>
      </c>
      <c r="AB92" s="2" t="s">
        <v>872</v>
      </c>
      <c r="AC92" s="106">
        <v>4831</v>
      </c>
      <c r="AD92" s="4">
        <v>30430</v>
      </c>
      <c r="AE92" s="4">
        <v>879</v>
      </c>
      <c r="AF92" s="4">
        <v>5641</v>
      </c>
    </row>
    <row r="93" spans="1:32" ht="13.5" thickBot="1" x14ac:dyDescent="0.25">
      <c r="A93" s="2" t="s">
        <v>347</v>
      </c>
      <c r="B93" s="1" t="s">
        <v>346</v>
      </c>
      <c r="C93" s="2" t="s">
        <v>24</v>
      </c>
      <c r="D93" s="4">
        <v>4274</v>
      </c>
      <c r="E93" s="4">
        <v>1820</v>
      </c>
      <c r="F93" s="4">
        <v>2084</v>
      </c>
      <c r="G93" s="4">
        <v>8178</v>
      </c>
      <c r="H93" s="100">
        <f>Table3[[#This Row],[Circulation of Children''s Materials]]/Table3[[#This Row],[Total Population Served]]</f>
        <v>0.6256770604596692</v>
      </c>
      <c r="I93" s="100">
        <f>Table3[[#This Row],[Circulation of Electronic Materials]]/Table3[[#This Row],[Total Population Served]]</f>
        <v>0.30507978334065289</v>
      </c>
      <c r="J93" s="100">
        <f t="shared" si="9"/>
        <v>1.1971892841458058</v>
      </c>
      <c r="K93" s="100">
        <f t="shared" si="10"/>
        <v>7.0137221269296743</v>
      </c>
      <c r="L93" s="102">
        <v>0</v>
      </c>
      <c r="M93" s="4">
        <v>2084</v>
      </c>
      <c r="N93" s="4">
        <v>6094</v>
      </c>
      <c r="O93" s="4">
        <v>8178</v>
      </c>
      <c r="P93" s="4">
        <v>18798</v>
      </c>
      <c r="Q93" s="4">
        <v>12179</v>
      </c>
      <c r="R93" s="100">
        <f t="shared" si="11"/>
        <v>1.7829014785536526</v>
      </c>
      <c r="S93" s="4">
        <v>1198</v>
      </c>
      <c r="T93" s="71">
        <f t="shared" si="14"/>
        <v>0.17537695798565364</v>
      </c>
      <c r="U93" s="4">
        <v>512</v>
      </c>
      <c r="V93" s="4">
        <v>452</v>
      </c>
      <c r="W93" s="4">
        <v>7022</v>
      </c>
      <c r="X93" s="77">
        <v>176</v>
      </c>
      <c r="Y93" s="101">
        <f t="shared" si="12"/>
        <v>1.0279607670912019</v>
      </c>
      <c r="Z93" s="101">
        <f t="shared" si="13"/>
        <v>6.02229845626072</v>
      </c>
      <c r="AA93" s="4">
        <v>137</v>
      </c>
      <c r="AB93" s="2" t="s">
        <v>872</v>
      </c>
      <c r="AC93" s="106">
        <v>15</v>
      </c>
      <c r="AD93" s="4">
        <v>30977</v>
      </c>
      <c r="AE93" s="4">
        <v>1166</v>
      </c>
      <c r="AF93" s="4">
        <v>6831</v>
      </c>
    </row>
    <row r="94" spans="1:32" ht="13.5" thickBot="1" x14ac:dyDescent="0.25">
      <c r="A94" s="2" t="s">
        <v>349</v>
      </c>
      <c r="B94" s="1" t="s">
        <v>348</v>
      </c>
      <c r="C94" s="2" t="s">
        <v>24</v>
      </c>
      <c r="D94" s="4">
        <v>9480</v>
      </c>
      <c r="E94" s="4">
        <v>24626</v>
      </c>
      <c r="F94" s="4">
        <v>2319</v>
      </c>
      <c r="G94" s="4">
        <v>36425</v>
      </c>
      <c r="H94" s="100">
        <f>Table3[[#This Row],[Circulation of Children''s Materials]]/Table3[[#This Row],[Total Population Served]]</f>
        <v>1.5492727569864357</v>
      </c>
      <c r="I94" s="100">
        <f>Table3[[#This Row],[Circulation of Electronic Materials]]/Table3[[#This Row],[Total Population Served]]</f>
        <v>0.37898349403497306</v>
      </c>
      <c r="J94" s="100">
        <f t="shared" si="9"/>
        <v>5.9527700604673965</v>
      </c>
      <c r="K94" s="100">
        <f t="shared" si="10"/>
        <v>19.020887728459531</v>
      </c>
      <c r="L94" s="102">
        <v>6881</v>
      </c>
      <c r="M94" s="4">
        <v>9200</v>
      </c>
      <c r="N94" s="4">
        <v>34106</v>
      </c>
      <c r="O94" s="4">
        <v>43306</v>
      </c>
      <c r="P94" s="4">
        <v>22370</v>
      </c>
      <c r="Q94" s="4">
        <v>10902</v>
      </c>
      <c r="R94" s="100">
        <f t="shared" si="11"/>
        <v>1.7816636705344011</v>
      </c>
      <c r="S94" s="4">
        <v>881</v>
      </c>
      <c r="T94" s="71">
        <f t="shared" si="14"/>
        <v>0.1439777741461023</v>
      </c>
      <c r="U94" s="4">
        <v>1483</v>
      </c>
      <c r="V94" s="4">
        <v>2490</v>
      </c>
      <c r="W94" s="4">
        <v>15616</v>
      </c>
      <c r="X94" s="77">
        <v>0</v>
      </c>
      <c r="Y94" s="101">
        <f t="shared" si="12"/>
        <v>2.5520509887236478</v>
      </c>
      <c r="Z94" s="101">
        <f t="shared" si="13"/>
        <v>8.1545691906005224</v>
      </c>
      <c r="AA94" s="4">
        <v>4719</v>
      </c>
      <c r="AB94" s="2" t="s">
        <v>872</v>
      </c>
      <c r="AC94" s="106">
        <v>16126</v>
      </c>
      <c r="AD94" s="4">
        <v>33272</v>
      </c>
      <c r="AE94" s="4">
        <v>1915</v>
      </c>
      <c r="AF94" s="4">
        <v>6119</v>
      </c>
    </row>
    <row r="95" spans="1:32" ht="13.5" thickBot="1" x14ac:dyDescent="0.25">
      <c r="A95" s="2" t="s">
        <v>359</v>
      </c>
      <c r="B95" s="1" t="s">
        <v>358</v>
      </c>
      <c r="C95" s="2" t="s">
        <v>24</v>
      </c>
      <c r="D95" s="77">
        <v>17098</v>
      </c>
      <c r="E95" s="77">
        <v>16745</v>
      </c>
      <c r="F95" s="77">
        <v>521</v>
      </c>
      <c r="G95" s="77">
        <v>34364</v>
      </c>
      <c r="H95" s="100">
        <f>Table3[[#This Row],[Circulation of Children''s Materials]]/Table3[[#This Row],[Total Population Served]]</f>
        <v>2.5976906715284107</v>
      </c>
      <c r="I95" s="100">
        <f>Table3[[#This Row],[Circulation of Electronic Materials]]/Table3[[#This Row],[Total Population Served]]</f>
        <v>7.915527195381343E-2</v>
      </c>
      <c r="J95" s="100">
        <f t="shared" si="9"/>
        <v>5.2209054998480706</v>
      </c>
      <c r="K95" s="100">
        <f t="shared" si="10"/>
        <v>10.725343320848939</v>
      </c>
      <c r="L95" s="102">
        <v>28</v>
      </c>
      <c r="M95" s="77">
        <v>549</v>
      </c>
      <c r="N95" s="77">
        <v>33843</v>
      </c>
      <c r="O95" s="77">
        <v>34392</v>
      </c>
      <c r="P95" s="77">
        <v>58623</v>
      </c>
      <c r="Q95" s="77">
        <v>175</v>
      </c>
      <c r="R95" s="100">
        <f t="shared" si="11"/>
        <v>2.6587663324217563E-2</v>
      </c>
      <c r="S95" s="77">
        <v>1904</v>
      </c>
      <c r="T95" s="71">
        <f t="shared" si="14"/>
        <v>0.28927377696748707</v>
      </c>
      <c r="U95" s="77">
        <v>1588</v>
      </c>
      <c r="V95" s="77">
        <v>2235</v>
      </c>
      <c r="W95" s="77">
        <v>28943</v>
      </c>
      <c r="X95" s="77">
        <v>14941</v>
      </c>
      <c r="Y95" s="101">
        <f t="shared" si="12"/>
        <v>4.3972956548161655</v>
      </c>
      <c r="Z95" s="101">
        <f t="shared" si="13"/>
        <v>9.0333957553058681</v>
      </c>
      <c r="AA95" s="77">
        <v>8616</v>
      </c>
      <c r="AB95" s="2" t="s">
        <v>872</v>
      </c>
      <c r="AC95" s="106">
        <v>450</v>
      </c>
      <c r="AD95" s="77">
        <v>58798</v>
      </c>
      <c r="AE95" s="77">
        <v>3204</v>
      </c>
      <c r="AF95" s="4">
        <v>6582</v>
      </c>
    </row>
    <row r="96" spans="1:32" ht="13.5" thickBot="1" x14ac:dyDescent="0.25">
      <c r="A96" s="2" t="s">
        <v>369</v>
      </c>
      <c r="B96" s="1" t="s">
        <v>368</v>
      </c>
      <c r="C96" s="2" t="s">
        <v>24</v>
      </c>
      <c r="D96" s="77">
        <v>12596</v>
      </c>
      <c r="E96" s="77">
        <v>22352</v>
      </c>
      <c r="F96" s="77">
        <v>2135</v>
      </c>
      <c r="G96" s="77">
        <v>37083</v>
      </c>
      <c r="H96" s="100">
        <f>Table3[[#This Row],[Circulation of Children''s Materials]]/Table3[[#This Row],[Total Population Served]]</f>
        <v>2.1230406202595651</v>
      </c>
      <c r="I96" s="100">
        <f>Table3[[#This Row],[Circulation of Electronic Materials]]/Table3[[#This Row],[Total Population Served]]</f>
        <v>0.35985167706050902</v>
      </c>
      <c r="J96" s="100">
        <f t="shared" si="9"/>
        <v>6.2502949603910336</v>
      </c>
      <c r="K96" s="100">
        <f t="shared" si="10"/>
        <v>27.246877296105804</v>
      </c>
      <c r="L96" s="102">
        <v>952</v>
      </c>
      <c r="M96" s="77">
        <v>3087</v>
      </c>
      <c r="N96" s="77">
        <v>34948</v>
      </c>
      <c r="O96" s="77">
        <v>38035</v>
      </c>
      <c r="P96" s="77">
        <v>29550</v>
      </c>
      <c r="Q96" s="77">
        <v>10293</v>
      </c>
      <c r="R96" s="100">
        <f t="shared" si="11"/>
        <v>1.7348727456598685</v>
      </c>
      <c r="S96" s="77">
        <v>5103</v>
      </c>
      <c r="T96" s="71">
        <f t="shared" si="14"/>
        <v>0.86010450025282315</v>
      </c>
      <c r="U96" s="77">
        <v>2868</v>
      </c>
      <c r="V96" s="77">
        <v>2141</v>
      </c>
      <c r="W96" s="77">
        <v>22539</v>
      </c>
      <c r="X96" s="77">
        <v>51476</v>
      </c>
      <c r="Y96" s="101">
        <f t="shared" si="12"/>
        <v>3.7989212877127927</v>
      </c>
      <c r="Z96" s="101">
        <f t="shared" si="13"/>
        <v>16.560617193240265</v>
      </c>
      <c r="AA96" s="77">
        <v>3975</v>
      </c>
      <c r="AB96" s="2" t="s">
        <v>872</v>
      </c>
      <c r="AC96" s="106">
        <v>20850</v>
      </c>
      <c r="AD96" s="77">
        <v>39843</v>
      </c>
      <c r="AE96" s="77">
        <v>1361</v>
      </c>
      <c r="AF96" s="4">
        <v>5933</v>
      </c>
    </row>
    <row r="97" spans="1:32" ht="13.5" thickBot="1" x14ac:dyDescent="0.25">
      <c r="A97" s="2" t="s">
        <v>377</v>
      </c>
      <c r="B97" s="1" t="s">
        <v>376</v>
      </c>
      <c r="C97" s="2" t="s">
        <v>24</v>
      </c>
      <c r="D97" s="4">
        <v>5645</v>
      </c>
      <c r="E97" s="4">
        <v>7800</v>
      </c>
      <c r="F97" s="4">
        <v>1967</v>
      </c>
      <c r="G97" s="4">
        <v>15412</v>
      </c>
      <c r="H97" s="100">
        <f>Table3[[#This Row],[Circulation of Children''s Materials]]/Table3[[#This Row],[Total Population Served]]</f>
        <v>1.3376777251184835</v>
      </c>
      <c r="I97" s="100">
        <f>Table3[[#This Row],[Circulation of Electronic Materials]]/Table3[[#This Row],[Total Population Served]]</f>
        <v>0.46611374407582939</v>
      </c>
      <c r="J97" s="100">
        <f t="shared" si="9"/>
        <v>3.652132701421801</v>
      </c>
      <c r="K97" s="100">
        <f t="shared" si="10"/>
        <v>15.427427427427427</v>
      </c>
      <c r="L97" s="102">
        <v>0</v>
      </c>
      <c r="M97" s="4">
        <v>1967</v>
      </c>
      <c r="N97" s="4">
        <v>13445</v>
      </c>
      <c r="O97" s="4">
        <v>15412</v>
      </c>
      <c r="P97" s="4">
        <v>17991</v>
      </c>
      <c r="Q97" s="4">
        <v>10307</v>
      </c>
      <c r="R97" s="100">
        <f t="shared" si="11"/>
        <v>2.4424170616113745</v>
      </c>
      <c r="S97" s="4">
        <v>2110</v>
      </c>
      <c r="T97" s="71">
        <f t="shared" si="14"/>
        <v>0.5</v>
      </c>
      <c r="U97" s="4">
        <v>2536</v>
      </c>
      <c r="V97" s="4">
        <v>1199</v>
      </c>
      <c r="W97" s="4">
        <v>17880</v>
      </c>
      <c r="X97" s="77">
        <v>11161</v>
      </c>
      <c r="Y97" s="101">
        <f t="shared" si="12"/>
        <v>4.2369668246445498</v>
      </c>
      <c r="Z97" s="101">
        <f t="shared" si="13"/>
        <v>17.897897897897899</v>
      </c>
      <c r="AA97" s="4">
        <v>3023</v>
      </c>
      <c r="AB97" s="2" t="s">
        <v>872</v>
      </c>
      <c r="AC97" s="106">
        <v>347</v>
      </c>
      <c r="AD97" s="4">
        <v>28298</v>
      </c>
      <c r="AE97" s="4">
        <v>999</v>
      </c>
      <c r="AF97" s="4">
        <v>4220</v>
      </c>
    </row>
    <row r="98" spans="1:32" ht="13.5" thickBot="1" x14ac:dyDescent="0.25">
      <c r="A98" s="2" t="s">
        <v>381</v>
      </c>
      <c r="B98" s="1" t="s">
        <v>380</v>
      </c>
      <c r="C98" s="2" t="s">
        <v>24</v>
      </c>
      <c r="D98" s="4">
        <v>13397</v>
      </c>
      <c r="E98" s="4">
        <v>17223</v>
      </c>
      <c r="F98" s="4">
        <v>40401</v>
      </c>
      <c r="G98" s="4">
        <v>71021</v>
      </c>
      <c r="H98" s="100">
        <f>Table3[[#This Row],[Circulation of Children''s Materials]]/Table3[[#This Row],[Total Population Served]]</f>
        <v>2.9060737527114968</v>
      </c>
      <c r="I98" s="100">
        <f>Table3[[#This Row],[Circulation of Electronic Materials]]/Table3[[#This Row],[Total Population Served]]</f>
        <v>8.7637744034707161</v>
      </c>
      <c r="J98" s="100">
        <f t="shared" si="9"/>
        <v>15.4058568329718</v>
      </c>
      <c r="K98" s="100">
        <f t="shared" si="10"/>
        <v>72.916837782340863</v>
      </c>
      <c r="L98" s="102">
        <v>3848</v>
      </c>
      <c r="M98" s="4">
        <v>44249</v>
      </c>
      <c r="N98" s="4">
        <v>30620</v>
      </c>
      <c r="O98" s="4">
        <v>74869</v>
      </c>
      <c r="P98" s="4">
        <v>26529</v>
      </c>
      <c r="Q98" s="4">
        <v>18077</v>
      </c>
      <c r="R98" s="100">
        <f t="shared" si="11"/>
        <v>3.9212581344902384</v>
      </c>
      <c r="S98" s="4">
        <v>3931</v>
      </c>
      <c r="T98" s="71">
        <f t="shared" si="14"/>
        <v>0.85271149674620395</v>
      </c>
      <c r="U98" s="4">
        <v>2013</v>
      </c>
      <c r="V98" s="4">
        <v>1430</v>
      </c>
      <c r="W98" s="4">
        <v>25672</v>
      </c>
      <c r="X98" s="77">
        <v>5580</v>
      </c>
      <c r="Y98" s="101">
        <f t="shared" si="12"/>
        <v>5.5687635574837309</v>
      </c>
      <c r="Z98" s="101">
        <f t="shared" si="13"/>
        <v>26.357289527720738</v>
      </c>
      <c r="AA98" s="4">
        <v>5218</v>
      </c>
      <c r="AB98" s="2" t="s">
        <v>872</v>
      </c>
      <c r="AC98" s="106">
        <v>1233</v>
      </c>
      <c r="AD98" s="4">
        <v>44606</v>
      </c>
      <c r="AE98" s="4">
        <v>974</v>
      </c>
      <c r="AF98" s="4">
        <v>4610</v>
      </c>
    </row>
    <row r="99" spans="1:32" ht="13.5" thickBot="1" x14ac:dyDescent="0.25">
      <c r="A99" s="2" t="s">
        <v>387</v>
      </c>
      <c r="B99" s="1" t="s">
        <v>386</v>
      </c>
      <c r="C99" s="2" t="s">
        <v>24</v>
      </c>
      <c r="D99" s="77">
        <v>1361</v>
      </c>
      <c r="E99" s="77">
        <v>6191</v>
      </c>
      <c r="F99" s="77">
        <v>72</v>
      </c>
      <c r="G99" s="77">
        <v>7624</v>
      </c>
      <c r="H99" s="100">
        <f>Table3[[#This Row],[Circulation of Children''s Materials]]/Table3[[#This Row],[Total Population Served]]</f>
        <v>0.24606761887542941</v>
      </c>
      <c r="I99" s="100">
        <f>Table3[[#This Row],[Circulation of Electronic Materials]]/Table3[[#This Row],[Total Population Served]]</f>
        <v>1.3017537515819924E-2</v>
      </c>
      <c r="J99" s="100">
        <f t="shared" si="9"/>
        <v>1.3784125836195986</v>
      </c>
      <c r="K99" s="100">
        <f t="shared" si="10"/>
        <v>2.6064957264957265</v>
      </c>
      <c r="L99" s="102">
        <v>0</v>
      </c>
      <c r="M99" s="77">
        <v>72</v>
      </c>
      <c r="N99" s="77">
        <v>7552</v>
      </c>
      <c r="O99" s="77">
        <v>7624</v>
      </c>
      <c r="P99" s="77">
        <v>22460</v>
      </c>
      <c r="Q99" s="77">
        <v>8437</v>
      </c>
      <c r="R99" s="100">
        <f t="shared" si="11"/>
        <v>1.5254022780690653</v>
      </c>
      <c r="S99" s="77">
        <v>1019</v>
      </c>
      <c r="T99" s="71">
        <f t="shared" si="14"/>
        <v>0.18423431567528475</v>
      </c>
      <c r="U99" s="77">
        <v>1168</v>
      </c>
      <c r="V99" s="77">
        <v>1254</v>
      </c>
      <c r="W99" s="77">
        <v>7918</v>
      </c>
      <c r="X99" s="77">
        <v>1400</v>
      </c>
      <c r="Y99" s="101">
        <f t="shared" si="12"/>
        <v>1.4315675284758633</v>
      </c>
      <c r="Z99" s="101">
        <f t="shared" si="13"/>
        <v>2.707008547008547</v>
      </c>
      <c r="AA99" s="77">
        <v>1090</v>
      </c>
      <c r="AB99" s="2" t="s">
        <v>872</v>
      </c>
      <c r="AC99" s="106">
        <v>514</v>
      </c>
      <c r="AD99" s="77">
        <v>30897</v>
      </c>
      <c r="AE99" s="77">
        <v>2925</v>
      </c>
      <c r="AF99" s="4">
        <v>5531</v>
      </c>
    </row>
    <row r="100" spans="1:32" ht="13.5" thickBot="1" x14ac:dyDescent="0.25">
      <c r="A100" s="2" t="s">
        <v>391</v>
      </c>
      <c r="B100" s="1" t="s">
        <v>390</v>
      </c>
      <c r="C100" s="2" t="s">
        <v>24</v>
      </c>
      <c r="D100" s="77">
        <v>5048</v>
      </c>
      <c r="E100" s="77">
        <v>14686</v>
      </c>
      <c r="F100" s="77">
        <v>1166</v>
      </c>
      <c r="G100" s="77">
        <v>20900</v>
      </c>
      <c r="H100" s="100">
        <f>Table3[[#This Row],[Circulation of Children''s Materials]]/Table3[[#This Row],[Total Population Served]]</f>
        <v>0.98844722929312712</v>
      </c>
      <c r="I100" s="100">
        <f>Table3[[#This Row],[Circulation of Electronic Materials]]/Table3[[#This Row],[Total Population Served]]</f>
        <v>0.22831407871548853</v>
      </c>
      <c r="J100" s="100">
        <f t="shared" si="9"/>
        <v>4.0924221656549831</v>
      </c>
      <c r="K100" s="100">
        <f t="shared" si="10"/>
        <v>19.423791821561338</v>
      </c>
      <c r="L100" s="102">
        <v>100</v>
      </c>
      <c r="M100" s="77">
        <v>1266</v>
      </c>
      <c r="N100" s="77">
        <v>19734</v>
      </c>
      <c r="O100" s="77">
        <v>21000</v>
      </c>
      <c r="P100" s="77">
        <v>40866</v>
      </c>
      <c r="Q100" s="77">
        <v>15912</v>
      </c>
      <c r="R100" s="100">
        <f t="shared" si="11"/>
        <v>3.1157235167417272</v>
      </c>
      <c r="S100" s="77">
        <v>2919</v>
      </c>
      <c r="T100" s="71">
        <f t="shared" si="14"/>
        <v>0.57156843548071279</v>
      </c>
      <c r="U100" s="77">
        <v>265</v>
      </c>
      <c r="V100" s="77">
        <v>318</v>
      </c>
      <c r="W100" s="77">
        <v>11378</v>
      </c>
      <c r="X100" s="77">
        <v>4481</v>
      </c>
      <c r="Y100" s="101">
        <f t="shared" si="12"/>
        <v>2.2279224593694931</v>
      </c>
      <c r="Z100" s="101">
        <f t="shared" si="13"/>
        <v>10.574349442379182</v>
      </c>
      <c r="AA100" s="77">
        <v>2295</v>
      </c>
      <c r="AB100" s="2" t="s">
        <v>872</v>
      </c>
      <c r="AC100" s="106">
        <v>875</v>
      </c>
      <c r="AD100" s="77">
        <v>56778</v>
      </c>
      <c r="AE100" s="77">
        <v>1076</v>
      </c>
      <c r="AF100" s="4">
        <v>5107</v>
      </c>
    </row>
    <row r="101" spans="1:32" ht="13.5" thickBot="1" x14ac:dyDescent="0.25">
      <c r="A101" s="2" t="s">
        <v>397</v>
      </c>
      <c r="B101" s="1" t="s">
        <v>396</v>
      </c>
      <c r="C101" s="2" t="s">
        <v>24</v>
      </c>
      <c r="D101" s="77">
        <v>21847</v>
      </c>
      <c r="E101" s="77">
        <v>38285</v>
      </c>
      <c r="F101" s="77">
        <v>0</v>
      </c>
      <c r="G101" s="77">
        <v>60132</v>
      </c>
      <c r="H101" s="100">
        <f>Table3[[#This Row],[Circulation of Children''s Materials]]/Table3[[#This Row],[Total Population Served]]</f>
        <v>3.7771438450899031</v>
      </c>
      <c r="I101" s="100">
        <f>Table3[[#This Row],[Circulation of Electronic Materials]]/Table3[[#This Row],[Total Population Served]]</f>
        <v>0</v>
      </c>
      <c r="J101" s="100">
        <f t="shared" si="9"/>
        <v>10.396265560165975</v>
      </c>
      <c r="K101" s="100">
        <f t="shared" si="10"/>
        <v>0.93116744351704173</v>
      </c>
      <c r="L101" s="102">
        <v>0</v>
      </c>
      <c r="M101" s="77">
        <v>0</v>
      </c>
      <c r="N101" s="77">
        <v>60132</v>
      </c>
      <c r="O101" s="77">
        <v>60132</v>
      </c>
      <c r="P101" s="77">
        <v>31299</v>
      </c>
      <c r="Q101" s="77">
        <v>0</v>
      </c>
      <c r="R101" s="100">
        <f t="shared" si="11"/>
        <v>0</v>
      </c>
      <c r="S101" s="77">
        <v>3952</v>
      </c>
      <c r="T101" s="71">
        <f t="shared" si="14"/>
        <v>0.68326417704011067</v>
      </c>
      <c r="U101" s="77">
        <v>8570</v>
      </c>
      <c r="V101" s="77">
        <v>21631</v>
      </c>
      <c r="W101" s="77">
        <v>54732</v>
      </c>
      <c r="X101" s="77">
        <v>0</v>
      </c>
      <c r="Y101" s="101">
        <f t="shared" si="12"/>
        <v>9.4626556016597512</v>
      </c>
      <c r="Z101" s="101">
        <f t="shared" si="13"/>
        <v>0.84754634002818341</v>
      </c>
      <c r="AA101" s="77">
        <v>6518</v>
      </c>
      <c r="AB101" s="2" t="s">
        <v>872</v>
      </c>
      <c r="AC101" s="106">
        <v>8991</v>
      </c>
      <c r="AD101" s="77">
        <v>31299</v>
      </c>
      <c r="AE101" s="77">
        <v>64577</v>
      </c>
      <c r="AF101" s="4">
        <v>5784</v>
      </c>
    </row>
    <row r="102" spans="1:32" ht="13.5" thickBot="1" x14ac:dyDescent="0.25">
      <c r="A102" s="2" t="s">
        <v>403</v>
      </c>
      <c r="B102" s="1" t="s">
        <v>402</v>
      </c>
      <c r="C102" s="2" t="s">
        <v>24</v>
      </c>
      <c r="D102" s="77">
        <v>3267</v>
      </c>
      <c r="E102" s="77">
        <v>17672</v>
      </c>
      <c r="F102" s="77">
        <v>2558</v>
      </c>
      <c r="G102" s="77">
        <v>23497</v>
      </c>
      <c r="H102" s="100">
        <f>Table3[[#This Row],[Circulation of Children''s Materials]]/Table3[[#This Row],[Total Population Served]]</f>
        <v>0.57185366707509189</v>
      </c>
      <c r="I102" s="100">
        <f>Table3[[#This Row],[Circulation of Electronic Materials]]/Table3[[#This Row],[Total Population Served]]</f>
        <v>0.4477507439173814</v>
      </c>
      <c r="J102" s="100">
        <f t="shared" si="9"/>
        <v>4.1129004025905829</v>
      </c>
      <c r="K102" s="100">
        <f t="shared" si="10"/>
        <v>11.695868591338975</v>
      </c>
      <c r="L102" s="102">
        <v>0</v>
      </c>
      <c r="M102" s="77">
        <v>2558</v>
      </c>
      <c r="N102" s="77">
        <v>20939</v>
      </c>
      <c r="O102" s="77">
        <v>23497</v>
      </c>
      <c r="P102" s="77">
        <v>31778</v>
      </c>
      <c r="Q102" s="77">
        <v>12179</v>
      </c>
      <c r="R102" s="100">
        <f t="shared" si="11"/>
        <v>2.1318046560476107</v>
      </c>
      <c r="S102" s="77">
        <v>1248</v>
      </c>
      <c r="T102" s="71">
        <f t="shared" ref="T102:T133" si="15">S102/AF102</f>
        <v>0.21844915105898827</v>
      </c>
      <c r="U102" s="77">
        <v>2004</v>
      </c>
      <c r="V102" s="77">
        <v>1481</v>
      </c>
      <c r="W102" s="77">
        <v>19000</v>
      </c>
      <c r="X102" s="77">
        <v>9933</v>
      </c>
      <c r="Y102" s="101">
        <f t="shared" si="12"/>
        <v>3.3257482933660074</v>
      </c>
      <c r="Z102" s="101">
        <f t="shared" si="13"/>
        <v>9.4574415131906413</v>
      </c>
      <c r="AA102" s="77">
        <v>2897</v>
      </c>
      <c r="AB102" s="2" t="s">
        <v>872</v>
      </c>
      <c r="AC102" s="106">
        <v>3772</v>
      </c>
      <c r="AD102" s="77">
        <v>43957</v>
      </c>
      <c r="AE102" s="77">
        <v>2009</v>
      </c>
      <c r="AF102" s="4">
        <v>5713</v>
      </c>
    </row>
    <row r="103" spans="1:32" ht="13.5" thickBot="1" x14ac:dyDescent="0.25">
      <c r="A103" s="2" t="s">
        <v>407</v>
      </c>
      <c r="B103" s="1" t="s">
        <v>406</v>
      </c>
      <c r="C103" s="2" t="s">
        <v>24</v>
      </c>
      <c r="D103" s="77">
        <v>6411</v>
      </c>
      <c r="E103" s="77">
        <v>5685</v>
      </c>
      <c r="F103" s="77">
        <v>2552</v>
      </c>
      <c r="G103" s="77">
        <v>14648</v>
      </c>
      <c r="H103" s="100">
        <f>Table3[[#This Row],[Circulation of Children''s Materials]]/Table3[[#This Row],[Total Population Served]]</f>
        <v>0.99503336954834709</v>
      </c>
      <c r="I103" s="100">
        <f>Table3[[#This Row],[Circulation of Electronic Materials]]/Table3[[#This Row],[Total Population Served]]</f>
        <v>0.39608877851932328</v>
      </c>
      <c r="J103" s="100">
        <f t="shared" si="9"/>
        <v>2.2734750892441409</v>
      </c>
      <c r="K103" s="100">
        <f t="shared" si="10"/>
        <v>4.8311345646437998</v>
      </c>
      <c r="L103" s="102">
        <v>0</v>
      </c>
      <c r="M103" s="77">
        <v>2552</v>
      </c>
      <c r="N103" s="77">
        <v>12096</v>
      </c>
      <c r="O103" s="77">
        <v>14648</v>
      </c>
      <c r="P103" s="77">
        <v>17467</v>
      </c>
      <c r="Q103" s="77">
        <v>17497</v>
      </c>
      <c r="R103" s="100">
        <f t="shared" si="11"/>
        <v>2.715660406642868</v>
      </c>
      <c r="S103" s="77">
        <v>1300</v>
      </c>
      <c r="T103" s="71">
        <f t="shared" si="15"/>
        <v>0.20176936209840138</v>
      </c>
      <c r="U103" s="77">
        <v>2904</v>
      </c>
      <c r="V103" s="77">
        <v>3558</v>
      </c>
      <c r="W103" s="77">
        <v>11250</v>
      </c>
      <c r="X103" s="77">
        <v>8689</v>
      </c>
      <c r="Y103" s="101">
        <f t="shared" si="12"/>
        <v>1.7460810181592425</v>
      </c>
      <c r="Z103" s="101">
        <f t="shared" si="13"/>
        <v>3.7104221635883907</v>
      </c>
      <c r="AA103" s="77">
        <v>760</v>
      </c>
      <c r="AB103" s="2" t="s">
        <v>872</v>
      </c>
      <c r="AC103" s="106">
        <v>2150</v>
      </c>
      <c r="AD103" s="77">
        <v>34964</v>
      </c>
      <c r="AE103" s="77">
        <v>3032</v>
      </c>
      <c r="AF103" s="4">
        <v>6443</v>
      </c>
    </row>
    <row r="104" spans="1:32" ht="13.5" thickBot="1" x14ac:dyDescent="0.25">
      <c r="A104" s="2" t="s">
        <v>411</v>
      </c>
      <c r="B104" s="1" t="s">
        <v>410</v>
      </c>
      <c r="C104" s="2" t="s">
        <v>24</v>
      </c>
      <c r="D104" s="77">
        <v>989</v>
      </c>
      <c r="E104" s="77">
        <v>9553</v>
      </c>
      <c r="F104" s="77">
        <v>284</v>
      </c>
      <c r="G104" s="77">
        <v>10826</v>
      </c>
      <c r="H104" s="100">
        <f>Table3[[#This Row],[Circulation of Children''s Materials]]/Table3[[#This Row],[Total Population Served]]</f>
        <v>0.24240196078431372</v>
      </c>
      <c r="I104" s="100">
        <f>Table3[[#This Row],[Circulation of Electronic Materials]]/Table3[[#This Row],[Total Population Served]]</f>
        <v>6.9607843137254904E-2</v>
      </c>
      <c r="J104" s="100">
        <f t="shared" si="9"/>
        <v>2.6534313725490195</v>
      </c>
      <c r="K104" s="100">
        <f t="shared" si="10"/>
        <v>9.8777372262773717</v>
      </c>
      <c r="L104" s="102">
        <v>3</v>
      </c>
      <c r="M104" s="77">
        <v>287</v>
      </c>
      <c r="N104" s="77">
        <v>10542</v>
      </c>
      <c r="O104" s="77">
        <v>10829</v>
      </c>
      <c r="P104" s="77">
        <v>24185</v>
      </c>
      <c r="Q104" s="77">
        <v>15877</v>
      </c>
      <c r="R104" s="100">
        <f t="shared" si="11"/>
        <v>3.8914215686274511</v>
      </c>
      <c r="S104" s="77">
        <v>1025</v>
      </c>
      <c r="T104" s="71">
        <f t="shared" si="15"/>
        <v>0.25122549019607843</v>
      </c>
      <c r="U104" s="77">
        <v>988</v>
      </c>
      <c r="V104" s="77">
        <v>720</v>
      </c>
      <c r="W104" s="77">
        <v>10545</v>
      </c>
      <c r="X104" s="77">
        <v>9285</v>
      </c>
      <c r="Y104" s="101">
        <f t="shared" si="12"/>
        <v>2.5845588235294117</v>
      </c>
      <c r="Z104" s="101">
        <f t="shared" si="13"/>
        <v>9.6213503649635044</v>
      </c>
      <c r="AA104" s="77">
        <v>1839</v>
      </c>
      <c r="AB104" s="2" t="s">
        <v>872</v>
      </c>
      <c r="AC104" s="106">
        <v>301</v>
      </c>
      <c r="AD104" s="77">
        <v>40062</v>
      </c>
      <c r="AE104" s="77">
        <v>1096</v>
      </c>
      <c r="AF104" s="4">
        <v>4080</v>
      </c>
    </row>
    <row r="105" spans="1:32" ht="13.5" thickBot="1" x14ac:dyDescent="0.25">
      <c r="A105" s="2" t="s">
        <v>413</v>
      </c>
      <c r="B105" s="1" t="s">
        <v>412</v>
      </c>
      <c r="C105" s="2" t="s">
        <v>24</v>
      </c>
      <c r="D105" s="4">
        <v>10528</v>
      </c>
      <c r="E105" s="4">
        <v>19911</v>
      </c>
      <c r="F105" s="4">
        <v>1324</v>
      </c>
      <c r="G105" s="4">
        <v>31763</v>
      </c>
      <c r="H105" s="100">
        <f>Table3[[#This Row],[Circulation of Children''s Materials]]/Table3[[#This Row],[Total Population Served]]</f>
        <v>2.0207293666026871</v>
      </c>
      <c r="I105" s="100">
        <f>Table3[[#This Row],[Circulation of Electronic Materials]]/Table3[[#This Row],[Total Population Served]]</f>
        <v>0.254126679462572</v>
      </c>
      <c r="J105" s="100">
        <f t="shared" si="9"/>
        <v>6.0965451055662188</v>
      </c>
      <c r="K105" s="100">
        <f t="shared" si="10"/>
        <v>39.55541718555417</v>
      </c>
      <c r="L105" s="102">
        <v>0</v>
      </c>
      <c r="M105" s="4">
        <v>1324</v>
      </c>
      <c r="N105" s="4">
        <v>30439</v>
      </c>
      <c r="O105" s="4">
        <v>31763</v>
      </c>
      <c r="P105" s="4">
        <v>29088</v>
      </c>
      <c r="Q105" s="4">
        <v>16561</v>
      </c>
      <c r="R105" s="100">
        <f t="shared" si="11"/>
        <v>3.1786948176583492</v>
      </c>
      <c r="S105" s="77">
        <v>9360</v>
      </c>
      <c r="T105" s="71">
        <f t="shared" si="15"/>
        <v>1.7965451055662187</v>
      </c>
      <c r="U105" s="77">
        <v>740</v>
      </c>
      <c r="V105" s="4">
        <v>1340</v>
      </c>
      <c r="W105" s="4">
        <v>10087</v>
      </c>
      <c r="X105" s="77">
        <v>7950</v>
      </c>
      <c r="Y105" s="101">
        <f t="shared" si="12"/>
        <v>1.9360844529750481</v>
      </c>
      <c r="Z105" s="101">
        <f t="shared" si="13"/>
        <v>12.561643835616438</v>
      </c>
      <c r="AA105" s="77">
        <v>2059</v>
      </c>
      <c r="AB105" s="2" t="s">
        <v>872</v>
      </c>
      <c r="AC105" s="106">
        <v>797</v>
      </c>
      <c r="AD105" s="4">
        <v>45649</v>
      </c>
      <c r="AE105" s="4">
        <v>803</v>
      </c>
      <c r="AF105" s="4">
        <v>5210</v>
      </c>
    </row>
    <row r="106" spans="1:32" ht="13.5" thickBot="1" x14ac:dyDescent="0.25">
      <c r="A106" s="2" t="s">
        <v>415</v>
      </c>
      <c r="B106" s="1" t="s">
        <v>414</v>
      </c>
      <c r="C106" s="2" t="s">
        <v>24</v>
      </c>
      <c r="D106" s="77">
        <v>3453</v>
      </c>
      <c r="E106" s="77">
        <v>14014</v>
      </c>
      <c r="F106" s="77">
        <v>2555</v>
      </c>
      <c r="G106" s="77">
        <v>20022</v>
      </c>
      <c r="H106" s="100">
        <f>Table3[[#This Row],[Circulation of Children''s Materials]]/Table3[[#This Row],[Total Population Served]]</f>
        <v>0.49349721309132483</v>
      </c>
      <c r="I106" s="100">
        <f>Table3[[#This Row],[Circulation of Electronic Materials]]/Table3[[#This Row],[Total Population Served]]</f>
        <v>0.36515649564098901</v>
      </c>
      <c r="J106" s="100">
        <f t="shared" si="9"/>
        <v>2.8615120766042588</v>
      </c>
      <c r="K106" s="100">
        <f t="shared" si="10"/>
        <v>4.8703478472391142</v>
      </c>
      <c r="L106" s="102">
        <v>4072</v>
      </c>
      <c r="M106" s="77">
        <v>6627</v>
      </c>
      <c r="N106" s="77">
        <v>17467</v>
      </c>
      <c r="O106" s="77">
        <v>24094</v>
      </c>
      <c r="P106" s="77">
        <v>39163</v>
      </c>
      <c r="Q106" s="77">
        <v>28773</v>
      </c>
      <c r="R106" s="100">
        <f t="shared" si="11"/>
        <v>4.1121909389738462</v>
      </c>
      <c r="S106" s="77">
        <v>6124</v>
      </c>
      <c r="T106" s="71">
        <f t="shared" si="15"/>
        <v>0.87523224238959552</v>
      </c>
      <c r="U106" s="77">
        <v>3648</v>
      </c>
      <c r="V106" s="77">
        <v>4072</v>
      </c>
      <c r="W106" s="77">
        <v>18260</v>
      </c>
      <c r="X106" s="77">
        <v>0</v>
      </c>
      <c r="Y106" s="101">
        <f t="shared" si="12"/>
        <v>2.6096898670858941</v>
      </c>
      <c r="Z106" s="101">
        <f t="shared" si="13"/>
        <v>4.4417416686937488</v>
      </c>
      <c r="AA106" s="77">
        <v>4434</v>
      </c>
      <c r="AB106" s="2" t="s">
        <v>872</v>
      </c>
      <c r="AC106" s="107" t="s">
        <v>2632</v>
      </c>
      <c r="AD106" s="77">
        <v>67936</v>
      </c>
      <c r="AE106" s="77">
        <v>4111</v>
      </c>
      <c r="AF106" s="4">
        <v>6997</v>
      </c>
    </row>
    <row r="107" spans="1:32" ht="13.5" thickBot="1" x14ac:dyDescent="0.25">
      <c r="A107" s="2" t="s">
        <v>429</v>
      </c>
      <c r="B107" s="1" t="s">
        <v>428</v>
      </c>
      <c r="C107" s="2" t="s">
        <v>24</v>
      </c>
      <c r="D107" s="77">
        <v>22775</v>
      </c>
      <c r="E107" s="77">
        <v>22031</v>
      </c>
      <c r="F107" s="77">
        <v>2497</v>
      </c>
      <c r="G107" s="77">
        <v>47303</v>
      </c>
      <c r="H107" s="100">
        <f>Table3[[#This Row],[Circulation of Children''s Materials]]/Table3[[#This Row],[Total Population Served]]</f>
        <v>5.4642514395393471</v>
      </c>
      <c r="I107" s="100">
        <f>Table3[[#This Row],[Circulation of Electronic Materials]]/Table3[[#This Row],[Total Population Served]]</f>
        <v>0.59908829174664102</v>
      </c>
      <c r="J107" s="100">
        <f t="shared" si="9"/>
        <v>11.349088291746641</v>
      </c>
      <c r="K107" s="100">
        <f t="shared" si="10"/>
        <v>24.598543941757669</v>
      </c>
      <c r="L107" s="102">
        <v>0</v>
      </c>
      <c r="M107" s="77">
        <v>2497</v>
      </c>
      <c r="N107" s="77">
        <v>44806</v>
      </c>
      <c r="O107" s="77">
        <v>47303</v>
      </c>
      <c r="P107" s="77">
        <v>34811</v>
      </c>
      <c r="Q107" s="77">
        <v>9995</v>
      </c>
      <c r="R107" s="100">
        <f t="shared" si="11"/>
        <v>2.3980326295585415</v>
      </c>
      <c r="S107" s="77">
        <v>4500</v>
      </c>
      <c r="T107" s="71">
        <f t="shared" si="15"/>
        <v>1.079654510556622</v>
      </c>
      <c r="U107" s="77">
        <v>4504</v>
      </c>
      <c r="V107" s="77">
        <v>996</v>
      </c>
      <c r="W107" s="77">
        <v>18045</v>
      </c>
      <c r="X107" s="77">
        <v>6000</v>
      </c>
      <c r="Y107" s="101">
        <f t="shared" si="12"/>
        <v>4.329414587332054</v>
      </c>
      <c r="Z107" s="101">
        <f t="shared" si="13"/>
        <v>9.3837753510140409</v>
      </c>
      <c r="AA107" s="77">
        <v>5474</v>
      </c>
      <c r="AB107" s="2" t="s">
        <v>872</v>
      </c>
      <c r="AC107" s="106">
        <v>7758</v>
      </c>
      <c r="AD107" s="77">
        <v>44806</v>
      </c>
      <c r="AE107" s="77">
        <v>1923</v>
      </c>
      <c r="AF107" s="4">
        <v>4168</v>
      </c>
    </row>
    <row r="108" spans="1:32" ht="13.5" thickBot="1" x14ac:dyDescent="0.25">
      <c r="A108" s="2" t="s">
        <v>441</v>
      </c>
      <c r="B108" s="1" t="s">
        <v>440</v>
      </c>
      <c r="C108" s="2" t="s">
        <v>24</v>
      </c>
      <c r="D108" s="4">
        <v>27945</v>
      </c>
      <c r="E108" s="4">
        <v>35287</v>
      </c>
      <c r="F108" s="4">
        <v>2324</v>
      </c>
      <c r="G108" s="4">
        <v>65556</v>
      </c>
      <c r="H108" s="100">
        <f>Table3[[#This Row],[Circulation of Children''s Materials]]/Table3[[#This Row],[Total Population Served]]</f>
        <v>5.6637616538305631</v>
      </c>
      <c r="I108" s="100">
        <f>Table3[[#This Row],[Circulation of Electronic Materials]]/Table3[[#This Row],[Total Population Served]]</f>
        <v>0.47101743007701663</v>
      </c>
      <c r="J108" s="100">
        <f t="shared" si="9"/>
        <v>13.286582894203486</v>
      </c>
      <c r="K108" s="100">
        <f t="shared" si="10"/>
        <v>39.161290322580648</v>
      </c>
      <c r="L108" s="102">
        <v>0</v>
      </c>
      <c r="M108" s="4">
        <v>2324</v>
      </c>
      <c r="N108" s="4">
        <v>63232</v>
      </c>
      <c r="O108" s="4">
        <v>65556</v>
      </c>
      <c r="P108" s="4">
        <v>32590</v>
      </c>
      <c r="Q108" s="4">
        <v>10056</v>
      </c>
      <c r="R108" s="100">
        <f t="shared" si="11"/>
        <v>2.0381029590595867</v>
      </c>
      <c r="S108" s="4">
        <v>914</v>
      </c>
      <c r="T108" s="71">
        <f t="shared" si="15"/>
        <v>0.18524523713011756</v>
      </c>
      <c r="U108" s="4">
        <v>3954</v>
      </c>
      <c r="V108" s="4">
        <v>3076</v>
      </c>
      <c r="W108" s="4">
        <v>29368</v>
      </c>
      <c r="X108" s="77">
        <v>19451</v>
      </c>
      <c r="Y108" s="101">
        <f t="shared" si="12"/>
        <v>5.9521686258613702</v>
      </c>
      <c r="Z108" s="101">
        <f t="shared" si="13"/>
        <v>17.543608124253286</v>
      </c>
      <c r="AA108" s="4">
        <v>4773</v>
      </c>
      <c r="AB108" s="2" t="s">
        <v>872</v>
      </c>
      <c r="AC108" s="106">
        <v>2312</v>
      </c>
      <c r="AD108" s="4">
        <v>42646</v>
      </c>
      <c r="AE108" s="4">
        <v>1674</v>
      </c>
      <c r="AF108" s="4">
        <v>4934</v>
      </c>
    </row>
    <row r="109" spans="1:32" ht="13.5" thickBot="1" x14ac:dyDescent="0.25">
      <c r="A109" s="2" t="s">
        <v>443</v>
      </c>
      <c r="B109" s="1" t="s">
        <v>442</v>
      </c>
      <c r="C109" s="2" t="s">
        <v>24</v>
      </c>
      <c r="D109" s="77">
        <v>6624</v>
      </c>
      <c r="E109" s="77">
        <v>24761</v>
      </c>
      <c r="F109" s="77">
        <v>4209</v>
      </c>
      <c r="G109" s="77">
        <v>35594</v>
      </c>
      <c r="H109" s="100">
        <f>Table3[[#This Row],[Circulation of Children''s Materials]]/Table3[[#This Row],[Total Population Served]]</f>
        <v>1.1309544135222811</v>
      </c>
      <c r="I109" s="100">
        <f>Table3[[#This Row],[Circulation of Electronic Materials]]/Table3[[#This Row],[Total Population Served]]</f>
        <v>0.71862728359228278</v>
      </c>
      <c r="J109" s="100">
        <f t="shared" si="9"/>
        <v>6.0771726139661943</v>
      </c>
      <c r="K109" s="100">
        <f t="shared" si="10"/>
        <v>7.8470017636684304</v>
      </c>
      <c r="L109" s="102">
        <v>260</v>
      </c>
      <c r="M109" s="77">
        <v>4469</v>
      </c>
      <c r="N109" s="77">
        <v>31385</v>
      </c>
      <c r="O109" s="77">
        <v>35854</v>
      </c>
      <c r="P109" s="77">
        <v>36629</v>
      </c>
      <c r="Q109" s="77">
        <v>22035</v>
      </c>
      <c r="R109" s="100">
        <f t="shared" si="11"/>
        <v>3.7621649308519718</v>
      </c>
      <c r="S109" s="77">
        <v>8654</v>
      </c>
      <c r="T109" s="71">
        <f t="shared" si="15"/>
        <v>1.4775482328837288</v>
      </c>
      <c r="U109" s="77">
        <v>1496</v>
      </c>
      <c r="V109" s="77">
        <v>2086</v>
      </c>
      <c r="W109" s="77">
        <v>35971</v>
      </c>
      <c r="X109" s="77">
        <v>8152</v>
      </c>
      <c r="Y109" s="101">
        <f t="shared" si="12"/>
        <v>6.1415400375618914</v>
      </c>
      <c r="Z109" s="101">
        <f t="shared" si="13"/>
        <v>7.9301146384479715</v>
      </c>
      <c r="AA109" s="77">
        <v>5131</v>
      </c>
      <c r="AB109" s="2" t="s">
        <v>872</v>
      </c>
      <c r="AC109" s="106">
        <v>4615</v>
      </c>
      <c r="AD109" s="77">
        <v>58664</v>
      </c>
      <c r="AE109" s="77">
        <v>4536</v>
      </c>
      <c r="AF109" s="4">
        <v>5857</v>
      </c>
    </row>
    <row r="110" spans="1:32" ht="13.5" thickBot="1" x14ac:dyDescent="0.25">
      <c r="A110" s="2" t="s">
        <v>465</v>
      </c>
      <c r="B110" s="1" t="s">
        <v>464</v>
      </c>
      <c r="C110" s="2" t="s">
        <v>24</v>
      </c>
      <c r="D110" s="4">
        <v>952</v>
      </c>
      <c r="E110" s="4">
        <v>4259</v>
      </c>
      <c r="F110" s="4">
        <v>87</v>
      </c>
      <c r="G110" s="4">
        <v>5298</v>
      </c>
      <c r="H110" s="100">
        <f>Table3[[#This Row],[Circulation of Children''s Materials]]/Table3[[#This Row],[Total Population Served]]</f>
        <v>0.2298961603477421</v>
      </c>
      <c r="I110" s="100">
        <f>Table3[[#This Row],[Circulation of Electronic Materials]]/Table3[[#This Row],[Total Population Served]]</f>
        <v>2.100941801497223E-2</v>
      </c>
      <c r="J110" s="100">
        <f t="shared" si="9"/>
        <v>1.2794011108427916</v>
      </c>
      <c r="K110" s="100">
        <f t="shared" si="10"/>
        <v>3.1686602870813396</v>
      </c>
      <c r="L110" s="103" t="s">
        <v>2632</v>
      </c>
      <c r="M110" s="4">
        <v>87</v>
      </c>
      <c r="N110" s="4">
        <v>5211</v>
      </c>
      <c r="O110" s="4">
        <v>5298</v>
      </c>
      <c r="P110" s="4">
        <v>21219</v>
      </c>
      <c r="Q110" s="4">
        <v>30793</v>
      </c>
      <c r="R110" s="100">
        <f t="shared" si="11"/>
        <v>7.436126539483217</v>
      </c>
      <c r="S110" s="77">
        <v>400</v>
      </c>
      <c r="T110" s="71">
        <f t="shared" si="15"/>
        <v>9.6595025356194159E-2</v>
      </c>
      <c r="U110" s="77">
        <v>87</v>
      </c>
      <c r="V110" s="4">
        <v>10</v>
      </c>
      <c r="W110" s="4">
        <v>8436</v>
      </c>
      <c r="X110" s="77">
        <v>686</v>
      </c>
      <c r="Y110" s="101">
        <f t="shared" si="12"/>
        <v>2.0371890847621348</v>
      </c>
      <c r="Z110" s="101">
        <f t="shared" si="13"/>
        <v>5.0454545454545459</v>
      </c>
      <c r="AA110" s="77">
        <v>1992</v>
      </c>
      <c r="AB110" s="2" t="s">
        <v>872</v>
      </c>
      <c r="AC110" s="106">
        <v>2060</v>
      </c>
      <c r="AD110" s="4">
        <v>52012</v>
      </c>
      <c r="AE110" s="4">
        <v>1672</v>
      </c>
      <c r="AF110" s="4">
        <v>4141</v>
      </c>
    </row>
    <row r="111" spans="1:32" ht="13.5" thickBot="1" x14ac:dyDescent="0.25">
      <c r="A111" s="2" t="s">
        <v>472</v>
      </c>
      <c r="B111" s="1" t="s">
        <v>471</v>
      </c>
      <c r="C111" s="2" t="s">
        <v>24</v>
      </c>
      <c r="D111" s="77">
        <v>2721</v>
      </c>
      <c r="E111" s="77">
        <v>6375</v>
      </c>
      <c r="F111" s="77">
        <v>0</v>
      </c>
      <c r="G111" s="77">
        <v>9096</v>
      </c>
      <c r="H111" s="100">
        <f>Table3[[#This Row],[Circulation of Children''s Materials]]/Table3[[#This Row],[Total Population Served]]</f>
        <v>0.64832022873481054</v>
      </c>
      <c r="I111" s="100">
        <f>Table3[[#This Row],[Circulation of Electronic Materials]]/Table3[[#This Row],[Total Population Served]]</f>
        <v>0</v>
      </c>
      <c r="J111" s="100">
        <f t="shared" si="9"/>
        <v>2.1672623302358827</v>
      </c>
      <c r="K111" s="100">
        <f t="shared" si="10"/>
        <v>2.7192825112107624</v>
      </c>
      <c r="L111" s="102">
        <v>0</v>
      </c>
      <c r="M111" s="77">
        <v>0</v>
      </c>
      <c r="N111" s="77">
        <v>9096</v>
      </c>
      <c r="O111" s="77">
        <v>9096</v>
      </c>
      <c r="P111" s="77">
        <v>21650</v>
      </c>
      <c r="Q111" s="77">
        <v>0</v>
      </c>
      <c r="R111" s="100">
        <f t="shared" si="11"/>
        <v>0</v>
      </c>
      <c r="S111" s="77">
        <v>351</v>
      </c>
      <c r="T111" s="71">
        <f t="shared" si="15"/>
        <v>8.3631165117941386E-2</v>
      </c>
      <c r="U111" s="77">
        <v>42</v>
      </c>
      <c r="V111" s="77">
        <v>97</v>
      </c>
      <c r="W111" s="77">
        <v>13898</v>
      </c>
      <c r="X111" s="77">
        <v>14500</v>
      </c>
      <c r="Y111" s="101">
        <f t="shared" si="12"/>
        <v>3.3114129139861808</v>
      </c>
      <c r="Z111" s="101">
        <f t="shared" si="13"/>
        <v>4.1548579970104633</v>
      </c>
      <c r="AA111" s="77">
        <v>3700</v>
      </c>
      <c r="AB111" s="2" t="s">
        <v>872</v>
      </c>
      <c r="AC111" s="106">
        <v>3200</v>
      </c>
      <c r="AD111" s="77">
        <v>21650</v>
      </c>
      <c r="AE111" s="77">
        <v>3345</v>
      </c>
      <c r="AF111" s="4">
        <v>4197</v>
      </c>
    </row>
    <row r="112" spans="1:32" ht="13.5" thickBot="1" x14ac:dyDescent="0.25">
      <c r="A112" s="2" t="s">
        <v>478</v>
      </c>
      <c r="B112" s="1" t="s">
        <v>477</v>
      </c>
      <c r="C112" s="2" t="s">
        <v>24</v>
      </c>
      <c r="D112" s="77">
        <v>6961</v>
      </c>
      <c r="E112" s="77">
        <v>17580</v>
      </c>
      <c r="F112" s="77">
        <v>2771</v>
      </c>
      <c r="G112" s="77">
        <v>27312</v>
      </c>
      <c r="H112" s="100">
        <f>Table3[[#This Row],[Circulation of Children''s Materials]]/Table3[[#This Row],[Total Population Served]]</f>
        <v>1.3735201262825572</v>
      </c>
      <c r="I112" s="100">
        <f>Table3[[#This Row],[Circulation of Electronic Materials]]/Table3[[#This Row],[Total Population Served]]</f>
        <v>0.54676400947119175</v>
      </c>
      <c r="J112" s="100">
        <f t="shared" si="9"/>
        <v>5.389108129439621</v>
      </c>
      <c r="K112" s="100">
        <f t="shared" si="10"/>
        <v>10.808072813612981</v>
      </c>
      <c r="L112" s="102">
        <v>0</v>
      </c>
      <c r="M112" s="77">
        <v>2771</v>
      </c>
      <c r="N112" s="77">
        <v>24541</v>
      </c>
      <c r="O112" s="77">
        <v>27312</v>
      </c>
      <c r="P112" s="77">
        <v>52848</v>
      </c>
      <c r="Q112" s="77">
        <v>18037</v>
      </c>
      <c r="R112" s="100">
        <f t="shared" si="11"/>
        <v>3.5589976322020522</v>
      </c>
      <c r="S112" s="77">
        <v>2987</v>
      </c>
      <c r="T112" s="71">
        <f t="shared" si="15"/>
        <v>0.58938437253354381</v>
      </c>
      <c r="U112" s="77">
        <v>6792</v>
      </c>
      <c r="V112" s="77">
        <v>4194</v>
      </c>
      <c r="W112" s="77">
        <v>24752</v>
      </c>
      <c r="X112" s="77">
        <v>11019</v>
      </c>
      <c r="Y112" s="101">
        <f t="shared" si="12"/>
        <v>4.8839779005524866</v>
      </c>
      <c r="Z112" s="101">
        <f t="shared" si="13"/>
        <v>9.7950138504155131</v>
      </c>
      <c r="AA112" s="77">
        <v>2304</v>
      </c>
      <c r="AB112" s="2" t="s">
        <v>872</v>
      </c>
      <c r="AC112" s="106">
        <v>2437</v>
      </c>
      <c r="AD112" s="77">
        <v>70885</v>
      </c>
      <c r="AE112" s="77">
        <v>2527</v>
      </c>
      <c r="AF112" s="4">
        <v>5068</v>
      </c>
    </row>
    <row r="113" spans="1:32" ht="13.5" thickBot="1" x14ac:dyDescent="0.25">
      <c r="A113" s="2" t="s">
        <v>482</v>
      </c>
      <c r="B113" s="1" t="s">
        <v>481</v>
      </c>
      <c r="C113" s="2" t="s">
        <v>24</v>
      </c>
      <c r="D113" s="4">
        <v>1551</v>
      </c>
      <c r="E113" s="4">
        <v>8362</v>
      </c>
      <c r="F113" s="4">
        <v>0</v>
      </c>
      <c r="G113" s="4">
        <v>9913</v>
      </c>
      <c r="H113" s="100">
        <f>Table3[[#This Row],[Circulation of Children''s Materials]]/Table3[[#This Row],[Total Population Served]]</f>
        <v>0.31219806763285024</v>
      </c>
      <c r="I113" s="100">
        <f>Table3[[#This Row],[Circulation of Electronic Materials]]/Table3[[#This Row],[Total Population Served]]</f>
        <v>0</v>
      </c>
      <c r="J113" s="100">
        <f t="shared" si="9"/>
        <v>1.9953703703703705</v>
      </c>
      <c r="K113" s="100">
        <f t="shared" si="10"/>
        <v>3.3343424150689538</v>
      </c>
      <c r="L113" s="102">
        <v>0</v>
      </c>
      <c r="M113" s="4">
        <v>0</v>
      </c>
      <c r="N113" s="4">
        <v>9913</v>
      </c>
      <c r="O113" s="4">
        <v>9913</v>
      </c>
      <c r="P113" s="4">
        <v>16323</v>
      </c>
      <c r="Q113" s="4">
        <v>0</v>
      </c>
      <c r="R113" s="100">
        <f t="shared" si="11"/>
        <v>0</v>
      </c>
      <c r="S113" s="77">
        <v>1500</v>
      </c>
      <c r="T113" s="71">
        <f t="shared" si="15"/>
        <v>0.30193236714975846</v>
      </c>
      <c r="U113" s="77">
        <v>43</v>
      </c>
      <c r="V113" s="4">
        <v>71</v>
      </c>
      <c r="W113" s="4">
        <v>10997</v>
      </c>
      <c r="X113" s="78" t="s">
        <v>16</v>
      </c>
      <c r="Y113" s="101">
        <f t="shared" si="12"/>
        <v>2.2135668276972624</v>
      </c>
      <c r="Z113" s="101">
        <f t="shared" si="13"/>
        <v>3.6989572822065253</v>
      </c>
      <c r="AA113" s="77">
        <v>3009</v>
      </c>
      <c r="AB113" s="2" t="s">
        <v>872</v>
      </c>
      <c r="AC113" s="106">
        <v>800</v>
      </c>
      <c r="AD113" s="4">
        <v>16323</v>
      </c>
      <c r="AE113" s="4">
        <v>2973</v>
      </c>
      <c r="AF113" s="4">
        <v>4968</v>
      </c>
    </row>
    <row r="114" spans="1:32" ht="13.5" thickBot="1" x14ac:dyDescent="0.25">
      <c r="A114" s="2" t="s">
        <v>494</v>
      </c>
      <c r="B114" s="1" t="s">
        <v>493</v>
      </c>
      <c r="C114" s="2" t="s">
        <v>24</v>
      </c>
      <c r="D114" s="77">
        <v>9110</v>
      </c>
      <c r="E114" s="77">
        <v>7810</v>
      </c>
      <c r="F114" s="77">
        <v>1685</v>
      </c>
      <c r="G114" s="77">
        <v>18605</v>
      </c>
      <c r="H114" s="100">
        <f>Table3[[#This Row],[Circulation of Children''s Materials]]/Table3[[#This Row],[Total Population Served]]</f>
        <v>2.221409412338454</v>
      </c>
      <c r="I114" s="100">
        <f>Table3[[#This Row],[Circulation of Electronic Materials]]/Table3[[#This Row],[Total Population Served]]</f>
        <v>0.41087539624481834</v>
      </c>
      <c r="J114" s="100">
        <f t="shared" si="9"/>
        <v>4.5366983662521339</v>
      </c>
      <c r="K114" s="100">
        <f t="shared" si="10"/>
        <v>7.106569900687548</v>
      </c>
      <c r="L114" s="102">
        <v>88</v>
      </c>
      <c r="M114" s="77">
        <v>1773</v>
      </c>
      <c r="N114" s="77">
        <v>16920</v>
      </c>
      <c r="O114" s="77">
        <v>18693</v>
      </c>
      <c r="P114" s="77">
        <v>29159</v>
      </c>
      <c r="Q114" s="77">
        <v>13692</v>
      </c>
      <c r="R114" s="100">
        <f t="shared" si="11"/>
        <v>3.3386978785662031</v>
      </c>
      <c r="S114" s="77">
        <v>3351</v>
      </c>
      <c r="T114" s="71">
        <f t="shared" si="15"/>
        <v>0.81711777615215797</v>
      </c>
      <c r="U114" s="77">
        <v>713</v>
      </c>
      <c r="V114" s="77">
        <v>617</v>
      </c>
      <c r="W114" s="77">
        <v>28566</v>
      </c>
      <c r="X114" s="77">
        <v>916</v>
      </c>
      <c r="Y114" s="101">
        <f t="shared" si="12"/>
        <v>6.9656181419166057</v>
      </c>
      <c r="Z114" s="101">
        <f t="shared" si="13"/>
        <v>10.911382734912147</v>
      </c>
      <c r="AA114" s="77">
        <v>4323</v>
      </c>
      <c r="AB114" s="2" t="s">
        <v>872</v>
      </c>
      <c r="AC114" s="106">
        <v>4687</v>
      </c>
      <c r="AD114" s="77">
        <v>42851</v>
      </c>
      <c r="AE114" s="77">
        <v>2618</v>
      </c>
      <c r="AF114" s="4">
        <v>4101</v>
      </c>
    </row>
    <row r="115" spans="1:32" ht="13.5" thickBot="1" x14ac:dyDescent="0.25">
      <c r="A115" s="2" t="s">
        <v>496</v>
      </c>
      <c r="B115" s="1" t="s">
        <v>495</v>
      </c>
      <c r="C115" s="2" t="s">
        <v>24</v>
      </c>
      <c r="D115" s="4">
        <v>6338</v>
      </c>
      <c r="E115" s="4">
        <v>21674</v>
      </c>
      <c r="F115" s="4">
        <v>1891</v>
      </c>
      <c r="G115" s="4">
        <v>29903</v>
      </c>
      <c r="H115" s="100">
        <f>Table3[[#This Row],[Circulation of Children''s Materials]]/Table3[[#This Row],[Total Population Served]]</f>
        <v>1.2093112001526427</v>
      </c>
      <c r="I115" s="100">
        <f>Table3[[#This Row],[Circulation of Electronic Materials]]/Table3[[#This Row],[Total Population Served]]</f>
        <v>0.36080900591490173</v>
      </c>
      <c r="J115" s="100">
        <f t="shared" si="9"/>
        <v>5.7055905361572217</v>
      </c>
      <c r="K115" s="100">
        <f t="shared" si="10"/>
        <v>11.518875192604007</v>
      </c>
      <c r="L115" s="102">
        <v>0</v>
      </c>
      <c r="M115" s="4">
        <v>1891</v>
      </c>
      <c r="N115" s="4">
        <v>28012</v>
      </c>
      <c r="O115" s="4">
        <v>29903</v>
      </c>
      <c r="P115" s="4">
        <v>21488</v>
      </c>
      <c r="Q115" s="4">
        <v>10678</v>
      </c>
      <c r="R115" s="100">
        <f t="shared" si="11"/>
        <v>2.0373974432360238</v>
      </c>
      <c r="S115" s="4">
        <v>4800</v>
      </c>
      <c r="T115" s="71">
        <f t="shared" si="15"/>
        <v>0.91585575271894681</v>
      </c>
      <c r="U115" s="4">
        <v>1387</v>
      </c>
      <c r="V115" s="4">
        <v>1922</v>
      </c>
      <c r="W115" s="4">
        <v>24600</v>
      </c>
      <c r="X115" s="78" t="s">
        <v>16</v>
      </c>
      <c r="Y115" s="101">
        <f t="shared" si="12"/>
        <v>4.693760732684602</v>
      </c>
      <c r="Z115" s="101">
        <f t="shared" si="13"/>
        <v>9.4761171032357474</v>
      </c>
      <c r="AA115" s="4">
        <v>6822</v>
      </c>
      <c r="AB115" s="2" t="s">
        <v>872</v>
      </c>
      <c r="AC115" s="106">
        <v>8314</v>
      </c>
      <c r="AD115" s="4">
        <v>32166</v>
      </c>
      <c r="AE115" s="4">
        <v>2596</v>
      </c>
      <c r="AF115" s="4">
        <v>5241</v>
      </c>
    </row>
    <row r="116" spans="1:32" ht="13.5" thickBot="1" x14ac:dyDescent="0.25">
      <c r="A116" s="2" t="s">
        <v>504</v>
      </c>
      <c r="B116" s="1" t="s">
        <v>503</v>
      </c>
      <c r="C116" s="2" t="s">
        <v>24</v>
      </c>
      <c r="D116" s="77">
        <v>12543</v>
      </c>
      <c r="E116" s="77">
        <v>27408</v>
      </c>
      <c r="F116" s="77">
        <v>1611</v>
      </c>
      <c r="G116" s="77">
        <v>41562</v>
      </c>
      <c r="H116" s="100">
        <f>Table3[[#This Row],[Circulation of Children''s Materials]]/Table3[[#This Row],[Total Population Served]]</f>
        <v>2.4308139534883719</v>
      </c>
      <c r="I116" s="100">
        <f>Table3[[#This Row],[Circulation of Electronic Materials]]/Table3[[#This Row],[Total Population Served]]</f>
        <v>0.31220930232558142</v>
      </c>
      <c r="J116" s="100">
        <f t="shared" si="9"/>
        <v>8.054651162790698</v>
      </c>
      <c r="K116" s="100">
        <f t="shared" si="10"/>
        <v>12.843634116192831</v>
      </c>
      <c r="L116" s="102">
        <v>0</v>
      </c>
      <c r="M116" s="77">
        <v>1611</v>
      </c>
      <c r="N116" s="77">
        <v>39951</v>
      </c>
      <c r="O116" s="77">
        <v>41562</v>
      </c>
      <c r="P116" s="77">
        <v>27038</v>
      </c>
      <c r="Q116" s="77">
        <v>12447</v>
      </c>
      <c r="R116" s="100">
        <f t="shared" si="11"/>
        <v>2.4122093023255813</v>
      </c>
      <c r="S116" s="77">
        <v>2276</v>
      </c>
      <c r="T116" s="71">
        <f t="shared" si="15"/>
        <v>0.44108527131782943</v>
      </c>
      <c r="U116" s="77">
        <v>1299</v>
      </c>
      <c r="V116" s="77">
        <v>1946</v>
      </c>
      <c r="W116" s="77">
        <v>22499</v>
      </c>
      <c r="X116" s="77">
        <v>106798</v>
      </c>
      <c r="Y116" s="101">
        <f t="shared" si="12"/>
        <v>4.360271317829457</v>
      </c>
      <c r="Z116" s="101">
        <f t="shared" si="13"/>
        <v>6.9527194066749072</v>
      </c>
      <c r="AA116" s="77">
        <v>3649</v>
      </c>
      <c r="AB116" s="2" t="s">
        <v>872</v>
      </c>
      <c r="AC116" s="106">
        <v>6150</v>
      </c>
      <c r="AD116" s="77">
        <v>39485</v>
      </c>
      <c r="AE116" s="77">
        <v>3236</v>
      </c>
      <c r="AF116" s="4">
        <v>5160</v>
      </c>
    </row>
    <row r="117" spans="1:32" ht="13.5" thickBot="1" x14ac:dyDescent="0.25">
      <c r="A117" s="2" t="s">
        <v>506</v>
      </c>
      <c r="B117" s="1" t="s">
        <v>505</v>
      </c>
      <c r="C117" s="2" t="s">
        <v>24</v>
      </c>
      <c r="D117" s="77">
        <v>16542</v>
      </c>
      <c r="E117" s="77">
        <v>14041</v>
      </c>
      <c r="F117" s="77">
        <v>4241</v>
      </c>
      <c r="G117" s="77">
        <v>34824</v>
      </c>
      <c r="H117" s="100">
        <f>Table3[[#This Row],[Circulation of Children''s Materials]]/Table3[[#This Row],[Total Population Served]]</f>
        <v>2.8320493066255779</v>
      </c>
      <c r="I117" s="100">
        <f>Table3[[#This Row],[Circulation of Electronic Materials]]/Table3[[#This Row],[Total Population Served]]</f>
        <v>0.72607430234548875</v>
      </c>
      <c r="J117" s="100">
        <f t="shared" si="9"/>
        <v>5.9619928094504369</v>
      </c>
      <c r="K117" s="100">
        <f t="shared" si="10"/>
        <v>6.0966386554621845</v>
      </c>
      <c r="L117" s="103" t="s">
        <v>2632</v>
      </c>
      <c r="M117" s="77">
        <v>4241</v>
      </c>
      <c r="N117" s="77">
        <v>30583</v>
      </c>
      <c r="O117" s="77">
        <v>34824</v>
      </c>
      <c r="P117" s="77">
        <v>25191</v>
      </c>
      <c r="Q117" s="77">
        <v>16425</v>
      </c>
      <c r="R117" s="100">
        <f t="shared" si="11"/>
        <v>2.8120184899845917</v>
      </c>
      <c r="S117" s="77">
        <v>530</v>
      </c>
      <c r="T117" s="71">
        <f t="shared" si="15"/>
        <v>9.0737887348056837E-2</v>
      </c>
      <c r="U117" s="77">
        <v>1807</v>
      </c>
      <c r="V117" s="77">
        <v>1713</v>
      </c>
      <c r="W117" s="77">
        <v>33030</v>
      </c>
      <c r="X117" s="77">
        <v>9081</v>
      </c>
      <c r="Y117" s="101">
        <f t="shared" si="12"/>
        <v>5.6548536209553157</v>
      </c>
      <c r="Z117" s="101">
        <f t="shared" si="13"/>
        <v>5.7825630252100844</v>
      </c>
      <c r="AA117" s="77">
        <v>1103</v>
      </c>
      <c r="AB117" s="2" t="s">
        <v>872</v>
      </c>
      <c r="AC117" s="106">
        <v>220</v>
      </c>
      <c r="AD117" s="77">
        <v>41616</v>
      </c>
      <c r="AE117" s="77">
        <v>5712</v>
      </c>
      <c r="AF117" s="4">
        <v>5841</v>
      </c>
    </row>
    <row r="118" spans="1:32" ht="13.5" thickBot="1" x14ac:dyDescent="0.25">
      <c r="A118" s="2" t="s">
        <v>512</v>
      </c>
      <c r="B118" s="1" t="s">
        <v>511</v>
      </c>
      <c r="C118" s="2" t="s">
        <v>24</v>
      </c>
      <c r="D118" s="4">
        <v>2030</v>
      </c>
      <c r="E118" s="4">
        <v>7802</v>
      </c>
      <c r="F118" s="4">
        <v>0</v>
      </c>
      <c r="G118" s="4">
        <v>9832</v>
      </c>
      <c r="H118" s="100">
        <f>Table3[[#This Row],[Circulation of Children''s Materials]]/Table3[[#This Row],[Total Population Served]]</f>
        <v>0.42917547568710357</v>
      </c>
      <c r="I118" s="100">
        <f>Table3[[#This Row],[Circulation of Electronic Materials]]/Table3[[#This Row],[Total Population Served]]</f>
        <v>0</v>
      </c>
      <c r="J118" s="100">
        <f t="shared" si="9"/>
        <v>2.0786469344608878</v>
      </c>
      <c r="K118" s="100">
        <f t="shared" si="10"/>
        <v>2.9279332936271589</v>
      </c>
      <c r="L118" s="103" t="s">
        <v>2632</v>
      </c>
      <c r="M118" s="4">
        <v>0</v>
      </c>
      <c r="N118" s="4">
        <v>9832</v>
      </c>
      <c r="O118" s="4">
        <v>9832</v>
      </c>
      <c r="P118" s="4">
        <v>35392</v>
      </c>
      <c r="Q118" s="4">
        <v>0</v>
      </c>
      <c r="R118" s="100">
        <f t="shared" si="11"/>
        <v>0</v>
      </c>
      <c r="S118" s="4">
        <v>902</v>
      </c>
      <c r="T118" s="71">
        <f t="shared" si="15"/>
        <v>0.19069767441860466</v>
      </c>
      <c r="U118" s="4">
        <v>76</v>
      </c>
      <c r="V118" s="4">
        <v>1178</v>
      </c>
      <c r="W118" s="4">
        <v>6645</v>
      </c>
      <c r="X118" s="78" t="s">
        <v>16</v>
      </c>
      <c r="Y118" s="101">
        <f t="shared" si="12"/>
        <v>1.404862579281184</v>
      </c>
      <c r="Z118" s="101">
        <f t="shared" si="13"/>
        <v>1.978856462179869</v>
      </c>
      <c r="AA118" s="4">
        <v>1184</v>
      </c>
      <c r="AB118" s="2" t="s">
        <v>872</v>
      </c>
      <c r="AC118" s="108" t="s">
        <v>2632</v>
      </c>
      <c r="AD118" s="4">
        <v>35392</v>
      </c>
      <c r="AE118" s="4">
        <v>3358</v>
      </c>
      <c r="AF118" s="4">
        <v>4730</v>
      </c>
    </row>
    <row r="119" spans="1:32" ht="13.5" thickBot="1" x14ac:dyDescent="0.25">
      <c r="A119" s="2" t="s">
        <v>530</v>
      </c>
      <c r="B119" s="1" t="s">
        <v>529</v>
      </c>
      <c r="C119" s="2" t="s">
        <v>24</v>
      </c>
      <c r="D119" s="77">
        <v>4021</v>
      </c>
      <c r="E119" s="77">
        <v>13818</v>
      </c>
      <c r="F119" s="77">
        <v>1499</v>
      </c>
      <c r="G119" s="77">
        <v>19338</v>
      </c>
      <c r="H119" s="100">
        <f>Table3[[#This Row],[Circulation of Children''s Materials]]/Table3[[#This Row],[Total Population Served]]</f>
        <v>0.7927839116719243</v>
      </c>
      <c r="I119" s="100">
        <f>Table3[[#This Row],[Circulation of Electronic Materials]]/Table3[[#This Row],[Total Population Served]]</f>
        <v>0.29554416403785488</v>
      </c>
      <c r="J119" s="100">
        <f t="shared" si="9"/>
        <v>3.8126971608832809</v>
      </c>
      <c r="K119" s="100">
        <f t="shared" si="10"/>
        <v>7.4234165067178504</v>
      </c>
      <c r="L119" s="102">
        <v>0</v>
      </c>
      <c r="M119" s="77">
        <v>1499</v>
      </c>
      <c r="N119" s="77">
        <v>17839</v>
      </c>
      <c r="O119" s="77">
        <v>19338</v>
      </c>
      <c r="P119" s="77">
        <v>26082</v>
      </c>
      <c r="Q119" s="77">
        <v>10420</v>
      </c>
      <c r="R119" s="100">
        <f t="shared" si="11"/>
        <v>2.0544164037854888</v>
      </c>
      <c r="S119" s="77">
        <v>293</v>
      </c>
      <c r="T119" s="71">
        <f t="shared" si="15"/>
        <v>5.7768138801261831E-2</v>
      </c>
      <c r="U119" s="77">
        <v>2526</v>
      </c>
      <c r="V119" s="77">
        <v>2425</v>
      </c>
      <c r="W119" s="77">
        <v>11485</v>
      </c>
      <c r="X119" s="77">
        <v>2056</v>
      </c>
      <c r="Y119" s="101">
        <f t="shared" si="12"/>
        <v>2.2643927444794953</v>
      </c>
      <c r="Z119" s="101">
        <f t="shared" si="13"/>
        <v>4.4088291746641071</v>
      </c>
      <c r="AA119" s="77">
        <v>3607</v>
      </c>
      <c r="AB119" s="2" t="s">
        <v>872</v>
      </c>
      <c r="AC119" s="106">
        <v>5026</v>
      </c>
      <c r="AD119" s="77">
        <v>36502</v>
      </c>
      <c r="AE119" s="77">
        <v>2605</v>
      </c>
      <c r="AF119" s="4">
        <v>5072</v>
      </c>
    </row>
    <row r="120" spans="1:32" ht="13.5" thickBot="1" x14ac:dyDescent="0.25">
      <c r="A120" s="2" t="s">
        <v>532</v>
      </c>
      <c r="B120" s="1" t="s">
        <v>531</v>
      </c>
      <c r="C120" s="2" t="s">
        <v>24</v>
      </c>
      <c r="D120" s="77">
        <v>9502</v>
      </c>
      <c r="E120" s="77">
        <v>28497</v>
      </c>
      <c r="F120" s="77">
        <v>6317</v>
      </c>
      <c r="G120" s="77">
        <v>44316</v>
      </c>
      <c r="H120" s="100">
        <f>Table3[[#This Row],[Circulation of Children''s Materials]]/Table3[[#This Row],[Total Population Served]]</f>
        <v>1.4323183599638227</v>
      </c>
      <c r="I120" s="100">
        <f>Table3[[#This Row],[Circulation of Electronic Materials]]/Table3[[#This Row],[Total Population Served]]</f>
        <v>0.95221585770274342</v>
      </c>
      <c r="J120" s="100">
        <f t="shared" si="9"/>
        <v>6.6801326499849258</v>
      </c>
      <c r="K120" s="100">
        <f t="shared" si="10"/>
        <v>5.458980044345898</v>
      </c>
      <c r="L120" s="102">
        <v>0</v>
      </c>
      <c r="M120" s="77">
        <v>6317</v>
      </c>
      <c r="N120" s="77">
        <v>37999</v>
      </c>
      <c r="O120" s="77">
        <v>44316</v>
      </c>
      <c r="P120" s="77">
        <v>33869</v>
      </c>
      <c r="Q120" s="77">
        <v>400</v>
      </c>
      <c r="R120" s="100">
        <f t="shared" si="11"/>
        <v>6.0295447693699128E-2</v>
      </c>
      <c r="S120" s="77">
        <v>750</v>
      </c>
      <c r="T120" s="71">
        <f t="shared" si="15"/>
        <v>0.11305396442568585</v>
      </c>
      <c r="U120" s="77">
        <v>1903</v>
      </c>
      <c r="V120" s="77">
        <v>2022</v>
      </c>
      <c r="W120" s="77">
        <v>39989</v>
      </c>
      <c r="X120" s="77">
        <v>14100</v>
      </c>
      <c r="Y120" s="101">
        <f t="shared" si="12"/>
        <v>6.0278866445583361</v>
      </c>
      <c r="Z120" s="101">
        <f t="shared" si="13"/>
        <v>4.9259669869425968</v>
      </c>
      <c r="AA120" s="77">
        <v>3245</v>
      </c>
      <c r="AB120" s="2" t="s">
        <v>872</v>
      </c>
      <c r="AC120" s="106">
        <v>1015</v>
      </c>
      <c r="AD120" s="77">
        <v>34269</v>
      </c>
      <c r="AE120" s="77">
        <v>8118</v>
      </c>
      <c r="AF120" s="4">
        <v>6634</v>
      </c>
    </row>
    <row r="121" spans="1:32" ht="13.5" thickBot="1" x14ac:dyDescent="0.25">
      <c r="A121" s="2" t="s">
        <v>544</v>
      </c>
      <c r="B121" s="1" t="s">
        <v>543</v>
      </c>
      <c r="C121" s="2" t="s">
        <v>24</v>
      </c>
      <c r="D121" s="4">
        <v>16682</v>
      </c>
      <c r="E121" s="4">
        <v>29623</v>
      </c>
      <c r="F121" s="4">
        <v>6445</v>
      </c>
      <c r="G121" s="4">
        <v>52750</v>
      </c>
      <c r="H121" s="100">
        <f>Table3[[#This Row],[Circulation of Children''s Materials]]/Table3[[#This Row],[Total Population Served]]</f>
        <v>3.1463598642021879</v>
      </c>
      <c r="I121" s="100">
        <f>Table3[[#This Row],[Circulation of Electronic Materials]]/Table3[[#This Row],[Total Population Served]]</f>
        <v>1.2155790267823463</v>
      </c>
      <c r="J121" s="100">
        <f t="shared" si="9"/>
        <v>9.9490758204451151</v>
      </c>
      <c r="K121" s="100">
        <f t="shared" si="10"/>
        <v>13.063397721644378</v>
      </c>
      <c r="L121" s="102">
        <v>0</v>
      </c>
      <c r="M121" s="4">
        <v>6445</v>
      </c>
      <c r="N121" s="4">
        <v>46305</v>
      </c>
      <c r="O121" s="4">
        <v>52750</v>
      </c>
      <c r="P121" s="4">
        <v>37499</v>
      </c>
      <c r="Q121" s="4">
        <v>16458</v>
      </c>
      <c r="R121" s="100">
        <f t="shared" si="11"/>
        <v>3.1041116559788757</v>
      </c>
      <c r="S121" s="4">
        <v>4251</v>
      </c>
      <c r="T121" s="71">
        <f t="shared" si="15"/>
        <v>0.80177291588079969</v>
      </c>
      <c r="U121" s="4">
        <v>1721</v>
      </c>
      <c r="V121" s="4">
        <v>1733</v>
      </c>
      <c r="W121" s="4">
        <v>68500</v>
      </c>
      <c r="X121" s="77">
        <v>20504</v>
      </c>
      <c r="Y121" s="101">
        <f t="shared" si="12"/>
        <v>12.919652961146737</v>
      </c>
      <c r="Z121" s="101">
        <f t="shared" si="13"/>
        <v>16.963843486874691</v>
      </c>
      <c r="AA121" s="4">
        <v>8782</v>
      </c>
      <c r="AB121" s="2" t="s">
        <v>872</v>
      </c>
      <c r="AC121" s="106">
        <v>8523</v>
      </c>
      <c r="AD121" s="4">
        <v>53957</v>
      </c>
      <c r="AE121" s="4">
        <v>4038</v>
      </c>
      <c r="AF121" s="4">
        <v>5302</v>
      </c>
    </row>
    <row r="122" spans="1:32" ht="13.5" thickBot="1" x14ac:dyDescent="0.25">
      <c r="A122" s="2" t="s">
        <v>546</v>
      </c>
      <c r="B122" s="1" t="s">
        <v>545</v>
      </c>
      <c r="C122" s="2" t="s">
        <v>24</v>
      </c>
      <c r="D122" s="77">
        <v>16026</v>
      </c>
      <c r="E122" s="77">
        <v>18073</v>
      </c>
      <c r="F122" s="77">
        <v>1770</v>
      </c>
      <c r="G122" s="77">
        <v>35869</v>
      </c>
      <c r="H122" s="100">
        <f>Table3[[#This Row],[Circulation of Children''s Materials]]/Table3[[#This Row],[Total Population Served]]</f>
        <v>2.3450395083406499</v>
      </c>
      <c r="I122" s="100">
        <f>Table3[[#This Row],[Circulation of Electronic Materials]]/Table3[[#This Row],[Total Population Served]]</f>
        <v>0.25899912203687447</v>
      </c>
      <c r="J122" s="100">
        <f t="shared" si="9"/>
        <v>5.2486098917178809</v>
      </c>
      <c r="K122" s="100">
        <f t="shared" si="10"/>
        <v>20.626221966647499</v>
      </c>
      <c r="L122" s="102">
        <v>0</v>
      </c>
      <c r="M122" s="77">
        <v>1770</v>
      </c>
      <c r="N122" s="77">
        <v>34099</v>
      </c>
      <c r="O122" s="77">
        <v>35869</v>
      </c>
      <c r="P122" s="77">
        <v>24338</v>
      </c>
      <c r="Q122" s="77">
        <v>15528</v>
      </c>
      <c r="R122" s="100">
        <f t="shared" si="11"/>
        <v>2.2721685689201054</v>
      </c>
      <c r="S122" s="77">
        <v>5023</v>
      </c>
      <c r="T122" s="71">
        <f t="shared" si="15"/>
        <v>0.73500146327187588</v>
      </c>
      <c r="U122" s="77">
        <v>2623</v>
      </c>
      <c r="V122" s="77">
        <v>2423</v>
      </c>
      <c r="W122" s="77">
        <v>50054</v>
      </c>
      <c r="X122" s="77">
        <v>2300</v>
      </c>
      <c r="Y122" s="101">
        <f t="shared" si="12"/>
        <v>7.3242610477026631</v>
      </c>
      <c r="Z122" s="101">
        <f t="shared" si="13"/>
        <v>28.783208740655549</v>
      </c>
      <c r="AA122" s="77">
        <v>5399</v>
      </c>
      <c r="AB122" s="2" t="s">
        <v>872</v>
      </c>
      <c r="AC122" s="106">
        <v>8600</v>
      </c>
      <c r="AD122" s="77">
        <v>39866</v>
      </c>
      <c r="AE122" s="77">
        <v>1739</v>
      </c>
      <c r="AF122" s="4">
        <v>6834</v>
      </c>
    </row>
    <row r="123" spans="1:32" ht="13.5" thickBot="1" x14ac:dyDescent="0.25">
      <c r="A123" s="2" t="s">
        <v>550</v>
      </c>
      <c r="B123" s="1" t="s">
        <v>549</v>
      </c>
      <c r="C123" s="2" t="s">
        <v>24</v>
      </c>
      <c r="D123" s="4">
        <v>2038</v>
      </c>
      <c r="E123" s="4">
        <v>1744</v>
      </c>
      <c r="F123" s="4">
        <v>654</v>
      </c>
      <c r="G123" s="4">
        <v>4436</v>
      </c>
      <c r="H123" s="100">
        <f>Table3[[#This Row],[Circulation of Children''s Materials]]/Table3[[#This Row],[Total Population Served]]</f>
        <v>0.45603043186395165</v>
      </c>
      <c r="I123" s="100">
        <f>Table3[[#This Row],[Circulation of Electronic Materials]]/Table3[[#This Row],[Total Population Served]]</f>
        <v>0.14634146341463414</v>
      </c>
      <c r="J123" s="100">
        <f t="shared" si="9"/>
        <v>0.99261579771761022</v>
      </c>
      <c r="K123" s="100">
        <f t="shared" si="10"/>
        <v>7.7147826086956526</v>
      </c>
      <c r="L123" s="102">
        <v>233</v>
      </c>
      <c r="M123" s="4">
        <v>887</v>
      </c>
      <c r="N123" s="4">
        <v>3782</v>
      </c>
      <c r="O123" s="4">
        <v>4669</v>
      </c>
      <c r="P123" s="4">
        <v>15684</v>
      </c>
      <c r="Q123" s="4">
        <v>15912</v>
      </c>
      <c r="R123" s="100">
        <f t="shared" si="11"/>
        <v>3.5605280823450438</v>
      </c>
      <c r="S123" s="77">
        <v>608</v>
      </c>
      <c r="T123" s="71">
        <f t="shared" si="15"/>
        <v>0.13604833296039381</v>
      </c>
      <c r="U123" s="77">
        <v>591</v>
      </c>
      <c r="V123" s="4">
        <v>821</v>
      </c>
      <c r="W123" s="4">
        <v>3098</v>
      </c>
      <c r="X123" s="77">
        <v>3197</v>
      </c>
      <c r="Y123" s="101">
        <f t="shared" si="12"/>
        <v>0.69321995972253303</v>
      </c>
      <c r="Z123" s="101">
        <f t="shared" si="13"/>
        <v>5.3878260869565215</v>
      </c>
      <c r="AA123" s="77">
        <v>521</v>
      </c>
      <c r="AB123" s="2" t="s">
        <v>872</v>
      </c>
      <c r="AC123" s="106">
        <v>521</v>
      </c>
      <c r="AD123" s="4">
        <v>31596</v>
      </c>
      <c r="AE123" s="4">
        <v>575</v>
      </c>
      <c r="AF123" s="4">
        <v>4469</v>
      </c>
    </row>
    <row r="124" spans="1:32" ht="13.5" thickBot="1" x14ac:dyDescent="0.25">
      <c r="A124" s="2" t="s">
        <v>558</v>
      </c>
      <c r="B124" s="1" t="s">
        <v>557</v>
      </c>
      <c r="C124" s="2" t="s">
        <v>24</v>
      </c>
      <c r="D124" s="77">
        <v>20218</v>
      </c>
      <c r="E124" s="77">
        <v>41719</v>
      </c>
      <c r="F124" s="77">
        <v>3436</v>
      </c>
      <c r="G124" s="77">
        <v>65373</v>
      </c>
      <c r="H124" s="100">
        <f>Table3[[#This Row],[Circulation of Children''s Materials]]/Table3[[#This Row],[Total Population Served]]</f>
        <v>3.2747003563330095</v>
      </c>
      <c r="I124" s="100">
        <f>Table3[[#This Row],[Circulation of Electronic Materials]]/Table3[[#This Row],[Total Population Served]]</f>
        <v>0.55652737285390341</v>
      </c>
      <c r="J124" s="100">
        <f t="shared" si="9"/>
        <v>10.588435374149659</v>
      </c>
      <c r="K124" s="100">
        <f t="shared" si="10"/>
        <v>27.794642857142858</v>
      </c>
      <c r="L124" s="102">
        <v>397</v>
      </c>
      <c r="M124" s="77">
        <v>3833</v>
      </c>
      <c r="N124" s="77">
        <v>61937</v>
      </c>
      <c r="O124" s="77">
        <v>65770</v>
      </c>
      <c r="P124" s="77">
        <v>30324</v>
      </c>
      <c r="Q124" s="77">
        <v>30</v>
      </c>
      <c r="R124" s="100">
        <f t="shared" si="11"/>
        <v>4.859086491739553E-3</v>
      </c>
      <c r="S124" s="77">
        <v>780</v>
      </c>
      <c r="T124" s="71">
        <f t="shared" si="15"/>
        <v>0.12633624878522837</v>
      </c>
      <c r="U124" s="77">
        <v>1948</v>
      </c>
      <c r="V124" s="77">
        <v>2935</v>
      </c>
      <c r="W124" s="77">
        <v>32201</v>
      </c>
      <c r="X124" s="77">
        <v>289</v>
      </c>
      <c r="Y124" s="101">
        <f t="shared" si="12"/>
        <v>5.2155814706835111</v>
      </c>
      <c r="Z124" s="101">
        <f t="shared" si="13"/>
        <v>13.690901360544217</v>
      </c>
      <c r="AA124" s="77">
        <v>2897</v>
      </c>
      <c r="AB124" s="2" t="s">
        <v>872</v>
      </c>
      <c r="AC124" s="106">
        <v>2080</v>
      </c>
      <c r="AD124" s="77">
        <v>30354</v>
      </c>
      <c r="AE124" s="77">
        <v>2352</v>
      </c>
      <c r="AF124" s="4">
        <v>6174</v>
      </c>
    </row>
    <row r="125" spans="1:32" ht="13.5" thickBot="1" x14ac:dyDescent="0.25">
      <c r="A125" s="2" t="s">
        <v>578</v>
      </c>
      <c r="B125" s="1" t="s">
        <v>577</v>
      </c>
      <c r="C125" s="2" t="s">
        <v>24</v>
      </c>
      <c r="D125" s="4">
        <v>9288</v>
      </c>
      <c r="E125" s="4">
        <v>17526</v>
      </c>
      <c r="F125" s="4">
        <v>1051</v>
      </c>
      <c r="G125" s="4">
        <v>27865</v>
      </c>
      <c r="H125" s="100">
        <f>Table3[[#This Row],[Circulation of Children''s Materials]]/Table3[[#This Row],[Total Population Served]]</f>
        <v>1.7508011310084826</v>
      </c>
      <c r="I125" s="100">
        <f>Table3[[#This Row],[Circulation of Electronic Materials]]/Table3[[#This Row],[Total Population Served]]</f>
        <v>0.19811498586239396</v>
      </c>
      <c r="J125" s="100">
        <f t="shared" si="9"/>
        <v>5.2525918944392087</v>
      </c>
      <c r="K125" s="100">
        <f t="shared" si="10"/>
        <v>6.4042748793380833</v>
      </c>
      <c r="L125" s="102">
        <v>0</v>
      </c>
      <c r="M125" s="4">
        <v>1051</v>
      </c>
      <c r="N125" s="4">
        <v>26814</v>
      </c>
      <c r="O125" s="4">
        <v>27865</v>
      </c>
      <c r="P125" s="4">
        <v>20185</v>
      </c>
      <c r="Q125" s="4">
        <v>10902</v>
      </c>
      <c r="R125" s="100">
        <f t="shared" si="11"/>
        <v>2.055042412818096</v>
      </c>
      <c r="S125" s="77">
        <v>3837</v>
      </c>
      <c r="T125" s="71">
        <f t="shared" si="15"/>
        <v>0.72327992459943447</v>
      </c>
      <c r="U125" s="77">
        <v>1024</v>
      </c>
      <c r="V125" s="4">
        <v>3445</v>
      </c>
      <c r="W125" s="4">
        <v>30321</v>
      </c>
      <c r="X125" s="77">
        <v>0</v>
      </c>
      <c r="Y125" s="101">
        <f t="shared" si="12"/>
        <v>5.7155513666352498</v>
      </c>
      <c r="Z125" s="101">
        <f t="shared" si="13"/>
        <v>6.9687428177430473</v>
      </c>
      <c r="AA125" s="77">
        <v>2819</v>
      </c>
      <c r="AB125" s="2" t="s">
        <v>872</v>
      </c>
      <c r="AC125" s="106">
        <v>1715</v>
      </c>
      <c r="AD125" s="4">
        <v>31087</v>
      </c>
      <c r="AE125" s="4">
        <v>4351</v>
      </c>
      <c r="AF125" s="4">
        <v>5305</v>
      </c>
    </row>
    <row r="126" spans="1:32" ht="13.5" thickBot="1" x14ac:dyDescent="0.25">
      <c r="A126" s="2" t="s">
        <v>584</v>
      </c>
      <c r="B126" s="1" t="s">
        <v>583</v>
      </c>
      <c r="C126" s="2" t="s">
        <v>24</v>
      </c>
      <c r="D126" s="4">
        <v>12100</v>
      </c>
      <c r="E126" s="4">
        <v>85400</v>
      </c>
      <c r="F126" s="4">
        <v>450</v>
      </c>
      <c r="G126" s="4">
        <v>97950</v>
      </c>
      <c r="H126" s="100">
        <f>Table3[[#This Row],[Circulation of Children''s Materials]]/Table3[[#This Row],[Total Population Served]]</f>
        <v>1.9082163696577827</v>
      </c>
      <c r="I126" s="100">
        <f>Table3[[#This Row],[Circulation of Electronic Materials]]/Table3[[#This Row],[Total Population Served]]</f>
        <v>7.0966724491405148E-2</v>
      </c>
      <c r="J126" s="100">
        <f t="shared" si="9"/>
        <v>15.447090364295853</v>
      </c>
      <c r="K126" s="100">
        <f t="shared" si="10"/>
        <v>28.598540145985403</v>
      </c>
      <c r="L126" s="102">
        <v>310</v>
      </c>
      <c r="M126" s="4">
        <v>760</v>
      </c>
      <c r="N126" s="4">
        <v>97500</v>
      </c>
      <c r="O126" s="4">
        <v>98260</v>
      </c>
      <c r="P126" s="4">
        <v>37623</v>
      </c>
      <c r="Q126" s="4">
        <v>215</v>
      </c>
      <c r="R126" s="100">
        <f t="shared" si="11"/>
        <v>3.3906323923671343E-2</v>
      </c>
      <c r="S126" s="4">
        <v>3350</v>
      </c>
      <c r="T126" s="71">
        <f t="shared" si="15"/>
        <v>0.52830783788046054</v>
      </c>
      <c r="U126" s="4">
        <v>620</v>
      </c>
      <c r="V126" s="4">
        <v>810</v>
      </c>
      <c r="W126" s="4">
        <v>55250</v>
      </c>
      <c r="X126" s="77">
        <v>2122</v>
      </c>
      <c r="Y126" s="101">
        <f t="shared" si="12"/>
        <v>8.7131367292225193</v>
      </c>
      <c r="Z126" s="101">
        <f t="shared" si="13"/>
        <v>16.131386861313867</v>
      </c>
      <c r="AA126" s="4">
        <v>13400</v>
      </c>
      <c r="AB126" s="2" t="s">
        <v>872</v>
      </c>
      <c r="AC126" s="106">
        <v>10500</v>
      </c>
      <c r="AD126" s="4">
        <v>37838</v>
      </c>
      <c r="AE126" s="4">
        <v>3425</v>
      </c>
      <c r="AF126" s="4">
        <v>6341</v>
      </c>
    </row>
    <row r="127" spans="1:32" ht="13.5" thickBot="1" x14ac:dyDescent="0.25">
      <c r="A127" s="2" t="s">
        <v>590</v>
      </c>
      <c r="B127" s="1" t="s">
        <v>589</v>
      </c>
      <c r="C127" s="2" t="s">
        <v>24</v>
      </c>
      <c r="D127" s="77">
        <v>15041</v>
      </c>
      <c r="E127" s="77">
        <v>17689</v>
      </c>
      <c r="F127" s="77">
        <v>0</v>
      </c>
      <c r="G127" s="77">
        <v>32730</v>
      </c>
      <c r="H127" s="100">
        <f>Table3[[#This Row],[Circulation of Children''s Materials]]/Table3[[#This Row],[Total Population Served]]</f>
        <v>2.7684520522731457</v>
      </c>
      <c r="I127" s="100">
        <f>Table3[[#This Row],[Circulation of Electronic Materials]]/Table3[[#This Row],[Total Population Served]]</f>
        <v>0</v>
      </c>
      <c r="J127" s="100">
        <f t="shared" si="9"/>
        <v>6.0242959690778575</v>
      </c>
      <c r="K127" s="100">
        <f t="shared" si="10"/>
        <v>0.5116460841019228</v>
      </c>
      <c r="L127" s="102">
        <v>0</v>
      </c>
      <c r="M127" s="77">
        <v>0</v>
      </c>
      <c r="N127" s="77">
        <v>32730</v>
      </c>
      <c r="O127" s="77">
        <v>32730</v>
      </c>
      <c r="P127" s="77">
        <v>23977</v>
      </c>
      <c r="Q127" s="77">
        <v>0</v>
      </c>
      <c r="R127" s="100">
        <f t="shared" si="11"/>
        <v>0</v>
      </c>
      <c r="S127" s="77">
        <v>3395</v>
      </c>
      <c r="T127" s="71">
        <f t="shared" si="15"/>
        <v>0.6248849622676238</v>
      </c>
      <c r="U127" s="77">
        <v>10216</v>
      </c>
      <c r="V127" s="77">
        <v>5121</v>
      </c>
      <c r="W127" s="77">
        <v>29983</v>
      </c>
      <c r="X127" s="77">
        <v>1197</v>
      </c>
      <c r="Y127" s="101">
        <f t="shared" si="12"/>
        <v>5.5186821277378977</v>
      </c>
      <c r="Z127" s="101">
        <f t="shared" si="13"/>
        <v>0.46870408003751757</v>
      </c>
      <c r="AA127" s="77">
        <v>400</v>
      </c>
      <c r="AB127" s="2" t="s">
        <v>872</v>
      </c>
      <c r="AC127" s="106">
        <v>4248</v>
      </c>
      <c r="AD127" s="77">
        <v>23977</v>
      </c>
      <c r="AE127" s="77">
        <v>63970</v>
      </c>
      <c r="AF127" s="4">
        <v>5433</v>
      </c>
    </row>
    <row r="128" spans="1:32" ht="13.5" thickBot="1" x14ac:dyDescent="0.25">
      <c r="A128" s="2" t="s">
        <v>602</v>
      </c>
      <c r="B128" s="1" t="s">
        <v>601</v>
      </c>
      <c r="C128" s="2" t="s">
        <v>24</v>
      </c>
      <c r="D128" s="4">
        <v>16143</v>
      </c>
      <c r="E128" s="4">
        <v>19401</v>
      </c>
      <c r="F128" s="4">
        <v>7044</v>
      </c>
      <c r="G128" s="4">
        <v>42588</v>
      </c>
      <c r="H128" s="100">
        <f>Table3[[#This Row],[Circulation of Children''s Materials]]/Table3[[#This Row],[Total Population Served]]</f>
        <v>2.4260595130748421</v>
      </c>
      <c r="I128" s="100">
        <f>Table3[[#This Row],[Circulation of Electronic Materials]]/Table3[[#This Row],[Total Population Served]]</f>
        <v>1.0586113615870154</v>
      </c>
      <c r="J128" s="100">
        <f t="shared" si="9"/>
        <v>6.4003606853020738</v>
      </c>
      <c r="K128" s="100">
        <f t="shared" si="10"/>
        <v>8.6914285714285722</v>
      </c>
      <c r="L128" s="102">
        <v>0</v>
      </c>
      <c r="M128" s="4">
        <v>7044</v>
      </c>
      <c r="N128" s="4">
        <v>35544</v>
      </c>
      <c r="O128" s="4">
        <v>42588</v>
      </c>
      <c r="P128" s="4">
        <v>35790</v>
      </c>
      <c r="Q128" s="4">
        <v>6212</v>
      </c>
      <c r="R128" s="100">
        <f t="shared" si="11"/>
        <v>0.93357379020138265</v>
      </c>
      <c r="S128" s="4">
        <v>2874</v>
      </c>
      <c r="T128" s="71">
        <f t="shared" si="15"/>
        <v>0.43192064923354373</v>
      </c>
      <c r="U128" s="4">
        <v>2526</v>
      </c>
      <c r="V128" s="4">
        <v>4144</v>
      </c>
      <c r="W128" s="4">
        <v>43531</v>
      </c>
      <c r="X128" s="77">
        <v>27238</v>
      </c>
      <c r="Y128" s="101">
        <f t="shared" si="12"/>
        <v>6.5420799519086268</v>
      </c>
      <c r="Z128" s="101">
        <f t="shared" si="13"/>
        <v>8.883877551020408</v>
      </c>
      <c r="AA128" s="4">
        <v>2024</v>
      </c>
      <c r="AB128" s="2" t="s">
        <v>872</v>
      </c>
      <c r="AC128" s="106">
        <v>265</v>
      </c>
      <c r="AD128" s="4">
        <v>42002</v>
      </c>
      <c r="AE128" s="4">
        <v>4900</v>
      </c>
      <c r="AF128" s="4">
        <v>6654</v>
      </c>
    </row>
    <row r="129" spans="1:32" ht="13.5" thickBot="1" x14ac:dyDescent="0.25">
      <c r="A129" s="2" t="s">
        <v>606</v>
      </c>
      <c r="B129" s="1" t="s">
        <v>605</v>
      </c>
      <c r="C129" s="2" t="s">
        <v>24</v>
      </c>
      <c r="D129" s="4">
        <v>1290</v>
      </c>
      <c r="E129" s="4">
        <v>5856</v>
      </c>
      <c r="F129" s="4">
        <v>887</v>
      </c>
      <c r="G129" s="4">
        <v>8033</v>
      </c>
      <c r="H129" s="100">
        <f>Table3[[#This Row],[Circulation of Children''s Materials]]/Table3[[#This Row],[Total Population Served]]</f>
        <v>0.31425091352009743</v>
      </c>
      <c r="I129" s="100">
        <f>Table3[[#This Row],[Circulation of Electronic Materials]]/Table3[[#This Row],[Total Population Served]]</f>
        <v>0.21607795371498173</v>
      </c>
      <c r="J129" s="100">
        <f t="shared" si="9"/>
        <v>1.9568818514007309</v>
      </c>
      <c r="K129" s="100">
        <f t="shared" si="10"/>
        <v>2.5284859930752281</v>
      </c>
      <c r="L129" s="102">
        <v>887</v>
      </c>
      <c r="M129" s="4">
        <v>1774</v>
      </c>
      <c r="N129" s="4">
        <v>7146</v>
      </c>
      <c r="O129" s="4">
        <v>8920</v>
      </c>
      <c r="P129" s="4">
        <v>20888</v>
      </c>
      <c r="Q129" s="4">
        <v>341</v>
      </c>
      <c r="R129" s="100">
        <f t="shared" si="11"/>
        <v>8.3069427527405607E-2</v>
      </c>
      <c r="S129" s="77">
        <v>1628</v>
      </c>
      <c r="T129" s="71">
        <f t="shared" si="15"/>
        <v>0.39658952496954936</v>
      </c>
      <c r="U129" s="77">
        <v>334</v>
      </c>
      <c r="V129" s="4">
        <v>606</v>
      </c>
      <c r="W129" s="4">
        <v>3383</v>
      </c>
      <c r="X129" s="77">
        <v>0</v>
      </c>
      <c r="Y129" s="101">
        <f t="shared" si="12"/>
        <v>0.82411693057247259</v>
      </c>
      <c r="Z129" s="101">
        <f t="shared" si="13"/>
        <v>1.0648410450110166</v>
      </c>
      <c r="AA129" s="77">
        <v>647</v>
      </c>
      <c r="AB129" s="2" t="s">
        <v>872</v>
      </c>
      <c r="AC129" s="106">
        <v>150</v>
      </c>
      <c r="AD129" s="4">
        <v>21229</v>
      </c>
      <c r="AE129" s="4">
        <v>3177</v>
      </c>
      <c r="AF129" s="4">
        <v>4105</v>
      </c>
    </row>
    <row r="130" spans="1:32" ht="13.5" thickBot="1" x14ac:dyDescent="0.25">
      <c r="A130" s="2" t="s">
        <v>620</v>
      </c>
      <c r="B130" s="1" t="s">
        <v>619</v>
      </c>
      <c r="C130" s="2" t="s">
        <v>24</v>
      </c>
      <c r="D130" s="77">
        <v>7162</v>
      </c>
      <c r="E130" s="77">
        <v>8542</v>
      </c>
      <c r="F130" s="77">
        <v>2880</v>
      </c>
      <c r="G130" s="77">
        <v>18584</v>
      </c>
      <c r="H130" s="100">
        <f>Table3[[#This Row],[Circulation of Children''s Materials]]/Table3[[#This Row],[Total Population Served]]</f>
        <v>1.3231110290042489</v>
      </c>
      <c r="I130" s="100">
        <f>Table3[[#This Row],[Circulation of Electronic Materials]]/Table3[[#This Row],[Total Population Served]]</f>
        <v>0.5320524662848698</v>
      </c>
      <c r="J130" s="100">
        <f t="shared" si="9"/>
        <v>3.4332163310548678</v>
      </c>
      <c r="K130" s="100">
        <f t="shared" si="10"/>
        <v>7.1230356458413189</v>
      </c>
      <c r="L130" s="102">
        <v>11</v>
      </c>
      <c r="M130" s="77">
        <v>2891</v>
      </c>
      <c r="N130" s="77">
        <v>15704</v>
      </c>
      <c r="O130" s="77">
        <v>18595</v>
      </c>
      <c r="P130" s="77">
        <v>16482</v>
      </c>
      <c r="Q130" s="77">
        <v>14946</v>
      </c>
      <c r="R130" s="100">
        <f t="shared" si="11"/>
        <v>2.7611306114908554</v>
      </c>
      <c r="S130" s="77">
        <v>1480</v>
      </c>
      <c r="T130" s="71">
        <f t="shared" si="15"/>
        <v>0.27341585072972474</v>
      </c>
      <c r="U130" s="77">
        <v>1053</v>
      </c>
      <c r="V130" s="77">
        <v>1116</v>
      </c>
      <c r="W130" s="77">
        <v>9203</v>
      </c>
      <c r="X130" s="77">
        <v>1426</v>
      </c>
      <c r="Y130" s="101">
        <f t="shared" si="12"/>
        <v>1.700166266395714</v>
      </c>
      <c r="Z130" s="101">
        <f t="shared" si="13"/>
        <v>3.527405136067459</v>
      </c>
      <c r="AA130" s="77">
        <v>1385</v>
      </c>
      <c r="AB130" s="2" t="s">
        <v>872</v>
      </c>
      <c r="AC130" s="106">
        <v>193</v>
      </c>
      <c r="AD130" s="77">
        <v>31428</v>
      </c>
      <c r="AE130" s="77">
        <v>2609</v>
      </c>
      <c r="AF130" s="4">
        <v>5413</v>
      </c>
    </row>
    <row r="131" spans="1:32" ht="13.5" thickBot="1" x14ac:dyDescent="0.25">
      <c r="A131" s="2" t="s">
        <v>626</v>
      </c>
      <c r="B131" s="1" t="s">
        <v>625</v>
      </c>
      <c r="C131" s="2" t="s">
        <v>24</v>
      </c>
      <c r="D131" s="77">
        <v>5421</v>
      </c>
      <c r="E131" s="77">
        <v>10982</v>
      </c>
      <c r="F131" s="77">
        <v>2229</v>
      </c>
      <c r="G131" s="77">
        <v>18632</v>
      </c>
      <c r="H131" s="100">
        <f>Table3[[#This Row],[Circulation of Children''s Materials]]/Table3[[#This Row],[Total Population Served]]</f>
        <v>0.79173360595881404</v>
      </c>
      <c r="I131" s="100">
        <f>Table3[[#This Row],[Circulation of Electronic Materials]]/Table3[[#This Row],[Total Population Served]]</f>
        <v>0.3255440338834526</v>
      </c>
      <c r="J131" s="100">
        <f t="shared" si="9"/>
        <v>2.721191762815832</v>
      </c>
      <c r="K131" s="100">
        <f t="shared" si="10"/>
        <v>14.443410852713178</v>
      </c>
      <c r="L131" s="102">
        <v>250</v>
      </c>
      <c r="M131" s="77">
        <v>2479</v>
      </c>
      <c r="N131" s="77">
        <v>16403</v>
      </c>
      <c r="O131" s="77">
        <v>18882</v>
      </c>
      <c r="P131" s="77">
        <v>15919</v>
      </c>
      <c r="Q131" s="77">
        <v>15384</v>
      </c>
      <c r="R131" s="100">
        <f t="shared" si="11"/>
        <v>2.2468234263180955</v>
      </c>
      <c r="S131" s="77">
        <v>939</v>
      </c>
      <c r="T131" s="71">
        <f t="shared" si="15"/>
        <v>0.13714035343946254</v>
      </c>
      <c r="U131" s="77">
        <v>1710</v>
      </c>
      <c r="V131" s="77">
        <v>1699</v>
      </c>
      <c r="W131" s="77">
        <v>15111</v>
      </c>
      <c r="X131" s="77">
        <v>14452</v>
      </c>
      <c r="Y131" s="101">
        <f t="shared" si="12"/>
        <v>2.2069519497590186</v>
      </c>
      <c r="Z131" s="101">
        <f t="shared" si="13"/>
        <v>11.713953488372093</v>
      </c>
      <c r="AA131" s="77">
        <v>3431</v>
      </c>
      <c r="AB131" s="2" t="s">
        <v>872</v>
      </c>
      <c r="AC131" s="106">
        <v>940</v>
      </c>
      <c r="AD131" s="77">
        <v>31303</v>
      </c>
      <c r="AE131" s="77">
        <v>1290</v>
      </c>
      <c r="AF131" s="4">
        <v>6847</v>
      </c>
    </row>
    <row r="132" spans="1:32" ht="13.5" thickBot="1" x14ac:dyDescent="0.25">
      <c r="A132" s="2" t="s">
        <v>628</v>
      </c>
      <c r="B132" s="1" t="s">
        <v>627</v>
      </c>
      <c r="C132" s="2" t="s">
        <v>24</v>
      </c>
      <c r="D132" s="4">
        <v>13269</v>
      </c>
      <c r="E132" s="4">
        <v>15223</v>
      </c>
      <c r="F132" s="4">
        <v>1313</v>
      </c>
      <c r="G132" s="4">
        <v>29805</v>
      </c>
      <c r="H132" s="100">
        <f>Table3[[#This Row],[Circulation of Children''s Materials]]/Table3[[#This Row],[Total Population Served]]</f>
        <v>2.1264423076923076</v>
      </c>
      <c r="I132" s="100">
        <f>Table3[[#This Row],[Circulation of Electronic Materials]]/Table3[[#This Row],[Total Population Served]]</f>
        <v>0.21041666666666667</v>
      </c>
      <c r="J132" s="100">
        <f t="shared" ref="J132:J195" si="16">G132/AF132</f>
        <v>4.7764423076923075</v>
      </c>
      <c r="K132" s="100">
        <f t="shared" ref="K132:K195" si="17">G132/AE132</f>
        <v>14.9025</v>
      </c>
      <c r="L132" s="102">
        <v>0</v>
      </c>
      <c r="M132" s="4">
        <v>1313</v>
      </c>
      <c r="N132" s="4">
        <v>28492</v>
      </c>
      <c r="O132" s="4">
        <v>29805</v>
      </c>
      <c r="P132" s="4">
        <v>24906</v>
      </c>
      <c r="Q132" s="4">
        <v>9310</v>
      </c>
      <c r="R132" s="100">
        <f t="shared" ref="R132:R195" si="18">Q132/AF132</f>
        <v>1.4919871794871795</v>
      </c>
      <c r="S132" s="77">
        <v>1144</v>
      </c>
      <c r="T132" s="71">
        <f t="shared" si="15"/>
        <v>0.18333333333333332</v>
      </c>
      <c r="U132" s="4">
        <v>1185</v>
      </c>
      <c r="V132" s="4">
        <v>1340</v>
      </c>
      <c r="W132" s="4">
        <v>14924</v>
      </c>
      <c r="X132" s="77">
        <v>0</v>
      </c>
      <c r="Y132" s="101">
        <f t="shared" ref="Y132:Y195" si="19">W132/AF132</f>
        <v>2.3916666666666666</v>
      </c>
      <c r="Z132" s="101">
        <f t="shared" ref="Z132:Z195" si="20">W132/AE132</f>
        <v>7.4619999999999997</v>
      </c>
      <c r="AA132" s="4">
        <v>2090</v>
      </c>
      <c r="AB132" s="2" t="s">
        <v>872</v>
      </c>
      <c r="AC132" s="106">
        <v>1340</v>
      </c>
      <c r="AD132" s="4">
        <v>34216</v>
      </c>
      <c r="AE132" s="4">
        <v>2000</v>
      </c>
      <c r="AF132" s="4">
        <v>6240</v>
      </c>
    </row>
    <row r="133" spans="1:32" ht="13.5" thickBot="1" x14ac:dyDescent="0.25">
      <c r="A133" s="2" t="s">
        <v>634</v>
      </c>
      <c r="B133" s="1" t="s">
        <v>633</v>
      </c>
      <c r="C133" s="2" t="s">
        <v>24</v>
      </c>
      <c r="D133" s="4">
        <v>4758</v>
      </c>
      <c r="E133" s="4">
        <v>6105</v>
      </c>
      <c r="F133" s="4">
        <v>907</v>
      </c>
      <c r="G133" s="4">
        <v>11770</v>
      </c>
      <c r="H133" s="100">
        <f>Table3[[#This Row],[Circulation of Children''s Materials]]/Table3[[#This Row],[Total Population Served]]</f>
        <v>0.8850446428571429</v>
      </c>
      <c r="I133" s="100">
        <f>Table3[[#This Row],[Circulation of Electronic Materials]]/Table3[[#This Row],[Total Population Served]]</f>
        <v>0.16871279761904762</v>
      </c>
      <c r="J133" s="100">
        <f t="shared" si="16"/>
        <v>2.1893601190476191</v>
      </c>
      <c r="K133" s="100">
        <f t="shared" si="17"/>
        <v>24.520833333333332</v>
      </c>
      <c r="L133" s="102">
        <v>1451</v>
      </c>
      <c r="M133" s="4">
        <v>2358</v>
      </c>
      <c r="N133" s="4">
        <v>10863</v>
      </c>
      <c r="O133" s="4">
        <v>13221</v>
      </c>
      <c r="P133" s="4">
        <v>14009</v>
      </c>
      <c r="Q133" s="4">
        <v>17571</v>
      </c>
      <c r="R133" s="100">
        <f t="shared" si="18"/>
        <v>3.2684151785714284</v>
      </c>
      <c r="S133" s="4">
        <v>652</v>
      </c>
      <c r="T133" s="71">
        <f t="shared" si="15"/>
        <v>0.1212797619047619</v>
      </c>
      <c r="U133" s="4">
        <v>987</v>
      </c>
      <c r="V133" s="4">
        <v>1649</v>
      </c>
      <c r="W133" s="4">
        <v>10384</v>
      </c>
      <c r="X133" s="77">
        <v>5555</v>
      </c>
      <c r="Y133" s="101">
        <f t="shared" si="19"/>
        <v>1.9315476190476191</v>
      </c>
      <c r="Z133" s="101">
        <f t="shared" si="20"/>
        <v>21.633333333333333</v>
      </c>
      <c r="AA133" s="4">
        <v>2783</v>
      </c>
      <c r="AB133" s="2" t="s">
        <v>872</v>
      </c>
      <c r="AC133" s="106">
        <v>1870</v>
      </c>
      <c r="AD133" s="4">
        <v>31580</v>
      </c>
      <c r="AE133" s="4">
        <v>480</v>
      </c>
      <c r="AF133" s="4">
        <v>5376</v>
      </c>
    </row>
    <row r="134" spans="1:32" ht="13.5" thickBot="1" x14ac:dyDescent="0.25">
      <c r="A134" s="2" t="s">
        <v>640</v>
      </c>
      <c r="B134" s="1" t="s">
        <v>639</v>
      </c>
      <c r="C134" s="2" t="s">
        <v>24</v>
      </c>
      <c r="D134" s="4">
        <v>7283</v>
      </c>
      <c r="E134" s="4">
        <v>12444</v>
      </c>
      <c r="F134" s="4">
        <v>4674</v>
      </c>
      <c r="G134" s="4">
        <v>24401</v>
      </c>
      <c r="H134" s="100">
        <f>Table3[[#This Row],[Circulation of Children''s Materials]]/Table3[[#This Row],[Total Population Served]]</f>
        <v>1.3186673909107369</v>
      </c>
      <c r="I134" s="100">
        <f>Table3[[#This Row],[Circulation of Electronic Materials]]/Table3[[#This Row],[Total Population Served]]</f>
        <v>0.84627919608908198</v>
      </c>
      <c r="J134" s="100">
        <f t="shared" si="16"/>
        <v>4.418069889552779</v>
      </c>
      <c r="K134" s="100">
        <f t="shared" si="17"/>
        <v>10.893303571428572</v>
      </c>
      <c r="L134" s="103" t="s">
        <v>2632</v>
      </c>
      <c r="M134" s="4">
        <v>4674</v>
      </c>
      <c r="N134" s="4">
        <v>19727</v>
      </c>
      <c r="O134" s="4">
        <v>24401</v>
      </c>
      <c r="P134" s="4">
        <v>21316</v>
      </c>
      <c r="Q134" s="4">
        <v>9867</v>
      </c>
      <c r="R134" s="100">
        <f t="shared" si="18"/>
        <v>1.7865290602933188</v>
      </c>
      <c r="S134" s="105" t="s">
        <v>2632</v>
      </c>
      <c r="T134" s="110">
        <v>0</v>
      </c>
      <c r="U134" s="4">
        <v>1241</v>
      </c>
      <c r="V134" s="4">
        <v>1396</v>
      </c>
      <c r="W134" s="4">
        <v>8476</v>
      </c>
      <c r="X134" s="77">
        <v>862794</v>
      </c>
      <c r="Y134" s="101">
        <f t="shared" si="19"/>
        <v>1.5346731848632988</v>
      </c>
      <c r="Z134" s="101">
        <f t="shared" si="20"/>
        <v>3.7839285714285715</v>
      </c>
      <c r="AA134" s="4">
        <v>1558</v>
      </c>
      <c r="AB134" s="2" t="s">
        <v>872</v>
      </c>
      <c r="AC134" s="106">
        <v>412</v>
      </c>
      <c r="AD134" s="4">
        <v>31183</v>
      </c>
      <c r="AE134" s="4">
        <v>2240</v>
      </c>
      <c r="AF134" s="4">
        <v>5523</v>
      </c>
    </row>
    <row r="135" spans="1:32" ht="13.5" thickBot="1" x14ac:dyDescent="0.25">
      <c r="A135" s="2" t="s">
        <v>654</v>
      </c>
      <c r="B135" s="1" t="s">
        <v>653</v>
      </c>
      <c r="C135" s="2" t="s">
        <v>24</v>
      </c>
      <c r="D135" s="4">
        <v>6427</v>
      </c>
      <c r="E135" s="4">
        <v>9894</v>
      </c>
      <c r="F135" s="4">
        <v>2335</v>
      </c>
      <c r="G135" s="4">
        <v>18656</v>
      </c>
      <c r="H135" s="100">
        <f>Table3[[#This Row],[Circulation of Children''s Materials]]/Table3[[#This Row],[Total Population Served]]</f>
        <v>1.3794805752307362</v>
      </c>
      <c r="I135" s="100">
        <f>Table3[[#This Row],[Circulation of Electronic Materials]]/Table3[[#This Row],[Total Population Served]]</f>
        <v>0.50118051083923587</v>
      </c>
      <c r="J135" s="100">
        <f t="shared" si="16"/>
        <v>4.0042927666881303</v>
      </c>
      <c r="K135" s="100">
        <f t="shared" si="17"/>
        <v>5.83</v>
      </c>
      <c r="L135" s="102">
        <v>0</v>
      </c>
      <c r="M135" s="4">
        <v>2335</v>
      </c>
      <c r="N135" s="4">
        <v>16321</v>
      </c>
      <c r="O135" s="4">
        <v>18656</v>
      </c>
      <c r="P135" s="4">
        <v>23935</v>
      </c>
      <c r="Q135" s="4">
        <v>9587</v>
      </c>
      <c r="R135" s="100">
        <f t="shared" si="18"/>
        <v>2.057737711955355</v>
      </c>
      <c r="S135" s="4">
        <v>2250</v>
      </c>
      <c r="T135" s="71">
        <f t="shared" ref="T135:T166" si="21">S135/AF135</f>
        <v>0.48293625241468124</v>
      </c>
      <c r="U135" s="4">
        <v>3454</v>
      </c>
      <c r="V135" s="4">
        <v>3030</v>
      </c>
      <c r="W135" s="4">
        <v>25385</v>
      </c>
      <c r="X135" s="78" t="s">
        <v>16</v>
      </c>
      <c r="Y135" s="101">
        <f t="shared" si="19"/>
        <v>5.4485941189096376</v>
      </c>
      <c r="Z135" s="101">
        <f t="shared" si="20"/>
        <v>7.9328124999999998</v>
      </c>
      <c r="AA135" s="4">
        <v>2750</v>
      </c>
      <c r="AB135" s="2" t="s">
        <v>872</v>
      </c>
      <c r="AC135" s="106">
        <v>1860</v>
      </c>
      <c r="AD135" s="4">
        <v>33522</v>
      </c>
      <c r="AE135" s="4">
        <v>3200</v>
      </c>
      <c r="AF135" s="4">
        <v>4659</v>
      </c>
    </row>
    <row r="136" spans="1:32" ht="13.5" thickBot="1" x14ac:dyDescent="0.25">
      <c r="A136" s="2" t="s">
        <v>666</v>
      </c>
      <c r="B136" s="1" t="s">
        <v>665</v>
      </c>
      <c r="C136" s="2" t="s">
        <v>24</v>
      </c>
      <c r="D136" s="4">
        <v>12863</v>
      </c>
      <c r="E136" s="4">
        <v>44368</v>
      </c>
      <c r="F136" s="4">
        <v>2842</v>
      </c>
      <c r="G136" s="4">
        <v>60073</v>
      </c>
      <c r="H136" s="100">
        <f>Table3[[#This Row],[Circulation of Children''s Materials]]/Table3[[#This Row],[Total Population Served]]</f>
        <v>2.043367752184273</v>
      </c>
      <c r="I136" s="100">
        <f>Table3[[#This Row],[Circulation of Electronic Materials]]/Table3[[#This Row],[Total Population Served]]</f>
        <v>0.45146942017474184</v>
      </c>
      <c r="J136" s="100">
        <f t="shared" si="16"/>
        <v>9.5429706115965054</v>
      </c>
      <c r="K136" s="100">
        <f t="shared" si="17"/>
        <v>11.203468854904886</v>
      </c>
      <c r="L136" s="102">
        <v>4</v>
      </c>
      <c r="M136" s="4">
        <v>2846</v>
      </c>
      <c r="N136" s="4">
        <v>57231</v>
      </c>
      <c r="O136" s="4">
        <v>60077</v>
      </c>
      <c r="P136" s="4">
        <v>48428</v>
      </c>
      <c r="Q136" s="4">
        <v>11024</v>
      </c>
      <c r="R136" s="100">
        <f t="shared" si="18"/>
        <v>1.7512311358220811</v>
      </c>
      <c r="S136" s="4">
        <v>3600</v>
      </c>
      <c r="T136" s="71">
        <f t="shared" si="21"/>
        <v>0.5718824463860207</v>
      </c>
      <c r="U136" s="4">
        <v>4625</v>
      </c>
      <c r="V136" s="4">
        <v>4158</v>
      </c>
      <c r="W136" s="4">
        <v>51825</v>
      </c>
      <c r="X136" s="77">
        <v>1224</v>
      </c>
      <c r="Y136" s="101">
        <f t="shared" si="19"/>
        <v>8.232724384432089</v>
      </c>
      <c r="Z136" s="101">
        <f t="shared" si="20"/>
        <v>9.6652368519209251</v>
      </c>
      <c r="AA136" s="4">
        <v>7982</v>
      </c>
      <c r="AB136" s="2" t="s">
        <v>872</v>
      </c>
      <c r="AC136" s="106">
        <v>2371</v>
      </c>
      <c r="AD136" s="4">
        <v>59452</v>
      </c>
      <c r="AE136" s="4">
        <v>5362</v>
      </c>
      <c r="AF136" s="4">
        <v>6295</v>
      </c>
    </row>
    <row r="137" spans="1:32" ht="13.5" thickBot="1" x14ac:dyDescent="0.25">
      <c r="A137" s="2" t="s">
        <v>682</v>
      </c>
      <c r="B137" s="1" t="s">
        <v>681</v>
      </c>
      <c r="C137" s="2" t="s">
        <v>24</v>
      </c>
      <c r="D137" s="4">
        <v>1737</v>
      </c>
      <c r="E137" s="4">
        <v>11199</v>
      </c>
      <c r="F137" s="4">
        <v>1369</v>
      </c>
      <c r="G137" s="4">
        <v>14305</v>
      </c>
      <c r="H137" s="100">
        <f>Table3[[#This Row],[Circulation of Children''s Materials]]/Table3[[#This Row],[Total Population Served]]</f>
        <v>0.39174560216508797</v>
      </c>
      <c r="I137" s="100">
        <f>Table3[[#This Row],[Circulation of Electronic Materials]]/Table3[[#This Row],[Total Population Served]]</f>
        <v>0.30875056382498872</v>
      </c>
      <c r="J137" s="100">
        <f t="shared" si="16"/>
        <v>3.2262065854758681</v>
      </c>
      <c r="K137" s="100">
        <f t="shared" si="17"/>
        <v>7.4388975559022361</v>
      </c>
      <c r="L137" s="102">
        <v>214</v>
      </c>
      <c r="M137" s="4">
        <v>1583</v>
      </c>
      <c r="N137" s="4">
        <v>12936</v>
      </c>
      <c r="O137" s="4">
        <v>14519</v>
      </c>
      <c r="P137" s="4">
        <v>29382</v>
      </c>
      <c r="Q137" s="4">
        <v>11306</v>
      </c>
      <c r="R137" s="100">
        <f t="shared" si="18"/>
        <v>2.5498421290031574</v>
      </c>
      <c r="S137" s="4">
        <v>653</v>
      </c>
      <c r="T137" s="71">
        <f t="shared" si="21"/>
        <v>0.14727108705457825</v>
      </c>
      <c r="U137" s="4">
        <v>1231</v>
      </c>
      <c r="V137" s="4">
        <v>956</v>
      </c>
      <c r="W137" s="4">
        <v>18347</v>
      </c>
      <c r="X137" s="77">
        <v>12810</v>
      </c>
      <c r="Y137" s="101">
        <f t="shared" si="19"/>
        <v>4.1377988272440236</v>
      </c>
      <c r="Z137" s="101">
        <f t="shared" si="20"/>
        <v>9.540821632865315</v>
      </c>
      <c r="AA137" s="4">
        <v>5048</v>
      </c>
      <c r="AB137" s="2" t="s">
        <v>872</v>
      </c>
      <c r="AC137" s="106">
        <v>5673</v>
      </c>
      <c r="AD137" s="4">
        <v>40688</v>
      </c>
      <c r="AE137" s="4">
        <v>1923</v>
      </c>
      <c r="AF137" s="4">
        <v>4434</v>
      </c>
    </row>
    <row r="138" spans="1:32" ht="13.5" thickBot="1" x14ac:dyDescent="0.25">
      <c r="A138" s="2" t="s">
        <v>692</v>
      </c>
      <c r="B138" s="1" t="s">
        <v>691</v>
      </c>
      <c r="C138" s="2" t="s">
        <v>24</v>
      </c>
      <c r="D138" s="4">
        <v>20325</v>
      </c>
      <c r="E138" s="4">
        <v>53585</v>
      </c>
      <c r="F138" s="4">
        <v>1376</v>
      </c>
      <c r="G138" s="4">
        <v>75286</v>
      </c>
      <c r="H138" s="100">
        <f>Table3[[#This Row],[Circulation of Children''s Materials]]/Table3[[#This Row],[Total Population Served]]</f>
        <v>4.6457142857142859</v>
      </c>
      <c r="I138" s="100">
        <f>Table3[[#This Row],[Circulation of Electronic Materials]]/Table3[[#This Row],[Total Population Served]]</f>
        <v>0.31451428571428569</v>
      </c>
      <c r="J138" s="100">
        <f t="shared" si="16"/>
        <v>17.20822857142857</v>
      </c>
      <c r="K138" s="100">
        <f t="shared" si="17"/>
        <v>10.742865296803654</v>
      </c>
      <c r="L138" s="102">
        <v>35238</v>
      </c>
      <c r="M138" s="4">
        <v>36614</v>
      </c>
      <c r="N138" s="4">
        <v>73910</v>
      </c>
      <c r="O138" s="4">
        <v>110524</v>
      </c>
      <c r="P138" s="4">
        <v>62718</v>
      </c>
      <c r="Q138" s="4">
        <v>10469</v>
      </c>
      <c r="R138" s="100">
        <f t="shared" si="18"/>
        <v>2.3929142857142858</v>
      </c>
      <c r="S138" s="4">
        <v>1953</v>
      </c>
      <c r="T138" s="71">
        <f t="shared" si="21"/>
        <v>0.44640000000000002</v>
      </c>
      <c r="U138" s="4">
        <v>493</v>
      </c>
      <c r="V138" s="4">
        <v>668</v>
      </c>
      <c r="W138" s="4">
        <v>27781</v>
      </c>
      <c r="X138" s="77">
        <v>180546</v>
      </c>
      <c r="Y138" s="101">
        <f t="shared" si="19"/>
        <v>6.3499428571428576</v>
      </c>
      <c r="Z138" s="101">
        <f t="shared" si="20"/>
        <v>3.9641837899543377</v>
      </c>
      <c r="AA138" s="4">
        <v>3800</v>
      </c>
      <c r="AB138" s="2" t="s">
        <v>872</v>
      </c>
      <c r="AC138" s="106">
        <v>17857</v>
      </c>
      <c r="AD138" s="4">
        <v>73187</v>
      </c>
      <c r="AE138" s="4">
        <v>7008</v>
      </c>
      <c r="AF138" s="4">
        <v>4375</v>
      </c>
    </row>
    <row r="139" spans="1:32" ht="13.5" thickBot="1" x14ac:dyDescent="0.25">
      <c r="A139" s="2" t="s">
        <v>696</v>
      </c>
      <c r="B139" s="1" t="s">
        <v>695</v>
      </c>
      <c r="C139" s="2" t="s">
        <v>24</v>
      </c>
      <c r="D139" s="77">
        <v>19093</v>
      </c>
      <c r="E139" s="77">
        <v>30008</v>
      </c>
      <c r="F139" s="77">
        <v>7095</v>
      </c>
      <c r="G139" s="77">
        <v>56196</v>
      </c>
      <c r="H139" s="100">
        <f>Table3[[#This Row],[Circulation of Children''s Materials]]/Table3[[#This Row],[Total Population Served]]</f>
        <v>3.7429915702803371</v>
      </c>
      <c r="I139" s="100">
        <f>Table3[[#This Row],[Circulation of Electronic Materials]]/Table3[[#This Row],[Total Population Served]]</f>
        <v>1.3909037443638503</v>
      </c>
      <c r="J139" s="100">
        <f t="shared" si="16"/>
        <v>11.016663399333464</v>
      </c>
      <c r="K139" s="100">
        <f t="shared" si="17"/>
        <v>23.078439425051336</v>
      </c>
      <c r="L139" s="102">
        <v>9908</v>
      </c>
      <c r="M139" s="77">
        <v>17003</v>
      </c>
      <c r="N139" s="77">
        <v>49101</v>
      </c>
      <c r="O139" s="77">
        <v>66104</v>
      </c>
      <c r="P139" s="77">
        <v>24554</v>
      </c>
      <c r="Q139" s="77">
        <v>27232</v>
      </c>
      <c r="R139" s="100">
        <f t="shared" si="18"/>
        <v>5.3385610664575571</v>
      </c>
      <c r="S139" s="77">
        <v>3565</v>
      </c>
      <c r="T139" s="71">
        <f t="shared" si="21"/>
        <v>0.69888257204469717</v>
      </c>
      <c r="U139" s="77">
        <v>2129</v>
      </c>
      <c r="V139" s="77">
        <v>3343</v>
      </c>
      <c r="W139" s="77">
        <v>61161</v>
      </c>
      <c r="X139" s="77">
        <v>35995</v>
      </c>
      <c r="Y139" s="101">
        <f t="shared" si="19"/>
        <v>11.990001960399921</v>
      </c>
      <c r="Z139" s="101">
        <f t="shared" si="20"/>
        <v>25.117453798767968</v>
      </c>
      <c r="AA139" s="77">
        <v>9545</v>
      </c>
      <c r="AB139" s="2" t="s">
        <v>872</v>
      </c>
      <c r="AC139" s="106">
        <v>16038</v>
      </c>
      <c r="AD139" s="77">
        <v>51786</v>
      </c>
      <c r="AE139" s="77">
        <v>2435</v>
      </c>
      <c r="AF139" s="4">
        <v>5101</v>
      </c>
    </row>
    <row r="140" spans="1:32" ht="13.5" thickBot="1" x14ac:dyDescent="0.25">
      <c r="A140" s="2" t="s">
        <v>702</v>
      </c>
      <c r="B140" s="1" t="s">
        <v>701</v>
      </c>
      <c r="C140" s="2" t="s">
        <v>24</v>
      </c>
      <c r="D140" s="77">
        <v>6722</v>
      </c>
      <c r="E140" s="77">
        <v>11729</v>
      </c>
      <c r="F140" s="77">
        <v>1143</v>
      </c>
      <c r="G140" s="77">
        <v>19594</v>
      </c>
      <c r="H140" s="100">
        <f>Table3[[#This Row],[Circulation of Children''s Materials]]/Table3[[#This Row],[Total Population Served]]</f>
        <v>1.6646854878652799</v>
      </c>
      <c r="I140" s="100">
        <f>Table3[[#This Row],[Circulation of Electronic Materials]]/Table3[[#This Row],[Total Population Served]]</f>
        <v>0.28306092124814264</v>
      </c>
      <c r="J140" s="100">
        <f t="shared" si="16"/>
        <v>4.8524021792966812</v>
      </c>
      <c r="K140" s="100">
        <f t="shared" si="17"/>
        <v>11.235091743119266</v>
      </c>
      <c r="L140" s="102">
        <v>0</v>
      </c>
      <c r="M140" s="77">
        <v>1143</v>
      </c>
      <c r="N140" s="77">
        <v>18451</v>
      </c>
      <c r="O140" s="77">
        <v>19594</v>
      </c>
      <c r="P140" s="77">
        <v>25383</v>
      </c>
      <c r="Q140" s="77">
        <v>4486</v>
      </c>
      <c r="R140" s="100">
        <f t="shared" si="18"/>
        <v>1.1109460128776623</v>
      </c>
      <c r="S140" s="77">
        <v>1800</v>
      </c>
      <c r="T140" s="71">
        <f t="shared" si="21"/>
        <v>0.44576523031203569</v>
      </c>
      <c r="U140" s="77">
        <v>2614</v>
      </c>
      <c r="V140" s="77">
        <v>3302</v>
      </c>
      <c r="W140" s="77">
        <v>25000</v>
      </c>
      <c r="X140" s="77">
        <v>525</v>
      </c>
      <c r="Y140" s="101">
        <f t="shared" si="19"/>
        <v>6.1911837543338288</v>
      </c>
      <c r="Z140" s="101">
        <f t="shared" si="20"/>
        <v>14.334862385321101</v>
      </c>
      <c r="AA140" s="77">
        <v>1362</v>
      </c>
      <c r="AB140" s="2" t="s">
        <v>872</v>
      </c>
      <c r="AC140" s="106">
        <v>1825</v>
      </c>
      <c r="AD140" s="77">
        <v>29869</v>
      </c>
      <c r="AE140" s="77">
        <v>1744</v>
      </c>
      <c r="AF140" s="4">
        <v>4038</v>
      </c>
    </row>
    <row r="141" spans="1:32" ht="13.5" thickBot="1" x14ac:dyDescent="0.25">
      <c r="A141" s="2" t="s">
        <v>710</v>
      </c>
      <c r="B141" s="1" t="s">
        <v>709</v>
      </c>
      <c r="C141" s="2" t="s">
        <v>24</v>
      </c>
      <c r="D141" s="77">
        <v>4419</v>
      </c>
      <c r="E141" s="77">
        <v>9792</v>
      </c>
      <c r="F141" s="77">
        <v>1552</v>
      </c>
      <c r="G141" s="77">
        <v>15763</v>
      </c>
      <c r="H141" s="100">
        <f>Table3[[#This Row],[Circulation of Children''s Materials]]/Table3[[#This Row],[Total Population Served]]</f>
        <v>0.78420585625554573</v>
      </c>
      <c r="I141" s="100">
        <f>Table3[[#This Row],[Circulation of Electronic Materials]]/Table3[[#This Row],[Total Population Served]]</f>
        <v>0.27542147293700087</v>
      </c>
      <c r="J141" s="100">
        <f t="shared" si="16"/>
        <v>2.7973380656610471</v>
      </c>
      <c r="K141" s="100">
        <f t="shared" si="17"/>
        <v>9.9200755191944623</v>
      </c>
      <c r="L141" s="102">
        <v>0</v>
      </c>
      <c r="M141" s="77">
        <v>1552</v>
      </c>
      <c r="N141" s="77">
        <v>14211</v>
      </c>
      <c r="O141" s="77">
        <v>15763</v>
      </c>
      <c r="P141" s="77">
        <v>16080</v>
      </c>
      <c r="Q141" s="77">
        <v>10678</v>
      </c>
      <c r="R141" s="100">
        <f t="shared" si="18"/>
        <v>1.8949423247559893</v>
      </c>
      <c r="S141" s="77">
        <v>2272</v>
      </c>
      <c r="T141" s="71">
        <f t="shared" si="21"/>
        <v>0.40319432120674359</v>
      </c>
      <c r="U141" s="77">
        <v>608</v>
      </c>
      <c r="V141" s="77">
        <v>1213</v>
      </c>
      <c r="W141" s="77">
        <v>9730</v>
      </c>
      <c r="X141" s="77">
        <v>1300</v>
      </c>
      <c r="Y141" s="101">
        <f t="shared" si="19"/>
        <v>1.7267080745341614</v>
      </c>
      <c r="Z141" s="101">
        <f t="shared" si="20"/>
        <v>6.1233480176211454</v>
      </c>
      <c r="AA141" s="77">
        <v>2104</v>
      </c>
      <c r="AB141" s="2" t="s">
        <v>872</v>
      </c>
      <c r="AC141" s="106">
        <v>2941</v>
      </c>
      <c r="AD141" s="77">
        <v>26758</v>
      </c>
      <c r="AE141" s="77">
        <v>1589</v>
      </c>
      <c r="AF141" s="4">
        <v>5635</v>
      </c>
    </row>
    <row r="142" spans="1:32" ht="13.5" thickBot="1" x14ac:dyDescent="0.25">
      <c r="A142" s="2" t="s">
        <v>732</v>
      </c>
      <c r="B142" s="1" t="s">
        <v>731</v>
      </c>
      <c r="C142" s="2" t="s">
        <v>24</v>
      </c>
      <c r="D142" s="77">
        <v>4680</v>
      </c>
      <c r="E142" s="77">
        <v>9184</v>
      </c>
      <c r="F142" s="77">
        <v>745</v>
      </c>
      <c r="G142" s="77">
        <v>14609</v>
      </c>
      <c r="H142" s="100">
        <f>Table3[[#This Row],[Circulation of Children''s Materials]]/Table3[[#This Row],[Total Population Served]]</f>
        <v>1.1566979733069698</v>
      </c>
      <c r="I142" s="100">
        <f>Table3[[#This Row],[Circulation of Electronic Materials]]/Table3[[#This Row],[Total Population Served]]</f>
        <v>0.18413247652001977</v>
      </c>
      <c r="J142" s="100">
        <f t="shared" si="16"/>
        <v>3.6107266435986158</v>
      </c>
      <c r="K142" s="100">
        <f t="shared" si="17"/>
        <v>7.3969620253164559</v>
      </c>
      <c r="L142" s="102">
        <v>143</v>
      </c>
      <c r="M142" s="77">
        <v>888</v>
      </c>
      <c r="N142" s="77">
        <v>13864</v>
      </c>
      <c r="O142" s="77">
        <v>14752</v>
      </c>
      <c r="P142" s="77">
        <v>22926</v>
      </c>
      <c r="Q142" s="77">
        <v>17571</v>
      </c>
      <c r="R142" s="100">
        <f t="shared" si="18"/>
        <v>4.3428077113198222</v>
      </c>
      <c r="S142" s="77">
        <v>1360</v>
      </c>
      <c r="T142" s="71">
        <f t="shared" si="21"/>
        <v>0.33613445378151263</v>
      </c>
      <c r="U142" s="77">
        <v>1028</v>
      </c>
      <c r="V142" s="77">
        <v>1497</v>
      </c>
      <c r="W142" s="77">
        <v>16035</v>
      </c>
      <c r="X142" s="77">
        <v>4660</v>
      </c>
      <c r="Y142" s="101">
        <f t="shared" si="19"/>
        <v>3.9631735046959959</v>
      </c>
      <c r="Z142" s="101">
        <f t="shared" si="20"/>
        <v>8.1189873417721525</v>
      </c>
      <c r="AA142" s="77">
        <v>2689</v>
      </c>
      <c r="AB142" s="2" t="s">
        <v>872</v>
      </c>
      <c r="AC142" s="106">
        <v>2220</v>
      </c>
      <c r="AD142" s="77">
        <v>40497</v>
      </c>
      <c r="AE142" s="77">
        <v>1975</v>
      </c>
      <c r="AF142" s="4">
        <v>4046</v>
      </c>
    </row>
    <row r="143" spans="1:32" ht="13.5" thickBot="1" x14ac:dyDescent="0.25">
      <c r="A143" s="2" t="s">
        <v>744</v>
      </c>
      <c r="B143" s="1" t="s">
        <v>743</v>
      </c>
      <c r="C143" s="2" t="s">
        <v>24</v>
      </c>
      <c r="D143" s="77">
        <v>5921</v>
      </c>
      <c r="E143" s="77">
        <v>17896</v>
      </c>
      <c r="F143" s="77">
        <v>1685</v>
      </c>
      <c r="G143" s="77">
        <v>25502</v>
      </c>
      <c r="H143" s="100">
        <f>Table3[[#This Row],[Circulation of Children''s Materials]]/Table3[[#This Row],[Total Population Served]]</f>
        <v>1.0806716554115714</v>
      </c>
      <c r="I143" s="100">
        <f>Table3[[#This Row],[Circulation of Electronic Materials]]/Table3[[#This Row],[Total Population Served]]</f>
        <v>0.30753787187442966</v>
      </c>
      <c r="J143" s="100">
        <f t="shared" si="16"/>
        <v>4.6544989961671837</v>
      </c>
      <c r="K143" s="100">
        <f t="shared" si="17"/>
        <v>5.6060672675313254</v>
      </c>
      <c r="L143" s="103" t="s">
        <v>2632</v>
      </c>
      <c r="M143" s="77">
        <v>1685</v>
      </c>
      <c r="N143" s="77">
        <v>23817</v>
      </c>
      <c r="O143" s="77">
        <v>25502</v>
      </c>
      <c r="P143" s="77">
        <v>23061</v>
      </c>
      <c r="Q143" s="77">
        <v>34432</v>
      </c>
      <c r="R143" s="100">
        <f t="shared" si="18"/>
        <v>6.2843584595729149</v>
      </c>
      <c r="S143" s="77">
        <v>6250</v>
      </c>
      <c r="T143" s="71">
        <f t="shared" si="21"/>
        <v>1.1407191093265194</v>
      </c>
      <c r="U143" s="77">
        <v>1307</v>
      </c>
      <c r="V143" s="77">
        <v>1286</v>
      </c>
      <c r="W143" s="77">
        <v>21902</v>
      </c>
      <c r="X143" s="77">
        <v>10801</v>
      </c>
      <c r="Y143" s="101">
        <f t="shared" si="19"/>
        <v>3.9974447891951086</v>
      </c>
      <c r="Z143" s="101">
        <f t="shared" si="20"/>
        <v>4.8146845460540781</v>
      </c>
      <c r="AA143" s="77">
        <v>10801</v>
      </c>
      <c r="AB143" s="2" t="s">
        <v>872</v>
      </c>
      <c r="AC143" s="106">
        <v>3934</v>
      </c>
      <c r="AD143" s="77">
        <v>57493</v>
      </c>
      <c r="AE143" s="77">
        <v>4549</v>
      </c>
      <c r="AF143" s="4">
        <v>5479</v>
      </c>
    </row>
    <row r="144" spans="1:32" ht="13.5" thickBot="1" x14ac:dyDescent="0.25">
      <c r="A144" s="2" t="s">
        <v>753</v>
      </c>
      <c r="B144" s="1" t="s">
        <v>752</v>
      </c>
      <c r="C144" s="2" t="s">
        <v>24</v>
      </c>
      <c r="D144" s="4">
        <v>1868</v>
      </c>
      <c r="E144" s="4">
        <v>2966</v>
      </c>
      <c r="F144" s="4">
        <v>0</v>
      </c>
      <c r="G144" s="4">
        <v>4834</v>
      </c>
      <c r="H144" s="100">
        <f>Table3[[#This Row],[Circulation of Children''s Materials]]/Table3[[#This Row],[Total Population Served]]</f>
        <v>0.27964071856287426</v>
      </c>
      <c r="I144" s="100">
        <f>Table3[[#This Row],[Circulation of Electronic Materials]]/Table3[[#This Row],[Total Population Served]]</f>
        <v>0</v>
      </c>
      <c r="J144" s="100">
        <f t="shared" si="16"/>
        <v>0.72365269461077841</v>
      </c>
      <c r="K144" s="100">
        <f t="shared" si="17"/>
        <v>1.0463203463203463</v>
      </c>
      <c r="L144" s="103" t="s">
        <v>2632</v>
      </c>
      <c r="M144" s="4">
        <v>0</v>
      </c>
      <c r="N144" s="4">
        <v>4834</v>
      </c>
      <c r="O144" s="4">
        <v>4834</v>
      </c>
      <c r="P144" s="4">
        <v>20628</v>
      </c>
      <c r="Q144" s="4">
        <v>0</v>
      </c>
      <c r="R144" s="100">
        <f t="shared" si="18"/>
        <v>0</v>
      </c>
      <c r="S144" s="4">
        <v>1650</v>
      </c>
      <c r="T144" s="71">
        <f t="shared" si="21"/>
        <v>0.2470059880239521</v>
      </c>
      <c r="U144" s="4">
        <v>903</v>
      </c>
      <c r="V144" s="4">
        <v>657</v>
      </c>
      <c r="W144" s="4">
        <v>4685</v>
      </c>
      <c r="X144" s="77">
        <v>70</v>
      </c>
      <c r="Y144" s="101">
        <f t="shared" si="19"/>
        <v>0.70134730538922152</v>
      </c>
      <c r="Z144" s="101">
        <f t="shared" si="20"/>
        <v>1.0140692640692641</v>
      </c>
      <c r="AA144" s="4">
        <v>784</v>
      </c>
      <c r="AB144" s="2" t="s">
        <v>872</v>
      </c>
      <c r="AC144" s="106">
        <v>150</v>
      </c>
      <c r="AD144" s="4">
        <v>20628</v>
      </c>
      <c r="AE144" s="4">
        <v>4620</v>
      </c>
      <c r="AF144" s="4">
        <v>6680</v>
      </c>
    </row>
    <row r="145" spans="1:32" ht="13.5" thickBot="1" x14ac:dyDescent="0.25">
      <c r="A145" s="2" t="s">
        <v>761</v>
      </c>
      <c r="B145" s="1" t="s">
        <v>760</v>
      </c>
      <c r="C145" s="2" t="s">
        <v>24</v>
      </c>
      <c r="D145" s="77">
        <v>9219</v>
      </c>
      <c r="E145" s="77">
        <v>16390</v>
      </c>
      <c r="F145" s="77">
        <v>1656</v>
      </c>
      <c r="G145" s="77">
        <v>27265</v>
      </c>
      <c r="H145" s="100">
        <f>Table3[[#This Row],[Circulation of Children''s Materials]]/Table3[[#This Row],[Total Population Served]]</f>
        <v>1.5280954748881153</v>
      </c>
      <c r="I145" s="100">
        <f>Table3[[#This Row],[Circulation of Electronic Materials]]/Table3[[#This Row],[Total Population Served]]</f>
        <v>0.27449030333167579</v>
      </c>
      <c r="J145" s="100">
        <f t="shared" si="16"/>
        <v>4.5193104591413888</v>
      </c>
      <c r="K145" s="100">
        <f t="shared" si="17"/>
        <v>3.540909090909091</v>
      </c>
      <c r="L145" s="102">
        <v>0</v>
      </c>
      <c r="M145" s="77">
        <v>1656</v>
      </c>
      <c r="N145" s="77">
        <v>25609</v>
      </c>
      <c r="O145" s="77">
        <v>27265</v>
      </c>
      <c r="P145" s="77">
        <v>36601</v>
      </c>
      <c r="Q145" s="77">
        <v>17230</v>
      </c>
      <c r="R145" s="100">
        <f t="shared" si="18"/>
        <v>2.8559588927565058</v>
      </c>
      <c r="S145" s="77">
        <v>382</v>
      </c>
      <c r="T145" s="71">
        <f t="shared" si="21"/>
        <v>6.3318415382065313E-2</v>
      </c>
      <c r="U145" s="77">
        <v>1056</v>
      </c>
      <c r="V145" s="77">
        <v>1887</v>
      </c>
      <c r="W145" s="77">
        <v>22516</v>
      </c>
      <c r="X145" s="77">
        <v>646</v>
      </c>
      <c r="Y145" s="101">
        <f t="shared" si="19"/>
        <v>3.7321398972318911</v>
      </c>
      <c r="Z145" s="101">
        <f t="shared" si="20"/>
        <v>2.9241558441558442</v>
      </c>
      <c r="AA145" s="77">
        <v>4803</v>
      </c>
      <c r="AB145" s="2" t="s">
        <v>872</v>
      </c>
      <c r="AC145" s="106">
        <v>960</v>
      </c>
      <c r="AD145" s="77">
        <v>53831</v>
      </c>
      <c r="AE145" s="77">
        <v>7700</v>
      </c>
      <c r="AF145" s="4">
        <v>6033</v>
      </c>
    </row>
    <row r="146" spans="1:32" ht="13.5" thickBot="1" x14ac:dyDescent="0.25">
      <c r="A146" s="2" t="s">
        <v>769</v>
      </c>
      <c r="B146" s="1" t="s">
        <v>768</v>
      </c>
      <c r="C146" s="2" t="s">
        <v>24</v>
      </c>
      <c r="D146" s="4">
        <v>3282</v>
      </c>
      <c r="E146" s="4">
        <v>14258</v>
      </c>
      <c r="F146" s="4">
        <v>1829</v>
      </c>
      <c r="G146" s="4">
        <v>19369</v>
      </c>
      <c r="H146" s="100">
        <f>Table3[[#This Row],[Circulation of Children''s Materials]]/Table3[[#This Row],[Total Population Served]]</f>
        <v>0.71722027972027969</v>
      </c>
      <c r="I146" s="100">
        <f>Table3[[#This Row],[Circulation of Electronic Materials]]/Table3[[#This Row],[Total Population Served]]</f>
        <v>0.39969405594405594</v>
      </c>
      <c r="J146" s="100">
        <f t="shared" si="16"/>
        <v>4.2327360139860142</v>
      </c>
      <c r="K146" s="100">
        <f t="shared" si="17"/>
        <v>9.2277274892806105</v>
      </c>
      <c r="L146" s="103" t="s">
        <v>2632</v>
      </c>
      <c r="M146" s="4">
        <v>1829</v>
      </c>
      <c r="N146" s="4">
        <v>17540</v>
      </c>
      <c r="O146" s="4">
        <v>19369</v>
      </c>
      <c r="P146" s="4">
        <v>24709</v>
      </c>
      <c r="Q146" s="4">
        <v>17497</v>
      </c>
      <c r="R146" s="100">
        <f t="shared" si="18"/>
        <v>3.823645104895105</v>
      </c>
      <c r="S146" s="4">
        <v>1050</v>
      </c>
      <c r="T146" s="71">
        <f t="shared" si="21"/>
        <v>0.22945804195804195</v>
      </c>
      <c r="U146" s="4">
        <v>360</v>
      </c>
      <c r="V146" s="4">
        <v>453</v>
      </c>
      <c r="W146" s="4">
        <v>5044</v>
      </c>
      <c r="X146" s="77">
        <v>6614</v>
      </c>
      <c r="Y146" s="101">
        <f t="shared" si="19"/>
        <v>1.1022727272727273</v>
      </c>
      <c r="Z146" s="101">
        <f t="shared" si="20"/>
        <v>2.4030490709861838</v>
      </c>
      <c r="AA146" s="4">
        <v>4420</v>
      </c>
      <c r="AB146" s="2" t="s">
        <v>872</v>
      </c>
      <c r="AC146" s="106">
        <v>10920</v>
      </c>
      <c r="AD146" s="4">
        <v>42206</v>
      </c>
      <c r="AE146" s="4">
        <v>2099</v>
      </c>
      <c r="AF146" s="4">
        <v>4576</v>
      </c>
    </row>
    <row r="147" spans="1:32" ht="13.5" thickBot="1" x14ac:dyDescent="0.25">
      <c r="A147" s="2" t="s">
        <v>783</v>
      </c>
      <c r="B147" s="1" t="s">
        <v>782</v>
      </c>
      <c r="C147" s="2" t="s">
        <v>24</v>
      </c>
      <c r="D147" s="4">
        <v>8050</v>
      </c>
      <c r="E147" s="4">
        <v>21265</v>
      </c>
      <c r="F147" s="4">
        <v>1806</v>
      </c>
      <c r="G147" s="4">
        <v>31121</v>
      </c>
      <c r="H147" s="100">
        <f>Table3[[#This Row],[Circulation of Children''s Materials]]/Table3[[#This Row],[Total Population Served]]</f>
        <v>1.6922430103006096</v>
      </c>
      <c r="I147" s="100">
        <f>Table3[[#This Row],[Circulation of Electronic Materials]]/Table3[[#This Row],[Total Population Served]]</f>
        <v>0.37965104057178894</v>
      </c>
      <c r="J147" s="100">
        <f t="shared" si="16"/>
        <v>6.5421484128652514</v>
      </c>
      <c r="K147" s="100">
        <f t="shared" si="17"/>
        <v>15.813516260162602</v>
      </c>
      <c r="L147" s="102">
        <v>156</v>
      </c>
      <c r="M147" s="4">
        <v>1962</v>
      </c>
      <c r="N147" s="4">
        <v>29315</v>
      </c>
      <c r="O147" s="4">
        <v>31277</v>
      </c>
      <c r="P147" s="4">
        <v>23271</v>
      </c>
      <c r="Q147" s="4">
        <v>10901</v>
      </c>
      <c r="R147" s="100">
        <f t="shared" si="18"/>
        <v>2.2915703174269497</v>
      </c>
      <c r="S147" s="4">
        <v>2184</v>
      </c>
      <c r="T147" s="71">
        <f t="shared" si="21"/>
        <v>0.45911288627286106</v>
      </c>
      <c r="U147" s="4">
        <v>4590</v>
      </c>
      <c r="V147" s="4">
        <v>4192</v>
      </c>
      <c r="W147" s="4">
        <v>20483</v>
      </c>
      <c r="X147" s="77">
        <v>7346</v>
      </c>
      <c r="Y147" s="101">
        <f t="shared" si="19"/>
        <v>4.3058650409922219</v>
      </c>
      <c r="Z147" s="101">
        <f t="shared" si="20"/>
        <v>10.408028455284553</v>
      </c>
      <c r="AA147" s="4">
        <v>2156</v>
      </c>
      <c r="AB147" s="2" t="s">
        <v>872</v>
      </c>
      <c r="AC147" s="106">
        <v>4823</v>
      </c>
      <c r="AD147" s="4">
        <v>34172</v>
      </c>
      <c r="AE147" s="4">
        <v>1968</v>
      </c>
      <c r="AF147" s="4">
        <v>4757</v>
      </c>
    </row>
    <row r="148" spans="1:32" ht="13.5" thickBot="1" x14ac:dyDescent="0.25">
      <c r="A148" s="2" t="s">
        <v>789</v>
      </c>
      <c r="B148" s="1" t="s">
        <v>788</v>
      </c>
      <c r="C148" s="2" t="s">
        <v>24</v>
      </c>
      <c r="D148" s="77">
        <v>1092</v>
      </c>
      <c r="E148" s="77">
        <v>4951</v>
      </c>
      <c r="F148" s="77">
        <v>2225</v>
      </c>
      <c r="G148" s="77">
        <v>8268</v>
      </c>
      <c r="H148" s="100">
        <f>Table3[[#This Row],[Circulation of Children''s Materials]]/Table3[[#This Row],[Total Population Served]]</f>
        <v>0.23667100130039012</v>
      </c>
      <c r="I148" s="100">
        <f>Table3[[#This Row],[Circulation of Electronic Materials]]/Table3[[#This Row],[Total Population Served]]</f>
        <v>0.4822280017338535</v>
      </c>
      <c r="J148" s="100">
        <f t="shared" si="16"/>
        <v>1.7919375812743823</v>
      </c>
      <c r="K148" s="100">
        <f t="shared" si="17"/>
        <v>8.1058823529411761</v>
      </c>
      <c r="L148" s="102">
        <v>2225</v>
      </c>
      <c r="M148" s="77">
        <v>4450</v>
      </c>
      <c r="N148" s="77">
        <v>6043</v>
      </c>
      <c r="O148" s="77">
        <v>10493</v>
      </c>
      <c r="P148" s="77">
        <v>14606</v>
      </c>
      <c r="Q148" s="77">
        <v>12668</v>
      </c>
      <c r="R148" s="100">
        <f t="shared" si="18"/>
        <v>2.7455570004334633</v>
      </c>
      <c r="S148" s="77">
        <v>291</v>
      </c>
      <c r="T148" s="71">
        <f t="shared" si="21"/>
        <v>6.3068920676202858E-2</v>
      </c>
      <c r="U148" s="77">
        <v>424</v>
      </c>
      <c r="V148" s="77">
        <v>859</v>
      </c>
      <c r="W148" s="77">
        <v>2886</v>
      </c>
      <c r="X148" s="77">
        <v>7093</v>
      </c>
      <c r="Y148" s="101">
        <f t="shared" si="19"/>
        <v>0.6254876462938882</v>
      </c>
      <c r="Z148" s="101">
        <f t="shared" si="20"/>
        <v>2.8294117647058825</v>
      </c>
      <c r="AA148" s="77">
        <v>1251</v>
      </c>
      <c r="AB148" s="2" t="s">
        <v>872</v>
      </c>
      <c r="AC148" s="106">
        <v>821</v>
      </c>
      <c r="AD148" s="77">
        <v>27274</v>
      </c>
      <c r="AE148" s="77">
        <v>1020</v>
      </c>
      <c r="AF148" s="4">
        <v>4614</v>
      </c>
    </row>
    <row r="149" spans="1:32" ht="13.5" thickBot="1" x14ac:dyDescent="0.25">
      <c r="A149" s="2" t="s">
        <v>801</v>
      </c>
      <c r="B149" s="1" t="s">
        <v>800</v>
      </c>
      <c r="C149" s="2" t="s">
        <v>24</v>
      </c>
      <c r="D149" s="77">
        <v>17100</v>
      </c>
      <c r="E149" s="77">
        <v>25600</v>
      </c>
      <c r="F149" s="77">
        <v>3555</v>
      </c>
      <c r="G149" s="77">
        <v>46255</v>
      </c>
      <c r="H149" s="100">
        <f>Table3[[#This Row],[Circulation of Children''s Materials]]/Table3[[#This Row],[Total Population Served]]</f>
        <v>2.44320617231033</v>
      </c>
      <c r="I149" s="100">
        <f>Table3[[#This Row],[Circulation of Electronic Materials]]/Table3[[#This Row],[Total Population Served]]</f>
        <v>0.5079297042434634</v>
      </c>
      <c r="J149" s="100">
        <f t="shared" si="16"/>
        <v>6.608801257322475</v>
      </c>
      <c r="K149" s="100">
        <f t="shared" si="17"/>
        <v>19.549873203719358</v>
      </c>
      <c r="L149" s="102">
        <v>0</v>
      </c>
      <c r="M149" s="77">
        <v>3555</v>
      </c>
      <c r="N149" s="77">
        <v>42700</v>
      </c>
      <c r="O149" s="77">
        <v>46255</v>
      </c>
      <c r="P149" s="77">
        <v>24814</v>
      </c>
      <c r="Q149" s="77">
        <v>42903</v>
      </c>
      <c r="R149" s="100">
        <f t="shared" si="18"/>
        <v>6.1298756965280754</v>
      </c>
      <c r="S149" s="77">
        <v>939</v>
      </c>
      <c r="T149" s="71">
        <f t="shared" si="21"/>
        <v>0.13416202314616374</v>
      </c>
      <c r="U149" s="77">
        <v>10591</v>
      </c>
      <c r="V149" s="77">
        <v>10972</v>
      </c>
      <c r="W149" s="77">
        <v>35358</v>
      </c>
      <c r="X149" s="77">
        <v>112207</v>
      </c>
      <c r="Y149" s="101">
        <f t="shared" si="19"/>
        <v>5.0518645520788681</v>
      </c>
      <c r="Z149" s="101">
        <f t="shared" si="20"/>
        <v>14.944209636517328</v>
      </c>
      <c r="AA149" s="77">
        <v>13377</v>
      </c>
      <c r="AB149" s="2" t="s">
        <v>872</v>
      </c>
      <c r="AC149" s="106">
        <v>2051</v>
      </c>
      <c r="AD149" s="77">
        <v>67717</v>
      </c>
      <c r="AE149" s="77">
        <v>2366</v>
      </c>
      <c r="AF149" s="4">
        <v>6999</v>
      </c>
    </row>
    <row r="150" spans="1:32" ht="13.5" thickBot="1" x14ac:dyDescent="0.25">
      <c r="A150" s="2" t="s">
        <v>811</v>
      </c>
      <c r="B150" s="1" t="s">
        <v>810</v>
      </c>
      <c r="C150" s="2" t="s">
        <v>24</v>
      </c>
      <c r="D150" s="77">
        <v>13372</v>
      </c>
      <c r="E150" s="77">
        <v>22562</v>
      </c>
      <c r="F150" s="77">
        <v>1182</v>
      </c>
      <c r="G150" s="77">
        <v>37116</v>
      </c>
      <c r="H150" s="100">
        <f>Table3[[#This Row],[Circulation of Children''s Materials]]/Table3[[#This Row],[Total Population Served]]</f>
        <v>2.7645234649576182</v>
      </c>
      <c r="I150" s="100">
        <f>Table3[[#This Row],[Circulation of Electronic Materials]]/Table3[[#This Row],[Total Population Served]]</f>
        <v>0.24436634277444697</v>
      </c>
      <c r="J150" s="100">
        <f t="shared" si="16"/>
        <v>7.6733512507752737</v>
      </c>
      <c r="K150" s="100">
        <f t="shared" si="17"/>
        <v>5.1492785793562712</v>
      </c>
      <c r="L150" s="102">
        <v>0</v>
      </c>
      <c r="M150" s="77">
        <v>1182</v>
      </c>
      <c r="N150" s="77">
        <v>35934</v>
      </c>
      <c r="O150" s="77">
        <v>37116</v>
      </c>
      <c r="P150" s="77">
        <v>30262</v>
      </c>
      <c r="Q150" s="77">
        <v>17497</v>
      </c>
      <c r="R150" s="100">
        <f t="shared" si="18"/>
        <v>3.6173247880917923</v>
      </c>
      <c r="S150" s="77">
        <v>1560</v>
      </c>
      <c r="T150" s="71">
        <f t="shared" si="21"/>
        <v>0.3225139549307422</v>
      </c>
      <c r="U150" s="77">
        <v>612</v>
      </c>
      <c r="V150" s="77">
        <v>899</v>
      </c>
      <c r="W150" s="77">
        <v>35096</v>
      </c>
      <c r="X150" s="77">
        <v>2779</v>
      </c>
      <c r="Y150" s="101">
        <f t="shared" si="19"/>
        <v>7.2557370270829029</v>
      </c>
      <c r="Z150" s="101">
        <f t="shared" si="20"/>
        <v>4.8690344062153166</v>
      </c>
      <c r="AA150" s="77">
        <v>5217</v>
      </c>
      <c r="AB150" s="2" t="s">
        <v>872</v>
      </c>
      <c r="AC150" s="106">
        <v>5596</v>
      </c>
      <c r="AD150" s="77">
        <v>47759</v>
      </c>
      <c r="AE150" s="77">
        <v>7208</v>
      </c>
      <c r="AF150" s="4">
        <v>4837</v>
      </c>
    </row>
    <row r="151" spans="1:32" ht="13.5" thickBot="1" x14ac:dyDescent="0.25">
      <c r="A151" s="2" t="s">
        <v>829</v>
      </c>
      <c r="B151" s="1" t="s">
        <v>828</v>
      </c>
      <c r="C151" s="2" t="s">
        <v>24</v>
      </c>
      <c r="D151" s="77">
        <v>7163</v>
      </c>
      <c r="E151" s="77">
        <v>19570</v>
      </c>
      <c r="F151" s="77">
        <v>3739</v>
      </c>
      <c r="G151" s="77">
        <v>30472</v>
      </c>
      <c r="H151" s="100">
        <f>Table3[[#This Row],[Circulation of Children''s Materials]]/Table3[[#This Row],[Total Population Served]]</f>
        <v>1.3669847328244276</v>
      </c>
      <c r="I151" s="100">
        <f>Table3[[#This Row],[Circulation of Electronic Materials]]/Table3[[#This Row],[Total Population Served]]</f>
        <v>0.7135496183206107</v>
      </c>
      <c r="J151" s="100">
        <f t="shared" si="16"/>
        <v>5.8152671755725187</v>
      </c>
      <c r="K151" s="100">
        <f t="shared" si="17"/>
        <v>16.321371183717194</v>
      </c>
      <c r="L151" s="102">
        <v>0</v>
      </c>
      <c r="M151" s="77">
        <v>3739</v>
      </c>
      <c r="N151" s="77">
        <v>26733</v>
      </c>
      <c r="O151" s="77">
        <v>30472</v>
      </c>
      <c r="P151" s="77">
        <v>18000</v>
      </c>
      <c r="Q151" s="77">
        <v>18139</v>
      </c>
      <c r="R151" s="100">
        <f t="shared" si="18"/>
        <v>3.461641221374046</v>
      </c>
      <c r="S151" s="77">
        <v>2856</v>
      </c>
      <c r="T151" s="71">
        <f t="shared" si="21"/>
        <v>0.54503816793893134</v>
      </c>
      <c r="U151" s="77">
        <v>1307</v>
      </c>
      <c r="V151" s="77">
        <v>1363</v>
      </c>
      <c r="W151" s="77">
        <v>23853</v>
      </c>
      <c r="X151" s="77">
        <v>13725</v>
      </c>
      <c r="Y151" s="101">
        <f t="shared" si="19"/>
        <v>4.5520992366412214</v>
      </c>
      <c r="Z151" s="101">
        <f t="shared" si="20"/>
        <v>12.776111408677021</v>
      </c>
      <c r="AA151" s="77">
        <v>6436</v>
      </c>
      <c r="AB151" s="2" t="s">
        <v>872</v>
      </c>
      <c r="AC151" s="106">
        <v>2749</v>
      </c>
      <c r="AD151" s="77">
        <v>36139</v>
      </c>
      <c r="AE151" s="77">
        <v>1867</v>
      </c>
      <c r="AF151" s="4">
        <v>5240</v>
      </c>
    </row>
    <row r="152" spans="1:32" ht="13.5" thickBot="1" x14ac:dyDescent="0.25">
      <c r="A152" s="2" t="s">
        <v>31</v>
      </c>
      <c r="B152" s="1" t="s">
        <v>30</v>
      </c>
      <c r="C152" s="2" t="s">
        <v>32</v>
      </c>
      <c r="D152" s="77">
        <v>6446</v>
      </c>
      <c r="E152" s="77">
        <v>15252</v>
      </c>
      <c r="F152" s="77">
        <v>3533</v>
      </c>
      <c r="G152" s="77">
        <v>25231</v>
      </c>
      <c r="H152" s="100">
        <f>Table3[[#This Row],[Circulation of Children''s Materials]]/Table3[[#This Row],[Total Population Served]]</f>
        <v>0.86990553306342777</v>
      </c>
      <c r="I152" s="100">
        <f>Table3[[#This Row],[Circulation of Electronic Materials]]/Table3[[#This Row],[Total Population Served]]</f>
        <v>0.4767881241565452</v>
      </c>
      <c r="J152" s="100">
        <f t="shared" si="16"/>
        <v>3.4049932523616735</v>
      </c>
      <c r="K152" s="100">
        <f t="shared" si="17"/>
        <v>2.957219878105954</v>
      </c>
      <c r="L152" s="102">
        <v>3486</v>
      </c>
      <c r="M152" s="77">
        <v>7019</v>
      </c>
      <c r="N152" s="77">
        <v>21698</v>
      </c>
      <c r="O152" s="77">
        <v>28717</v>
      </c>
      <c r="P152" s="77">
        <v>33978</v>
      </c>
      <c r="Q152" s="77">
        <v>12447</v>
      </c>
      <c r="R152" s="100">
        <f t="shared" si="18"/>
        <v>1.679757085020243</v>
      </c>
      <c r="S152" s="77">
        <v>2016</v>
      </c>
      <c r="T152" s="71">
        <f t="shared" si="21"/>
        <v>0.27206477732793521</v>
      </c>
      <c r="U152" s="77">
        <v>1196</v>
      </c>
      <c r="V152" s="77">
        <v>1745</v>
      </c>
      <c r="W152" s="77">
        <v>24810</v>
      </c>
      <c r="X152" s="77">
        <v>16016</v>
      </c>
      <c r="Y152" s="101">
        <f t="shared" si="19"/>
        <v>3.3481781376518218</v>
      </c>
      <c r="Z152" s="101">
        <f t="shared" si="20"/>
        <v>2.9078762306610408</v>
      </c>
      <c r="AA152" s="77">
        <v>6320</v>
      </c>
      <c r="AB152" s="2" t="s">
        <v>872</v>
      </c>
      <c r="AC152" s="106">
        <v>32321</v>
      </c>
      <c r="AD152" s="77">
        <v>46425</v>
      </c>
      <c r="AE152" s="77">
        <v>8532</v>
      </c>
      <c r="AF152" s="4">
        <v>7410</v>
      </c>
    </row>
    <row r="153" spans="1:32" ht="13.5" thickBot="1" x14ac:dyDescent="0.25">
      <c r="A153" s="2" t="s">
        <v>34</v>
      </c>
      <c r="B153" s="1" t="s">
        <v>33</v>
      </c>
      <c r="C153" s="2" t="s">
        <v>32</v>
      </c>
      <c r="D153" s="4">
        <v>2965</v>
      </c>
      <c r="E153" s="4">
        <v>11574</v>
      </c>
      <c r="F153" s="4">
        <v>2869</v>
      </c>
      <c r="G153" s="4">
        <v>17408</v>
      </c>
      <c r="H153" s="100">
        <f>Table3[[#This Row],[Circulation of Children''s Materials]]/Table3[[#This Row],[Total Population Served]]</f>
        <v>0.25560344827586207</v>
      </c>
      <c r="I153" s="100">
        <f>Table3[[#This Row],[Circulation of Electronic Materials]]/Table3[[#This Row],[Total Population Served]]</f>
        <v>0.24732758620689654</v>
      </c>
      <c r="J153" s="100">
        <f t="shared" si="16"/>
        <v>1.5006896551724138</v>
      </c>
      <c r="K153" s="100">
        <f t="shared" si="17"/>
        <v>8.6306395637084776</v>
      </c>
      <c r="L153" s="102">
        <v>1299</v>
      </c>
      <c r="M153" s="4">
        <v>4168</v>
      </c>
      <c r="N153" s="4">
        <v>14539</v>
      </c>
      <c r="O153" s="4">
        <v>18707</v>
      </c>
      <c r="P153" s="4">
        <v>19194</v>
      </c>
      <c r="Q153" s="4">
        <v>12179</v>
      </c>
      <c r="R153" s="100">
        <f t="shared" si="18"/>
        <v>1.0499137931034483</v>
      </c>
      <c r="S153" s="4">
        <v>388</v>
      </c>
      <c r="T153" s="71">
        <f t="shared" si="21"/>
        <v>3.3448275862068964E-2</v>
      </c>
      <c r="U153" s="4">
        <v>2564</v>
      </c>
      <c r="V153" s="4">
        <v>2825</v>
      </c>
      <c r="W153" s="4">
        <v>16059</v>
      </c>
      <c r="X153" s="77">
        <v>8328</v>
      </c>
      <c r="Y153" s="101">
        <f t="shared" si="19"/>
        <v>1.3843965517241379</v>
      </c>
      <c r="Z153" s="101">
        <f t="shared" si="20"/>
        <v>7.9618244918195336</v>
      </c>
      <c r="AA153" s="4">
        <v>1864</v>
      </c>
      <c r="AB153" s="2" t="s">
        <v>872</v>
      </c>
      <c r="AC153" s="106">
        <v>698</v>
      </c>
      <c r="AD153" s="4">
        <v>31373</v>
      </c>
      <c r="AE153" s="4">
        <v>2017</v>
      </c>
      <c r="AF153" s="4">
        <v>11600</v>
      </c>
    </row>
    <row r="154" spans="1:32" ht="13.5" thickBot="1" x14ac:dyDescent="0.25">
      <c r="A154" s="2" t="s">
        <v>36</v>
      </c>
      <c r="B154" s="1" t="s">
        <v>35</v>
      </c>
      <c r="C154" s="2" t="s">
        <v>32</v>
      </c>
      <c r="D154" s="77">
        <v>14561</v>
      </c>
      <c r="E154" s="77">
        <v>40140</v>
      </c>
      <c r="F154" s="77">
        <v>4005</v>
      </c>
      <c r="G154" s="77">
        <v>58706</v>
      </c>
      <c r="H154" s="100">
        <f>Table3[[#This Row],[Circulation of Children''s Materials]]/Table3[[#This Row],[Total Population Served]]</f>
        <v>1.2586221799636961</v>
      </c>
      <c r="I154" s="100">
        <f>Table3[[#This Row],[Circulation of Electronic Materials]]/Table3[[#This Row],[Total Population Served]]</f>
        <v>0.34618376696343678</v>
      </c>
      <c r="J154" s="100">
        <f t="shared" si="16"/>
        <v>5.0744230270550608</v>
      </c>
      <c r="K154" s="100">
        <f t="shared" si="17"/>
        <v>20.936519258202569</v>
      </c>
      <c r="L154" s="102">
        <v>0</v>
      </c>
      <c r="M154" s="77">
        <v>4005</v>
      </c>
      <c r="N154" s="77">
        <v>54701</v>
      </c>
      <c r="O154" s="77">
        <v>58706</v>
      </c>
      <c r="P154" s="77">
        <v>35656</v>
      </c>
      <c r="Q154" s="77">
        <v>62599</v>
      </c>
      <c r="R154" s="100">
        <f t="shared" si="18"/>
        <v>5.410925749848734</v>
      </c>
      <c r="S154" s="77">
        <v>5980</v>
      </c>
      <c r="T154" s="71">
        <f t="shared" si="21"/>
        <v>0.51689860834990065</v>
      </c>
      <c r="U154" s="77">
        <v>4393</v>
      </c>
      <c r="V154" s="77">
        <v>2942</v>
      </c>
      <c r="W154" s="77">
        <v>58642</v>
      </c>
      <c r="X154" s="77">
        <v>28620</v>
      </c>
      <c r="Y154" s="101">
        <f t="shared" si="19"/>
        <v>5.0688910018151958</v>
      </c>
      <c r="Z154" s="101">
        <f t="shared" si="20"/>
        <v>20.913694721825962</v>
      </c>
      <c r="AA154" s="77">
        <v>15596</v>
      </c>
      <c r="AB154" s="2" t="s">
        <v>872</v>
      </c>
      <c r="AC154" s="106">
        <v>4103</v>
      </c>
      <c r="AD154" s="77">
        <v>98255</v>
      </c>
      <c r="AE154" s="77">
        <v>2804</v>
      </c>
      <c r="AF154" s="4">
        <v>11569</v>
      </c>
    </row>
    <row r="155" spans="1:32" ht="13.5" thickBot="1" x14ac:dyDescent="0.25">
      <c r="A155" s="2" t="s">
        <v>38</v>
      </c>
      <c r="B155" s="1" t="s">
        <v>37</v>
      </c>
      <c r="C155" s="2" t="s">
        <v>32</v>
      </c>
      <c r="D155" s="4">
        <v>9864</v>
      </c>
      <c r="E155" s="4">
        <v>46394</v>
      </c>
      <c r="F155" s="4">
        <v>4429</v>
      </c>
      <c r="G155" s="4">
        <v>60687</v>
      </c>
      <c r="H155" s="100">
        <f>Table3[[#This Row],[Circulation of Children''s Materials]]/Table3[[#This Row],[Total Population Served]]</f>
        <v>1.0162785905625387</v>
      </c>
      <c r="I155" s="100">
        <f>Table3[[#This Row],[Circulation of Electronic Materials]]/Table3[[#This Row],[Total Population Served]]</f>
        <v>0.45631568102204823</v>
      </c>
      <c r="J155" s="100">
        <f t="shared" si="16"/>
        <v>6.2525242118277351</v>
      </c>
      <c r="K155" s="100">
        <f t="shared" si="17"/>
        <v>19.126063662149384</v>
      </c>
      <c r="L155" s="103" t="s">
        <v>2632</v>
      </c>
      <c r="M155" s="4">
        <v>4429</v>
      </c>
      <c r="N155" s="4">
        <v>56258</v>
      </c>
      <c r="O155" s="4">
        <v>60687</v>
      </c>
      <c r="P155" s="4">
        <v>50677</v>
      </c>
      <c r="Q155" s="4">
        <v>14809</v>
      </c>
      <c r="R155" s="100">
        <f t="shared" si="18"/>
        <v>1.5257572635483205</v>
      </c>
      <c r="S155" s="4">
        <v>1256</v>
      </c>
      <c r="T155" s="71">
        <f t="shared" si="21"/>
        <v>0.12940449206676283</v>
      </c>
      <c r="U155" s="4">
        <v>9759</v>
      </c>
      <c r="V155" s="4">
        <v>9715</v>
      </c>
      <c r="W155" s="4">
        <v>52365</v>
      </c>
      <c r="X155" s="77">
        <v>21191</v>
      </c>
      <c r="Y155" s="101">
        <f t="shared" si="19"/>
        <v>5.3951164228312383</v>
      </c>
      <c r="Z155" s="101">
        <f t="shared" si="20"/>
        <v>16.50330917113142</v>
      </c>
      <c r="AA155" s="4">
        <v>7011</v>
      </c>
      <c r="AB155" s="2" t="s">
        <v>872</v>
      </c>
      <c r="AC155" s="106">
        <v>19152</v>
      </c>
      <c r="AD155" s="4">
        <v>65486</v>
      </c>
      <c r="AE155" s="4">
        <v>3173</v>
      </c>
      <c r="AF155" s="4">
        <v>9706</v>
      </c>
    </row>
    <row r="156" spans="1:32" ht="13.5" thickBot="1" x14ac:dyDescent="0.25">
      <c r="A156" s="2" t="s">
        <v>49</v>
      </c>
      <c r="B156" s="1" t="s">
        <v>48</v>
      </c>
      <c r="C156" s="2" t="s">
        <v>32</v>
      </c>
      <c r="D156" s="4">
        <v>22365</v>
      </c>
      <c r="E156" s="4">
        <v>25345</v>
      </c>
      <c r="F156" s="4">
        <v>0</v>
      </c>
      <c r="G156" s="4">
        <v>47710</v>
      </c>
      <c r="H156" s="100">
        <f>Table3[[#This Row],[Circulation of Children''s Materials]]/Table3[[#This Row],[Total Population Served]]</f>
        <v>1.8790959502604605</v>
      </c>
      <c r="I156" s="100">
        <f>Table3[[#This Row],[Circulation of Electronic Materials]]/Table3[[#This Row],[Total Population Served]]</f>
        <v>0</v>
      </c>
      <c r="J156" s="100">
        <f t="shared" si="16"/>
        <v>4.0085699882372712</v>
      </c>
      <c r="K156" s="100">
        <f t="shared" si="17"/>
        <v>2.8901138841773686</v>
      </c>
      <c r="L156" s="102">
        <v>4199</v>
      </c>
      <c r="M156" s="4">
        <v>4199</v>
      </c>
      <c r="N156" s="4">
        <v>47710</v>
      </c>
      <c r="O156" s="4">
        <v>51909</v>
      </c>
      <c r="P156" s="4">
        <v>90797</v>
      </c>
      <c r="Q156" s="4">
        <v>0</v>
      </c>
      <c r="R156" s="100">
        <f t="shared" si="18"/>
        <v>0</v>
      </c>
      <c r="S156" s="77">
        <v>17009</v>
      </c>
      <c r="T156" s="71">
        <f t="shared" si="21"/>
        <v>1.4290875483112082</v>
      </c>
      <c r="U156" s="77">
        <v>1823</v>
      </c>
      <c r="V156" s="4">
        <v>2036</v>
      </c>
      <c r="W156" s="4">
        <v>97376</v>
      </c>
      <c r="X156" s="77">
        <v>103000</v>
      </c>
      <c r="Y156" s="101">
        <f t="shared" si="19"/>
        <v>8.1814821038480936</v>
      </c>
      <c r="Z156" s="101">
        <f t="shared" si="20"/>
        <v>5.8987157741700997</v>
      </c>
      <c r="AA156" s="77">
        <v>15722</v>
      </c>
      <c r="AB156" s="2" t="s">
        <v>872</v>
      </c>
      <c r="AC156" s="106">
        <v>62400</v>
      </c>
      <c r="AD156" s="4">
        <v>90797</v>
      </c>
      <c r="AE156" s="4">
        <v>16508</v>
      </c>
      <c r="AF156" s="4">
        <v>11902</v>
      </c>
    </row>
    <row r="157" spans="1:32" ht="13.5" thickBot="1" x14ac:dyDescent="0.25">
      <c r="A157" s="2" t="s">
        <v>57</v>
      </c>
      <c r="B157" s="1" t="s">
        <v>56</v>
      </c>
      <c r="C157" s="2" t="s">
        <v>32</v>
      </c>
      <c r="D157" s="4">
        <v>12888</v>
      </c>
      <c r="E157" s="4">
        <v>13771</v>
      </c>
      <c r="F157" s="4">
        <v>3932</v>
      </c>
      <c r="G157" s="4">
        <v>30591</v>
      </c>
      <c r="H157" s="100">
        <f>Table3[[#This Row],[Circulation of Children''s Materials]]/Table3[[#This Row],[Total Population Served]]</f>
        <v>1.1716363636363636</v>
      </c>
      <c r="I157" s="100">
        <f>Table3[[#This Row],[Circulation of Electronic Materials]]/Table3[[#This Row],[Total Population Served]]</f>
        <v>0.35745454545454547</v>
      </c>
      <c r="J157" s="100">
        <f t="shared" si="16"/>
        <v>2.7810000000000001</v>
      </c>
      <c r="K157" s="100">
        <f t="shared" si="17"/>
        <v>11.144262295081967</v>
      </c>
      <c r="L157" s="102">
        <v>0</v>
      </c>
      <c r="M157" s="4">
        <v>3932</v>
      </c>
      <c r="N157" s="4">
        <v>26659</v>
      </c>
      <c r="O157" s="4">
        <v>30591</v>
      </c>
      <c r="P157" s="4">
        <v>68082</v>
      </c>
      <c r="Q157" s="4">
        <v>17736</v>
      </c>
      <c r="R157" s="100">
        <f t="shared" si="18"/>
        <v>1.6123636363636364</v>
      </c>
      <c r="S157" s="4">
        <v>1392</v>
      </c>
      <c r="T157" s="71">
        <f t="shared" si="21"/>
        <v>0.12654545454545454</v>
      </c>
      <c r="U157" s="4">
        <v>3262</v>
      </c>
      <c r="V157" s="4">
        <v>4282</v>
      </c>
      <c r="W157" s="4">
        <v>46477</v>
      </c>
      <c r="X157" s="77">
        <v>73139</v>
      </c>
      <c r="Y157" s="101">
        <f t="shared" si="19"/>
        <v>4.2251818181818184</v>
      </c>
      <c r="Z157" s="101">
        <f t="shared" si="20"/>
        <v>16.931511839708563</v>
      </c>
      <c r="AA157" s="4">
        <v>4668</v>
      </c>
      <c r="AB157" s="2" t="s">
        <v>872</v>
      </c>
      <c r="AC157" s="106">
        <v>8111</v>
      </c>
      <c r="AD157" s="4">
        <v>85818</v>
      </c>
      <c r="AE157" s="4">
        <v>2745</v>
      </c>
      <c r="AF157" s="4">
        <v>11000</v>
      </c>
    </row>
    <row r="158" spans="1:32" ht="13.5" thickBot="1" x14ac:dyDescent="0.25">
      <c r="A158" s="2" t="s">
        <v>74</v>
      </c>
      <c r="B158" s="1" t="s">
        <v>73</v>
      </c>
      <c r="C158" s="2" t="s">
        <v>32</v>
      </c>
      <c r="D158" s="77">
        <v>10119</v>
      </c>
      <c r="E158" s="77">
        <v>16269</v>
      </c>
      <c r="F158" s="77">
        <v>3698</v>
      </c>
      <c r="G158" s="77">
        <v>30086</v>
      </c>
      <c r="H158" s="100">
        <f>Table3[[#This Row],[Circulation of Children''s Materials]]/Table3[[#This Row],[Total Population Served]]</f>
        <v>1.4109035136642498</v>
      </c>
      <c r="I158" s="100">
        <f>Table3[[#This Row],[Circulation of Electronic Materials]]/Table3[[#This Row],[Total Population Served]]</f>
        <v>0.51561628555493588</v>
      </c>
      <c r="J158" s="100">
        <f t="shared" si="16"/>
        <v>4.1949247071946463</v>
      </c>
      <c r="K158" s="100">
        <f t="shared" si="17"/>
        <v>8.9862604540023892</v>
      </c>
      <c r="L158" s="102">
        <v>625</v>
      </c>
      <c r="M158" s="77">
        <v>4323</v>
      </c>
      <c r="N158" s="77">
        <v>26388</v>
      </c>
      <c r="O158" s="77">
        <v>30711</v>
      </c>
      <c r="P158" s="77">
        <v>23550</v>
      </c>
      <c r="Q158" s="77">
        <v>17552</v>
      </c>
      <c r="R158" s="100">
        <f t="shared" si="18"/>
        <v>2.4472950362520915</v>
      </c>
      <c r="S158" s="77">
        <v>1040</v>
      </c>
      <c r="T158" s="71">
        <f t="shared" si="21"/>
        <v>0.14500836586726157</v>
      </c>
      <c r="U158" s="77">
        <v>3006</v>
      </c>
      <c r="V158" s="77">
        <v>2996</v>
      </c>
      <c r="W158" s="77">
        <v>26361</v>
      </c>
      <c r="X158" s="78" t="s">
        <v>16</v>
      </c>
      <c r="Y158" s="101">
        <f t="shared" si="19"/>
        <v>3.6755437813720024</v>
      </c>
      <c r="Z158" s="101">
        <f t="shared" si="20"/>
        <v>7.873655913978495</v>
      </c>
      <c r="AA158" s="77">
        <v>2376</v>
      </c>
      <c r="AB158" s="2" t="s">
        <v>872</v>
      </c>
      <c r="AC158" s="106">
        <v>1188</v>
      </c>
      <c r="AD158" s="77">
        <v>41102</v>
      </c>
      <c r="AE158" s="77">
        <v>3348</v>
      </c>
      <c r="AF158" s="4">
        <v>7172</v>
      </c>
    </row>
    <row r="159" spans="1:32" ht="13.5" thickBot="1" x14ac:dyDescent="0.25">
      <c r="A159" s="2" t="s">
        <v>84</v>
      </c>
      <c r="B159" s="1" t="s">
        <v>83</v>
      </c>
      <c r="C159" s="2" t="s">
        <v>32</v>
      </c>
      <c r="D159" s="4">
        <v>3591</v>
      </c>
      <c r="E159" s="4">
        <v>2343</v>
      </c>
      <c r="F159" s="4">
        <v>0</v>
      </c>
      <c r="G159" s="4">
        <v>5934</v>
      </c>
      <c r="H159" s="100">
        <f>Table3[[#This Row],[Circulation of Children''s Materials]]/Table3[[#This Row],[Total Population Served]]</f>
        <v>0.30962234868080701</v>
      </c>
      <c r="I159" s="100">
        <f>Table3[[#This Row],[Circulation of Electronic Materials]]/Table3[[#This Row],[Total Population Served]]</f>
        <v>0</v>
      </c>
      <c r="J159" s="100">
        <f t="shared" si="16"/>
        <v>0.51163993792033113</v>
      </c>
      <c r="K159" s="100">
        <f t="shared" si="17"/>
        <v>4.8126520681265204</v>
      </c>
      <c r="L159" s="102">
        <v>0</v>
      </c>
      <c r="M159" s="4">
        <v>0</v>
      </c>
      <c r="N159" s="4">
        <v>5934</v>
      </c>
      <c r="O159" s="4">
        <v>5934</v>
      </c>
      <c r="P159" s="4">
        <v>19214</v>
      </c>
      <c r="Q159" s="4">
        <v>0</v>
      </c>
      <c r="R159" s="100">
        <f t="shared" si="18"/>
        <v>0</v>
      </c>
      <c r="S159" s="4">
        <v>624</v>
      </c>
      <c r="T159" s="71">
        <f t="shared" si="21"/>
        <v>5.3802379720641488E-2</v>
      </c>
      <c r="U159" s="4">
        <v>0</v>
      </c>
      <c r="V159" s="4">
        <v>0</v>
      </c>
      <c r="W159" s="4">
        <v>7601</v>
      </c>
      <c r="X159" s="77">
        <v>150</v>
      </c>
      <c r="Y159" s="101">
        <f t="shared" si="19"/>
        <v>0.65537161579582681</v>
      </c>
      <c r="Z159" s="101">
        <f t="shared" si="20"/>
        <v>6.1646390916463911</v>
      </c>
      <c r="AA159" s="4">
        <v>3062</v>
      </c>
      <c r="AB159" s="2" t="s">
        <v>872</v>
      </c>
      <c r="AC159" s="106">
        <v>1500</v>
      </c>
      <c r="AD159" s="4">
        <v>19214</v>
      </c>
      <c r="AE159" s="4">
        <v>1233</v>
      </c>
      <c r="AF159" s="4">
        <v>11598</v>
      </c>
    </row>
    <row r="160" spans="1:32" ht="13.5" thickBot="1" x14ac:dyDescent="0.25">
      <c r="A160" s="2" t="s">
        <v>104</v>
      </c>
      <c r="B160" s="1" t="s">
        <v>103</v>
      </c>
      <c r="C160" s="2" t="s">
        <v>32</v>
      </c>
      <c r="D160" s="4">
        <v>27206</v>
      </c>
      <c r="E160" s="4">
        <v>41908</v>
      </c>
      <c r="F160" s="4">
        <v>5283</v>
      </c>
      <c r="G160" s="4">
        <v>74397</v>
      </c>
      <c r="H160" s="100">
        <f>Table3[[#This Row],[Circulation of Children''s Materials]]/Table3[[#This Row],[Total Population Served]]</f>
        <v>2.9581385234315536</v>
      </c>
      <c r="I160" s="100">
        <f>Table3[[#This Row],[Circulation of Electronic Materials]]/Table3[[#This Row],[Total Population Served]]</f>
        <v>0.57442644340545834</v>
      </c>
      <c r="J160" s="100">
        <f t="shared" si="16"/>
        <v>8.0892682396433617</v>
      </c>
      <c r="K160" s="100">
        <f t="shared" si="17"/>
        <v>14.533502637233834</v>
      </c>
      <c r="L160" s="102">
        <v>665</v>
      </c>
      <c r="M160" s="4">
        <v>5948</v>
      </c>
      <c r="N160" s="4">
        <v>69114</v>
      </c>
      <c r="O160" s="4">
        <v>75062</v>
      </c>
      <c r="P160" s="4">
        <v>51592</v>
      </c>
      <c r="Q160" s="4">
        <v>17906</v>
      </c>
      <c r="R160" s="100">
        <f t="shared" si="18"/>
        <v>1.9469392193106447</v>
      </c>
      <c r="S160" s="4">
        <v>10524</v>
      </c>
      <c r="T160" s="71">
        <f t="shared" si="21"/>
        <v>1.144286180276177</v>
      </c>
      <c r="U160" s="4">
        <v>4149</v>
      </c>
      <c r="V160" s="4">
        <v>4513</v>
      </c>
      <c r="W160" s="4">
        <v>104823</v>
      </c>
      <c r="X160" s="77">
        <v>18830</v>
      </c>
      <c r="Y160" s="101">
        <f t="shared" si="19"/>
        <v>11.397520930738285</v>
      </c>
      <c r="Z160" s="101">
        <f t="shared" si="20"/>
        <v>20.477241648759524</v>
      </c>
      <c r="AA160" s="4">
        <v>16427</v>
      </c>
      <c r="AB160" s="2" t="s">
        <v>872</v>
      </c>
      <c r="AC160" s="106">
        <v>3049</v>
      </c>
      <c r="AD160" s="4">
        <v>69498</v>
      </c>
      <c r="AE160" s="4">
        <v>5119</v>
      </c>
      <c r="AF160" s="4">
        <v>9197</v>
      </c>
    </row>
    <row r="161" spans="1:32" ht="13.5" thickBot="1" x14ac:dyDescent="0.25">
      <c r="A161" s="2" t="s">
        <v>112</v>
      </c>
      <c r="B161" s="1" t="s">
        <v>111</v>
      </c>
      <c r="C161" s="2" t="s">
        <v>32</v>
      </c>
      <c r="D161" s="4">
        <v>25290</v>
      </c>
      <c r="E161" s="4">
        <v>62551</v>
      </c>
      <c r="F161" s="4">
        <v>6708</v>
      </c>
      <c r="G161" s="4">
        <v>94549</v>
      </c>
      <c r="H161" s="100">
        <f>Table3[[#This Row],[Circulation of Children''s Materials]]/Table3[[#This Row],[Total Population Served]]</f>
        <v>2.1386892177589854</v>
      </c>
      <c r="I161" s="100">
        <f>Table3[[#This Row],[Circulation of Electronic Materials]]/Table3[[#This Row],[Total Population Served]]</f>
        <v>0.56727272727272726</v>
      </c>
      <c r="J161" s="100">
        <f t="shared" si="16"/>
        <v>7.9956871035940802</v>
      </c>
      <c r="K161" s="100">
        <f t="shared" si="17"/>
        <v>22.43155397390273</v>
      </c>
      <c r="L161" s="102">
        <v>302</v>
      </c>
      <c r="M161" s="4">
        <v>7010</v>
      </c>
      <c r="N161" s="4">
        <v>87841</v>
      </c>
      <c r="O161" s="4">
        <v>94851</v>
      </c>
      <c r="P161" s="4">
        <v>78548</v>
      </c>
      <c r="Q161" s="4">
        <v>21346</v>
      </c>
      <c r="R161" s="100">
        <f t="shared" si="18"/>
        <v>1.8051585623678648</v>
      </c>
      <c r="S161" s="4">
        <v>14850</v>
      </c>
      <c r="T161" s="71">
        <f t="shared" si="21"/>
        <v>1.2558139534883721</v>
      </c>
      <c r="U161" s="4">
        <v>16706</v>
      </c>
      <c r="V161" s="4">
        <v>8708</v>
      </c>
      <c r="W161" s="4">
        <v>85888</v>
      </c>
      <c r="X161" s="77">
        <v>47777</v>
      </c>
      <c r="Y161" s="101">
        <f t="shared" si="19"/>
        <v>7.2632558139534886</v>
      </c>
      <c r="Z161" s="101">
        <f t="shared" si="20"/>
        <v>20.376749703440094</v>
      </c>
      <c r="AA161" s="4">
        <v>14231</v>
      </c>
      <c r="AB161" s="2" t="s">
        <v>872</v>
      </c>
      <c r="AC161" s="106">
        <v>20075</v>
      </c>
      <c r="AD161" s="4">
        <v>99894</v>
      </c>
      <c r="AE161" s="4">
        <v>4215</v>
      </c>
      <c r="AF161" s="4">
        <v>11825</v>
      </c>
    </row>
    <row r="162" spans="1:32" ht="13.5" thickBot="1" x14ac:dyDescent="0.25">
      <c r="A162" s="2" t="s">
        <v>116</v>
      </c>
      <c r="B162" s="1" t="s">
        <v>115</v>
      </c>
      <c r="C162" s="2" t="s">
        <v>32</v>
      </c>
      <c r="D162" s="77">
        <v>13746</v>
      </c>
      <c r="E162" s="77">
        <v>34199</v>
      </c>
      <c r="F162" s="77">
        <v>7785</v>
      </c>
      <c r="G162" s="77">
        <v>55730</v>
      </c>
      <c r="H162" s="100">
        <f>Table3[[#This Row],[Circulation of Children''s Materials]]/Table3[[#This Row],[Total Population Served]]</f>
        <v>1.9022972598948242</v>
      </c>
      <c r="I162" s="100">
        <f>Table3[[#This Row],[Circulation of Electronic Materials]]/Table3[[#This Row],[Total Population Served]]</f>
        <v>1.077359535012455</v>
      </c>
      <c r="J162" s="100">
        <f t="shared" si="16"/>
        <v>7.7124273456960974</v>
      </c>
      <c r="K162" s="100">
        <f t="shared" si="17"/>
        <v>12.234906695938529</v>
      </c>
      <c r="L162" s="103" t="s">
        <v>2632</v>
      </c>
      <c r="M162" s="77">
        <v>7785</v>
      </c>
      <c r="N162" s="77">
        <v>47945</v>
      </c>
      <c r="O162" s="77">
        <v>55730</v>
      </c>
      <c r="P162" s="77">
        <v>33901</v>
      </c>
      <c r="Q162" s="77">
        <v>25954</v>
      </c>
      <c r="R162" s="100">
        <f t="shared" si="18"/>
        <v>3.5917520066426794</v>
      </c>
      <c r="S162" s="77">
        <v>1345</v>
      </c>
      <c r="T162" s="71">
        <f t="shared" si="21"/>
        <v>0.18613340714088014</v>
      </c>
      <c r="U162" s="77">
        <v>4514</v>
      </c>
      <c r="V162" s="77">
        <v>5250</v>
      </c>
      <c r="W162" s="77">
        <v>63176</v>
      </c>
      <c r="X162" s="77">
        <v>42705</v>
      </c>
      <c r="Y162" s="101">
        <f t="shared" si="19"/>
        <v>8.7428729587600333</v>
      </c>
      <c r="Z162" s="101">
        <f t="shared" si="20"/>
        <v>13.869593852908892</v>
      </c>
      <c r="AA162" s="77">
        <v>10156</v>
      </c>
      <c r="AB162" s="2" t="s">
        <v>872</v>
      </c>
      <c r="AC162" s="108" t="s">
        <v>2632</v>
      </c>
      <c r="AD162" s="77">
        <v>59855</v>
      </c>
      <c r="AE162" s="77">
        <v>4555</v>
      </c>
      <c r="AF162" s="4">
        <v>7226</v>
      </c>
    </row>
    <row r="163" spans="1:32" ht="13.5" thickBot="1" x14ac:dyDescent="0.25">
      <c r="A163" s="2" t="s">
        <v>134</v>
      </c>
      <c r="B163" s="1" t="s">
        <v>133</v>
      </c>
      <c r="C163" s="2" t="s">
        <v>32</v>
      </c>
      <c r="D163" s="77">
        <v>21548</v>
      </c>
      <c r="E163" s="77">
        <v>38069</v>
      </c>
      <c r="F163" s="77">
        <v>9144</v>
      </c>
      <c r="G163" s="77">
        <v>68761</v>
      </c>
      <c r="H163" s="100">
        <f>Table3[[#This Row],[Circulation of Children''s Materials]]/Table3[[#This Row],[Total Population Served]]</f>
        <v>2.1355797819623388</v>
      </c>
      <c r="I163" s="100">
        <f>Table3[[#This Row],[Circulation of Electronic Materials]]/Table3[[#This Row],[Total Population Served]]</f>
        <v>0.90624380574826557</v>
      </c>
      <c r="J163" s="100">
        <f t="shared" si="16"/>
        <v>6.814767096134787</v>
      </c>
      <c r="K163" s="100">
        <f t="shared" si="17"/>
        <v>22.492966961072948</v>
      </c>
      <c r="L163" s="102">
        <v>527</v>
      </c>
      <c r="M163" s="77">
        <v>9671</v>
      </c>
      <c r="N163" s="77">
        <v>59617</v>
      </c>
      <c r="O163" s="77">
        <v>69288</v>
      </c>
      <c r="P163" s="77">
        <v>47732</v>
      </c>
      <c r="Q163" s="77">
        <v>15201</v>
      </c>
      <c r="R163" s="100">
        <f t="shared" si="18"/>
        <v>1.5065411298315163</v>
      </c>
      <c r="S163" s="77">
        <v>2130</v>
      </c>
      <c r="T163" s="71">
        <f t="shared" si="21"/>
        <v>0.21110009910802774</v>
      </c>
      <c r="U163" s="77">
        <v>2288</v>
      </c>
      <c r="V163" s="77">
        <v>2591</v>
      </c>
      <c r="W163" s="77">
        <v>47894</v>
      </c>
      <c r="X163" s="77">
        <v>32090</v>
      </c>
      <c r="Y163" s="101">
        <f t="shared" si="19"/>
        <v>4.7466798810703663</v>
      </c>
      <c r="Z163" s="101">
        <f t="shared" si="20"/>
        <v>15.666993784756297</v>
      </c>
      <c r="AA163" s="77">
        <v>7026</v>
      </c>
      <c r="AB163" s="2" t="s">
        <v>872</v>
      </c>
      <c r="AC163" s="106">
        <v>13617</v>
      </c>
      <c r="AD163" s="77">
        <v>62933</v>
      </c>
      <c r="AE163" s="77">
        <v>3057</v>
      </c>
      <c r="AF163" s="4">
        <v>10090</v>
      </c>
    </row>
    <row r="164" spans="1:32" ht="13.5" thickBot="1" x14ac:dyDescent="0.25">
      <c r="A164" s="2" t="s">
        <v>136</v>
      </c>
      <c r="B164" s="1" t="s">
        <v>135</v>
      </c>
      <c r="C164" s="2" t="s">
        <v>32</v>
      </c>
      <c r="D164" s="4">
        <v>8430</v>
      </c>
      <c r="E164" s="4">
        <v>17300</v>
      </c>
      <c r="F164" s="4">
        <v>2001</v>
      </c>
      <c r="G164" s="4">
        <v>27731</v>
      </c>
      <c r="H164" s="100">
        <f>Table3[[#This Row],[Circulation of Children''s Materials]]/Table3[[#This Row],[Total Population Served]]</f>
        <v>0.86862442040185472</v>
      </c>
      <c r="I164" s="100">
        <f>Table3[[#This Row],[Circulation of Electronic Materials]]/Table3[[#This Row],[Total Population Served]]</f>
        <v>0.2061823802163833</v>
      </c>
      <c r="J164" s="100">
        <f t="shared" si="16"/>
        <v>2.8573930963420917</v>
      </c>
      <c r="K164" s="100">
        <f t="shared" si="17"/>
        <v>8.3627864897466822</v>
      </c>
      <c r="L164" s="102">
        <v>0</v>
      </c>
      <c r="M164" s="4">
        <v>2001</v>
      </c>
      <c r="N164" s="4">
        <v>25730</v>
      </c>
      <c r="O164" s="4">
        <v>27731</v>
      </c>
      <c r="P164" s="4">
        <v>34972</v>
      </c>
      <c r="Q164" s="4">
        <v>17229</v>
      </c>
      <c r="R164" s="100">
        <f t="shared" si="18"/>
        <v>1.7752704791344667</v>
      </c>
      <c r="S164" s="77">
        <v>3265</v>
      </c>
      <c r="T164" s="71">
        <f t="shared" si="21"/>
        <v>0.33642452344152501</v>
      </c>
      <c r="U164" s="77">
        <v>539</v>
      </c>
      <c r="V164" s="4">
        <v>1905</v>
      </c>
      <c r="W164" s="4">
        <v>49607</v>
      </c>
      <c r="X164" s="77">
        <v>3382</v>
      </c>
      <c r="Y164" s="101">
        <f t="shared" si="19"/>
        <v>5.1114889232354459</v>
      </c>
      <c r="Z164" s="101">
        <f t="shared" si="20"/>
        <v>14.959891435464415</v>
      </c>
      <c r="AA164" s="77">
        <v>6807</v>
      </c>
      <c r="AB164" s="2" t="s">
        <v>872</v>
      </c>
      <c r="AC164" s="106">
        <v>3285</v>
      </c>
      <c r="AD164" s="4">
        <v>52201</v>
      </c>
      <c r="AE164" s="4">
        <v>3316</v>
      </c>
      <c r="AF164" s="4">
        <v>9705</v>
      </c>
    </row>
    <row r="165" spans="1:32" ht="13.5" thickBot="1" x14ac:dyDescent="0.25">
      <c r="A165" s="2" t="s">
        <v>144</v>
      </c>
      <c r="B165" s="1" t="s">
        <v>143</v>
      </c>
      <c r="C165" s="2" t="s">
        <v>32</v>
      </c>
      <c r="D165" s="77">
        <v>8491</v>
      </c>
      <c r="E165" s="77">
        <v>16740</v>
      </c>
      <c r="F165" s="77">
        <v>6182</v>
      </c>
      <c r="G165" s="77">
        <v>31413</v>
      </c>
      <c r="H165" s="100">
        <f>Table3[[#This Row],[Circulation of Children''s Materials]]/Table3[[#This Row],[Total Population Served]]</f>
        <v>0.97687528762080078</v>
      </c>
      <c r="I165" s="100">
        <f>Table3[[#This Row],[Circulation of Electronic Materials]]/Table3[[#This Row],[Total Population Served]]</f>
        <v>0.71122871606074556</v>
      </c>
      <c r="J165" s="100">
        <f t="shared" si="16"/>
        <v>3.6140128854118729</v>
      </c>
      <c r="K165" s="100">
        <f t="shared" si="17"/>
        <v>6.7366502251769251</v>
      </c>
      <c r="L165" s="102">
        <v>743</v>
      </c>
      <c r="M165" s="77">
        <v>6925</v>
      </c>
      <c r="N165" s="77">
        <v>25231</v>
      </c>
      <c r="O165" s="77">
        <v>32156</v>
      </c>
      <c r="P165" s="77">
        <v>52996</v>
      </c>
      <c r="Q165" s="77">
        <v>12179</v>
      </c>
      <c r="R165" s="100">
        <f t="shared" si="18"/>
        <v>1.4011734928670041</v>
      </c>
      <c r="S165" s="77">
        <v>2346</v>
      </c>
      <c r="T165" s="71">
        <f t="shared" si="21"/>
        <v>0.26990335941095261</v>
      </c>
      <c r="U165" s="77">
        <v>2570</v>
      </c>
      <c r="V165" s="77">
        <v>2739</v>
      </c>
      <c r="W165" s="77">
        <v>35809</v>
      </c>
      <c r="X165" s="77">
        <v>19650</v>
      </c>
      <c r="Y165" s="101">
        <f t="shared" si="19"/>
        <v>4.1197653014265994</v>
      </c>
      <c r="Z165" s="101">
        <f t="shared" si="20"/>
        <v>7.6793909500321682</v>
      </c>
      <c r="AA165" s="77">
        <v>2532</v>
      </c>
      <c r="AB165" s="2" t="s">
        <v>872</v>
      </c>
      <c r="AC165" s="108" t="s">
        <v>2632</v>
      </c>
      <c r="AD165" s="77">
        <v>65175</v>
      </c>
      <c r="AE165" s="77">
        <v>4663</v>
      </c>
      <c r="AF165" s="4">
        <v>8692</v>
      </c>
    </row>
    <row r="166" spans="1:32" ht="13.5" thickBot="1" x14ac:dyDescent="0.25">
      <c r="A166" s="2" t="s">
        <v>152</v>
      </c>
      <c r="B166" s="1" t="s">
        <v>151</v>
      </c>
      <c r="C166" s="2" t="s">
        <v>32</v>
      </c>
      <c r="D166" s="77">
        <v>15608</v>
      </c>
      <c r="E166" s="77">
        <v>27451</v>
      </c>
      <c r="F166" s="77">
        <v>3997</v>
      </c>
      <c r="G166" s="77">
        <v>47056</v>
      </c>
      <c r="H166" s="100">
        <f>Table3[[#This Row],[Circulation of Children''s Materials]]/Table3[[#This Row],[Total Population Served]]</f>
        <v>1.3190230710724247</v>
      </c>
      <c r="I166" s="100">
        <f>Table3[[#This Row],[Circulation of Electronic Materials]]/Table3[[#This Row],[Total Population Served]]</f>
        <v>0.33778416293416719</v>
      </c>
      <c r="J166" s="100">
        <f t="shared" si="16"/>
        <v>3.9766753993070227</v>
      </c>
      <c r="K166" s="100">
        <f t="shared" si="17"/>
        <v>7.557982653389014</v>
      </c>
      <c r="L166" s="102">
        <v>14649</v>
      </c>
      <c r="M166" s="77">
        <v>18646</v>
      </c>
      <c r="N166" s="77">
        <v>43059</v>
      </c>
      <c r="O166" s="77">
        <v>61705</v>
      </c>
      <c r="P166" s="77">
        <v>56471</v>
      </c>
      <c r="Q166" s="77">
        <v>10469</v>
      </c>
      <c r="R166" s="100">
        <f t="shared" si="18"/>
        <v>0.88472914729992391</v>
      </c>
      <c r="S166" s="77">
        <v>4785</v>
      </c>
      <c r="T166" s="71">
        <f t="shared" si="21"/>
        <v>0.40437758810107327</v>
      </c>
      <c r="U166" s="77">
        <v>6464</v>
      </c>
      <c r="V166" s="77">
        <v>2875</v>
      </c>
      <c r="W166" s="77">
        <v>147220</v>
      </c>
      <c r="X166" s="77">
        <v>26764</v>
      </c>
      <c r="Y166" s="101">
        <f t="shared" si="19"/>
        <v>12.441477224710555</v>
      </c>
      <c r="Z166" s="101">
        <f t="shared" si="20"/>
        <v>23.646000642467072</v>
      </c>
      <c r="AA166" s="77">
        <v>11572</v>
      </c>
      <c r="AB166" s="2" t="s">
        <v>872</v>
      </c>
      <c r="AC166" s="106">
        <v>10748</v>
      </c>
      <c r="AD166" s="77">
        <v>66940</v>
      </c>
      <c r="AE166" s="77">
        <v>6226</v>
      </c>
      <c r="AF166" s="4">
        <v>11833</v>
      </c>
    </row>
    <row r="167" spans="1:32" ht="13.5" thickBot="1" x14ac:dyDescent="0.25">
      <c r="A167" s="2" t="s">
        <v>156</v>
      </c>
      <c r="B167" s="1" t="s">
        <v>155</v>
      </c>
      <c r="C167" s="2" t="s">
        <v>32</v>
      </c>
      <c r="D167" s="4">
        <v>7923</v>
      </c>
      <c r="E167" s="4">
        <v>16656</v>
      </c>
      <c r="F167" s="4">
        <v>3467</v>
      </c>
      <c r="G167" s="4">
        <v>28046</v>
      </c>
      <c r="H167" s="100">
        <f>Table3[[#This Row],[Circulation of Children''s Materials]]/Table3[[#This Row],[Total Population Served]]</f>
        <v>0.72975960210002766</v>
      </c>
      <c r="I167" s="100">
        <f>Table3[[#This Row],[Circulation of Electronic Materials]]/Table3[[#This Row],[Total Population Served]]</f>
        <v>0.31933314912038319</v>
      </c>
      <c r="J167" s="100">
        <f t="shared" si="16"/>
        <v>2.583218200239477</v>
      </c>
      <c r="K167" s="100">
        <f t="shared" si="17"/>
        <v>14.008991008991009</v>
      </c>
      <c r="L167" s="102">
        <v>1070</v>
      </c>
      <c r="M167" s="4">
        <v>4537</v>
      </c>
      <c r="N167" s="4">
        <v>24579</v>
      </c>
      <c r="O167" s="4">
        <v>29116</v>
      </c>
      <c r="P167" s="4">
        <v>47679</v>
      </c>
      <c r="Q167" s="4">
        <v>20586</v>
      </c>
      <c r="R167" s="100">
        <f t="shared" si="18"/>
        <v>1.8961038961038961</v>
      </c>
      <c r="S167" s="4">
        <v>11500</v>
      </c>
      <c r="T167" s="71">
        <f t="shared" ref="T167:T198" si="22">S167/AF167</f>
        <v>1.0592244634797827</v>
      </c>
      <c r="U167" s="4">
        <v>4404</v>
      </c>
      <c r="V167" s="4">
        <v>4541</v>
      </c>
      <c r="W167" s="4">
        <v>44000</v>
      </c>
      <c r="X167" s="77">
        <v>16266</v>
      </c>
      <c r="Y167" s="101">
        <f t="shared" si="19"/>
        <v>4.0526849037487338</v>
      </c>
      <c r="Z167" s="101">
        <f t="shared" si="20"/>
        <v>21.978021978021978</v>
      </c>
      <c r="AA167" s="4">
        <v>5520</v>
      </c>
      <c r="AB167" s="2" t="s">
        <v>872</v>
      </c>
      <c r="AC167" s="106">
        <v>6354</v>
      </c>
      <c r="AD167" s="4">
        <v>68265</v>
      </c>
      <c r="AE167" s="4">
        <v>2002</v>
      </c>
      <c r="AF167" s="4">
        <v>10857</v>
      </c>
    </row>
    <row r="168" spans="1:32" ht="13.5" thickBot="1" x14ac:dyDescent="0.25">
      <c r="A168" s="2" t="s">
        <v>160</v>
      </c>
      <c r="B168" s="1" t="s">
        <v>159</v>
      </c>
      <c r="C168" s="2" t="s">
        <v>32</v>
      </c>
      <c r="D168" s="4">
        <v>29664</v>
      </c>
      <c r="E168" s="4">
        <v>22668</v>
      </c>
      <c r="F168" s="4">
        <v>3091</v>
      </c>
      <c r="G168" s="4">
        <v>55423</v>
      </c>
      <c r="H168" s="100">
        <f>Table3[[#This Row],[Circulation of Children''s Materials]]/Table3[[#This Row],[Total Population Served]]</f>
        <v>3.1281240113888011</v>
      </c>
      <c r="I168" s="100">
        <f>Table3[[#This Row],[Circulation of Electronic Materials]]/Table3[[#This Row],[Total Population Served]]</f>
        <v>0.32595170304755877</v>
      </c>
      <c r="J168" s="100">
        <f t="shared" si="16"/>
        <v>5.8444585046926081</v>
      </c>
      <c r="K168" s="100">
        <f t="shared" si="17"/>
        <v>19.972252252252254</v>
      </c>
      <c r="L168" s="102">
        <v>0</v>
      </c>
      <c r="M168" s="4">
        <v>3091</v>
      </c>
      <c r="N168" s="4">
        <v>52332</v>
      </c>
      <c r="O168" s="4">
        <v>55423</v>
      </c>
      <c r="P168" s="4">
        <v>21637</v>
      </c>
      <c r="Q168" s="4">
        <v>12795</v>
      </c>
      <c r="R168" s="100">
        <f t="shared" si="18"/>
        <v>1.3492565643783612</v>
      </c>
      <c r="S168" s="4">
        <v>11400</v>
      </c>
      <c r="T168" s="71">
        <f t="shared" si="22"/>
        <v>1.202151217968997</v>
      </c>
      <c r="U168" s="4">
        <v>3084</v>
      </c>
      <c r="V168" s="4">
        <v>4426</v>
      </c>
      <c r="W168" s="4">
        <v>67275</v>
      </c>
      <c r="X168" s="77">
        <v>33151</v>
      </c>
      <c r="Y168" s="101">
        <f t="shared" si="19"/>
        <v>7.0942739639354633</v>
      </c>
      <c r="Z168" s="101">
        <f t="shared" si="20"/>
        <v>24.243243243243242</v>
      </c>
      <c r="AA168" s="4">
        <v>7871</v>
      </c>
      <c r="AB168" s="2" t="s">
        <v>872</v>
      </c>
      <c r="AC168" s="106">
        <v>18100</v>
      </c>
      <c r="AD168" s="4">
        <v>34432</v>
      </c>
      <c r="AE168" s="4">
        <v>2775</v>
      </c>
      <c r="AF168" s="4">
        <v>9483</v>
      </c>
    </row>
    <row r="169" spans="1:32" ht="13.5" thickBot="1" x14ac:dyDescent="0.25">
      <c r="A169" s="2" t="s">
        <v>162</v>
      </c>
      <c r="B169" s="1" t="s">
        <v>161</v>
      </c>
      <c r="C169" s="2" t="s">
        <v>32</v>
      </c>
      <c r="D169" s="77">
        <v>8139</v>
      </c>
      <c r="E169" s="77">
        <v>21835</v>
      </c>
      <c r="F169" s="77">
        <v>2528</v>
      </c>
      <c r="G169" s="77">
        <v>32502</v>
      </c>
      <c r="H169" s="100">
        <f>Table3[[#This Row],[Circulation of Children''s Materials]]/Table3[[#This Row],[Total Population Served]]</f>
        <v>0.98570909531306772</v>
      </c>
      <c r="I169" s="100">
        <f>Table3[[#This Row],[Circulation of Electronic Materials]]/Table3[[#This Row],[Total Population Served]]</f>
        <v>0.30616446651326146</v>
      </c>
      <c r="J169" s="100">
        <f t="shared" si="16"/>
        <v>3.9362964757175729</v>
      </c>
      <c r="K169" s="100">
        <f t="shared" si="17"/>
        <v>8.4839467501957717</v>
      </c>
      <c r="L169" s="102">
        <v>332</v>
      </c>
      <c r="M169" s="77">
        <v>2860</v>
      </c>
      <c r="N169" s="77">
        <v>29974</v>
      </c>
      <c r="O169" s="77">
        <v>32834</v>
      </c>
      <c r="P169" s="77">
        <v>40305</v>
      </c>
      <c r="Q169" s="77">
        <v>15022</v>
      </c>
      <c r="R169" s="100">
        <f t="shared" si="18"/>
        <v>1.8193048322635339</v>
      </c>
      <c r="S169" s="77">
        <v>5304</v>
      </c>
      <c r="T169" s="71">
        <f t="shared" si="22"/>
        <v>0.64236405474143154</v>
      </c>
      <c r="U169" s="77">
        <v>12704</v>
      </c>
      <c r="V169" s="77">
        <v>12129</v>
      </c>
      <c r="W169" s="77">
        <v>42871</v>
      </c>
      <c r="X169" s="77">
        <v>6024</v>
      </c>
      <c r="Y169" s="101">
        <f t="shared" si="19"/>
        <v>5.1920794477413104</v>
      </c>
      <c r="Z169" s="101">
        <f t="shared" si="20"/>
        <v>11.190550770033934</v>
      </c>
      <c r="AA169" s="77">
        <v>7449</v>
      </c>
      <c r="AB169" s="2" t="s">
        <v>872</v>
      </c>
      <c r="AC169" s="106">
        <v>5121</v>
      </c>
      <c r="AD169" s="77">
        <v>55327</v>
      </c>
      <c r="AE169" s="77">
        <v>3831</v>
      </c>
      <c r="AF169" s="4">
        <v>8257</v>
      </c>
    </row>
    <row r="170" spans="1:32" ht="13.5" thickBot="1" x14ac:dyDescent="0.25">
      <c r="A170" s="2" t="s">
        <v>168</v>
      </c>
      <c r="B170" s="1" t="s">
        <v>167</v>
      </c>
      <c r="C170" s="2" t="s">
        <v>32</v>
      </c>
      <c r="D170" s="77">
        <v>30921</v>
      </c>
      <c r="E170" s="77">
        <v>53774</v>
      </c>
      <c r="F170" s="77">
        <v>9783</v>
      </c>
      <c r="G170" s="77">
        <v>94478</v>
      </c>
      <c r="H170" s="100">
        <f>Table3[[#This Row],[Circulation of Children''s Materials]]/Table3[[#This Row],[Total Population Served]]</f>
        <v>3.1519877675840977</v>
      </c>
      <c r="I170" s="100">
        <f>Table3[[#This Row],[Circulation of Electronic Materials]]/Table3[[#This Row],[Total Population Served]]</f>
        <v>0.99724770642201832</v>
      </c>
      <c r="J170" s="100">
        <f t="shared" si="16"/>
        <v>9.63078491335372</v>
      </c>
      <c r="K170" s="100">
        <f t="shared" si="17"/>
        <v>26.68870056497175</v>
      </c>
      <c r="L170" s="102">
        <v>5749</v>
      </c>
      <c r="M170" s="77">
        <v>15532</v>
      </c>
      <c r="N170" s="77">
        <v>84695</v>
      </c>
      <c r="O170" s="77">
        <v>100227</v>
      </c>
      <c r="P170" s="77">
        <v>46698</v>
      </c>
      <c r="Q170" s="77">
        <v>30127</v>
      </c>
      <c r="R170" s="100">
        <f t="shared" si="18"/>
        <v>3.0710499490316003</v>
      </c>
      <c r="S170" s="77">
        <v>4752</v>
      </c>
      <c r="T170" s="71">
        <f t="shared" si="22"/>
        <v>0.48440366972477067</v>
      </c>
      <c r="U170" s="77">
        <v>13181</v>
      </c>
      <c r="V170" s="77">
        <v>8126</v>
      </c>
      <c r="W170" s="77">
        <v>110456</v>
      </c>
      <c r="X170" s="77">
        <v>129395</v>
      </c>
      <c r="Y170" s="101">
        <f t="shared" si="19"/>
        <v>11.259531090723751</v>
      </c>
      <c r="Z170" s="101">
        <f t="shared" si="20"/>
        <v>31.202259887005649</v>
      </c>
      <c r="AA170" s="77">
        <v>16236</v>
      </c>
      <c r="AB170" s="2" t="s">
        <v>872</v>
      </c>
      <c r="AC170" s="106">
        <v>14227</v>
      </c>
      <c r="AD170" s="77">
        <v>76825</v>
      </c>
      <c r="AE170" s="77">
        <v>3540</v>
      </c>
      <c r="AF170" s="4">
        <v>9810</v>
      </c>
    </row>
    <row r="171" spans="1:32" ht="13.5" thickBot="1" x14ac:dyDescent="0.25">
      <c r="A171" s="2" t="s">
        <v>204</v>
      </c>
      <c r="B171" s="1" t="s">
        <v>203</v>
      </c>
      <c r="C171" s="2" t="s">
        <v>32</v>
      </c>
      <c r="D171" s="77">
        <v>29046</v>
      </c>
      <c r="E171" s="77">
        <v>25213</v>
      </c>
      <c r="F171" s="77">
        <v>11634</v>
      </c>
      <c r="G171" s="77">
        <v>65893</v>
      </c>
      <c r="H171" s="100">
        <f>Table3[[#This Row],[Circulation of Children''s Materials]]/Table3[[#This Row],[Total Population Served]]</f>
        <v>2.4486595852301467</v>
      </c>
      <c r="I171" s="100">
        <f>Table3[[#This Row],[Circulation of Electronic Materials]]/Table3[[#This Row],[Total Population Served]]</f>
        <v>0.98077895801719772</v>
      </c>
      <c r="J171" s="100">
        <f t="shared" si="16"/>
        <v>5.5549654358455571</v>
      </c>
      <c r="K171" s="100">
        <f t="shared" si="17"/>
        <v>11.172092234655816</v>
      </c>
      <c r="L171" s="102">
        <v>282</v>
      </c>
      <c r="M171" s="77">
        <v>11916</v>
      </c>
      <c r="N171" s="77">
        <v>54259</v>
      </c>
      <c r="O171" s="77">
        <v>66175</v>
      </c>
      <c r="P171" s="77">
        <v>36246</v>
      </c>
      <c r="Q171" s="77">
        <v>46110</v>
      </c>
      <c r="R171" s="100">
        <f t="shared" si="18"/>
        <v>3.8872028325746082</v>
      </c>
      <c r="S171" s="77">
        <v>10089</v>
      </c>
      <c r="T171" s="71">
        <f t="shared" si="22"/>
        <v>0.85053110773899854</v>
      </c>
      <c r="U171" s="77">
        <v>4539</v>
      </c>
      <c r="V171" s="77">
        <v>5504</v>
      </c>
      <c r="W171" s="77">
        <v>54656</v>
      </c>
      <c r="X171" s="77">
        <v>25481</v>
      </c>
      <c r="Y171" s="101">
        <f t="shared" si="19"/>
        <v>4.6076546956668354</v>
      </c>
      <c r="Z171" s="101">
        <f t="shared" si="20"/>
        <v>9.2668701254662604</v>
      </c>
      <c r="AA171" s="77">
        <v>5443</v>
      </c>
      <c r="AB171" s="2" t="s">
        <v>872</v>
      </c>
      <c r="AC171" s="106">
        <v>9241</v>
      </c>
      <c r="AD171" s="77">
        <v>82356</v>
      </c>
      <c r="AE171" s="77">
        <v>5898</v>
      </c>
      <c r="AF171" s="4">
        <v>11862</v>
      </c>
    </row>
    <row r="172" spans="1:32" ht="13.5" thickBot="1" x14ac:dyDescent="0.25">
      <c r="A172" s="2" t="s">
        <v>229</v>
      </c>
      <c r="B172" s="1" t="s">
        <v>228</v>
      </c>
      <c r="C172" s="2" t="s">
        <v>32</v>
      </c>
      <c r="D172" s="77">
        <v>12000</v>
      </c>
      <c r="E172" s="77">
        <v>25000</v>
      </c>
      <c r="F172" s="77">
        <v>0</v>
      </c>
      <c r="G172" s="77">
        <v>37000</v>
      </c>
      <c r="H172" s="100">
        <f>Table3[[#This Row],[Circulation of Children''s Materials]]/Table3[[#This Row],[Total Population Served]]</f>
        <v>1.1974852809100889</v>
      </c>
      <c r="I172" s="100">
        <f>Table3[[#This Row],[Circulation of Electronic Materials]]/Table3[[#This Row],[Total Population Served]]</f>
        <v>0</v>
      </c>
      <c r="J172" s="100">
        <f t="shared" si="16"/>
        <v>3.6922462828061073</v>
      </c>
      <c r="K172" s="100">
        <f t="shared" si="17"/>
        <v>11.53007167341851</v>
      </c>
      <c r="L172" s="102">
        <v>0</v>
      </c>
      <c r="M172" s="77">
        <v>0</v>
      </c>
      <c r="N172" s="77">
        <v>37000</v>
      </c>
      <c r="O172" s="77">
        <v>37000</v>
      </c>
      <c r="P172" s="77">
        <v>29315</v>
      </c>
      <c r="Q172" s="77">
        <v>0</v>
      </c>
      <c r="R172" s="100">
        <f t="shared" si="18"/>
        <v>0</v>
      </c>
      <c r="S172" s="77">
        <v>8000</v>
      </c>
      <c r="T172" s="71">
        <f t="shared" si="22"/>
        <v>0.79832352060672584</v>
      </c>
      <c r="U172" s="77">
        <v>3393</v>
      </c>
      <c r="V172" s="77">
        <v>3556</v>
      </c>
      <c r="W172" s="77">
        <v>75000</v>
      </c>
      <c r="X172" s="77">
        <v>15000</v>
      </c>
      <c r="Y172" s="101">
        <f t="shared" si="19"/>
        <v>7.4842830056880549</v>
      </c>
      <c r="Z172" s="101">
        <f t="shared" si="20"/>
        <v>23.371766905578063</v>
      </c>
      <c r="AA172" s="77">
        <v>10828</v>
      </c>
      <c r="AB172" s="2" t="s">
        <v>872</v>
      </c>
      <c r="AC172" s="106">
        <v>13000</v>
      </c>
      <c r="AD172" s="77">
        <v>29315</v>
      </c>
      <c r="AE172" s="77">
        <v>3209</v>
      </c>
      <c r="AF172" s="4">
        <v>10021</v>
      </c>
    </row>
    <row r="173" spans="1:32" ht="13.5" thickBot="1" x14ac:dyDescent="0.25">
      <c r="A173" s="2" t="s">
        <v>243</v>
      </c>
      <c r="B173" s="1" t="s">
        <v>242</v>
      </c>
      <c r="C173" s="2" t="s">
        <v>32</v>
      </c>
      <c r="D173" s="77">
        <v>24554</v>
      </c>
      <c r="E173" s="77">
        <v>19927</v>
      </c>
      <c r="F173" s="77">
        <v>8313</v>
      </c>
      <c r="G173" s="77">
        <v>52794</v>
      </c>
      <c r="H173" s="100">
        <f>Table3[[#This Row],[Circulation of Children''s Materials]]/Table3[[#This Row],[Total Population Served]]</f>
        <v>3.3007124613523322</v>
      </c>
      <c r="I173" s="100">
        <f>Table3[[#This Row],[Circulation of Electronic Materials]]/Table3[[#This Row],[Total Population Served]]</f>
        <v>1.1174889097997043</v>
      </c>
      <c r="J173" s="100">
        <f t="shared" si="16"/>
        <v>7.0969216292512431</v>
      </c>
      <c r="K173" s="100">
        <f t="shared" si="17"/>
        <v>14.082155241397706</v>
      </c>
      <c r="L173" s="102">
        <v>2713</v>
      </c>
      <c r="M173" s="77">
        <v>11026</v>
      </c>
      <c r="N173" s="77">
        <v>44481</v>
      </c>
      <c r="O173" s="77">
        <v>55507</v>
      </c>
      <c r="P173" s="77">
        <v>35540</v>
      </c>
      <c r="Q173" s="77">
        <v>15058</v>
      </c>
      <c r="R173" s="100">
        <f t="shared" si="18"/>
        <v>2.0241968006452482</v>
      </c>
      <c r="S173" s="77">
        <v>15004</v>
      </c>
      <c r="T173" s="71">
        <f t="shared" si="22"/>
        <v>2.0169377604516736</v>
      </c>
      <c r="U173" s="77">
        <v>5350</v>
      </c>
      <c r="V173" s="77">
        <v>5768</v>
      </c>
      <c r="W173" s="77">
        <v>37854</v>
      </c>
      <c r="X173" s="77">
        <v>18425</v>
      </c>
      <c r="Y173" s="101">
        <f t="shared" si="19"/>
        <v>5.0885871756956584</v>
      </c>
      <c r="Z173" s="101">
        <f t="shared" si="20"/>
        <v>10.09709255801547</v>
      </c>
      <c r="AA173" s="77">
        <v>10284</v>
      </c>
      <c r="AB173" s="2" t="s">
        <v>872</v>
      </c>
      <c r="AC173" s="106">
        <v>3231</v>
      </c>
      <c r="AD173" s="77">
        <v>50598</v>
      </c>
      <c r="AE173" s="77">
        <v>3749</v>
      </c>
      <c r="AF173" s="4">
        <v>7439</v>
      </c>
    </row>
    <row r="174" spans="1:32" ht="13.5" thickBot="1" x14ac:dyDescent="0.25">
      <c r="A174" s="2" t="s">
        <v>257</v>
      </c>
      <c r="B174" s="1" t="s">
        <v>256</v>
      </c>
      <c r="C174" s="2" t="s">
        <v>32</v>
      </c>
      <c r="D174" s="4">
        <v>6585</v>
      </c>
      <c r="E174" s="4">
        <v>16484</v>
      </c>
      <c r="F174" s="4">
        <v>2615</v>
      </c>
      <c r="G174" s="4">
        <v>25684</v>
      </c>
      <c r="H174" s="100">
        <f>Table3[[#This Row],[Circulation of Children''s Materials]]/Table3[[#This Row],[Total Population Served]]</f>
        <v>0.89082792207792205</v>
      </c>
      <c r="I174" s="100">
        <f>Table3[[#This Row],[Circulation of Electronic Materials]]/Table3[[#This Row],[Total Population Served]]</f>
        <v>0.35376082251082253</v>
      </c>
      <c r="J174" s="100">
        <f t="shared" si="16"/>
        <v>3.4745670995670994</v>
      </c>
      <c r="K174" s="100">
        <f t="shared" si="17"/>
        <v>4.7422451994091581</v>
      </c>
      <c r="L174" s="102">
        <v>0</v>
      </c>
      <c r="M174" s="4">
        <v>2615</v>
      </c>
      <c r="N174" s="4">
        <v>23069</v>
      </c>
      <c r="O174" s="4">
        <v>25684</v>
      </c>
      <c r="P174" s="4">
        <v>37304</v>
      </c>
      <c r="Q174" s="4">
        <v>17552</v>
      </c>
      <c r="R174" s="100">
        <f t="shared" si="18"/>
        <v>2.3744588744588744</v>
      </c>
      <c r="S174" s="4">
        <v>503</v>
      </c>
      <c r="T174" s="71">
        <f t="shared" si="22"/>
        <v>6.80465367965368E-2</v>
      </c>
      <c r="U174" s="4">
        <v>1133</v>
      </c>
      <c r="V174" s="4">
        <v>1629</v>
      </c>
      <c r="W174" s="4">
        <v>11167</v>
      </c>
      <c r="X174" s="77">
        <v>12651</v>
      </c>
      <c r="Y174" s="101">
        <f t="shared" si="19"/>
        <v>1.5106872294372293</v>
      </c>
      <c r="Z174" s="101">
        <f t="shared" si="20"/>
        <v>2.0618537666174297</v>
      </c>
      <c r="AA174" s="4">
        <v>6142</v>
      </c>
      <c r="AB174" s="2" t="s">
        <v>872</v>
      </c>
      <c r="AC174" s="106">
        <v>4637</v>
      </c>
      <c r="AD174" s="4">
        <v>54856</v>
      </c>
      <c r="AE174" s="4">
        <v>5416</v>
      </c>
      <c r="AF174" s="4">
        <v>7392</v>
      </c>
    </row>
    <row r="175" spans="1:32" ht="13.5" thickBot="1" x14ac:dyDescent="0.25">
      <c r="A175" s="2" t="s">
        <v>261</v>
      </c>
      <c r="B175" s="1" t="s">
        <v>260</v>
      </c>
      <c r="C175" s="2" t="s">
        <v>32</v>
      </c>
      <c r="D175" s="77">
        <v>4910</v>
      </c>
      <c r="E175" s="77">
        <v>5025</v>
      </c>
      <c r="F175" s="77">
        <v>0</v>
      </c>
      <c r="G175" s="77">
        <v>9935</v>
      </c>
      <c r="H175" s="100">
        <f>Table3[[#This Row],[Circulation of Children''s Materials]]/Table3[[#This Row],[Total Population Served]]</f>
        <v>0.51619007569386044</v>
      </c>
      <c r="I175" s="100">
        <f>Table3[[#This Row],[Circulation of Electronic Materials]]/Table3[[#This Row],[Total Population Served]]</f>
        <v>0</v>
      </c>
      <c r="J175" s="100">
        <f t="shared" si="16"/>
        <v>1.0444701429772918</v>
      </c>
      <c r="K175" s="100">
        <f t="shared" si="17"/>
        <v>4.6102088167053363</v>
      </c>
      <c r="L175" s="102">
        <v>0</v>
      </c>
      <c r="M175" s="77">
        <v>0</v>
      </c>
      <c r="N175" s="77">
        <v>9935</v>
      </c>
      <c r="O175" s="77">
        <v>9935</v>
      </c>
      <c r="P175" s="77">
        <v>45457</v>
      </c>
      <c r="Q175" s="77">
        <v>0</v>
      </c>
      <c r="R175" s="100">
        <f t="shared" si="18"/>
        <v>0</v>
      </c>
      <c r="S175" s="77">
        <v>3547</v>
      </c>
      <c r="T175" s="71">
        <f t="shared" si="22"/>
        <v>0.3728973927670311</v>
      </c>
      <c r="U175" s="77">
        <v>1534</v>
      </c>
      <c r="V175" s="77">
        <v>475</v>
      </c>
      <c r="W175" s="77">
        <v>6963</v>
      </c>
      <c r="X175" s="77">
        <v>3077</v>
      </c>
      <c r="Y175" s="101">
        <f t="shared" si="19"/>
        <v>0.7320227081581161</v>
      </c>
      <c r="Z175" s="101">
        <f t="shared" si="20"/>
        <v>3.231090487238979</v>
      </c>
      <c r="AA175" s="77">
        <v>3010</v>
      </c>
      <c r="AB175" s="2" t="s">
        <v>872</v>
      </c>
      <c r="AC175" s="106">
        <v>399</v>
      </c>
      <c r="AD175" s="77">
        <v>45457</v>
      </c>
      <c r="AE175" s="77">
        <v>2155</v>
      </c>
      <c r="AF175" s="4">
        <v>9512</v>
      </c>
    </row>
    <row r="176" spans="1:32" ht="13.5" thickBot="1" x14ac:dyDescent="0.25">
      <c r="A176" s="2" t="s">
        <v>273</v>
      </c>
      <c r="B176" s="1" t="s">
        <v>272</v>
      </c>
      <c r="C176" s="2" t="s">
        <v>32</v>
      </c>
      <c r="D176" s="77">
        <v>6241</v>
      </c>
      <c r="E176" s="77">
        <v>8996</v>
      </c>
      <c r="F176" s="77">
        <v>0</v>
      </c>
      <c r="G176" s="77">
        <v>15237</v>
      </c>
      <c r="H176" s="100">
        <f>Table3[[#This Row],[Circulation of Children''s Materials]]/Table3[[#This Row],[Total Population Served]]</f>
        <v>0.80873396397563824</v>
      </c>
      <c r="I176" s="100">
        <f>Table3[[#This Row],[Circulation of Electronic Materials]]/Table3[[#This Row],[Total Population Served]]</f>
        <v>0</v>
      </c>
      <c r="J176" s="100">
        <f t="shared" si="16"/>
        <v>1.974471945056369</v>
      </c>
      <c r="K176" s="100">
        <f t="shared" si="17"/>
        <v>4.4539608301666176</v>
      </c>
      <c r="L176" s="102">
        <v>0</v>
      </c>
      <c r="M176" s="77">
        <v>0</v>
      </c>
      <c r="N176" s="77">
        <v>15237</v>
      </c>
      <c r="O176" s="77">
        <v>15237</v>
      </c>
      <c r="P176" s="77">
        <v>38673</v>
      </c>
      <c r="Q176" s="77">
        <v>0</v>
      </c>
      <c r="R176" s="100">
        <f t="shared" si="18"/>
        <v>0</v>
      </c>
      <c r="S176" s="77">
        <v>6194</v>
      </c>
      <c r="T176" s="71">
        <f t="shared" si="22"/>
        <v>0.80264351431903591</v>
      </c>
      <c r="U176" s="77">
        <v>322</v>
      </c>
      <c r="V176" s="77">
        <v>309</v>
      </c>
      <c r="W176" s="77">
        <v>13656</v>
      </c>
      <c r="X176" s="77">
        <v>0</v>
      </c>
      <c r="Y176" s="101">
        <f t="shared" si="19"/>
        <v>1.7695995853310873</v>
      </c>
      <c r="Z176" s="101">
        <f t="shared" si="20"/>
        <v>3.9918152586962878</v>
      </c>
      <c r="AA176" s="77">
        <v>1687</v>
      </c>
      <c r="AB176" s="2" t="s">
        <v>872</v>
      </c>
      <c r="AC176" s="106">
        <v>621</v>
      </c>
      <c r="AD176" s="77">
        <v>38673</v>
      </c>
      <c r="AE176" s="77">
        <v>3421</v>
      </c>
      <c r="AF176" s="4">
        <v>7717</v>
      </c>
    </row>
    <row r="177" spans="1:32" ht="13.5" thickBot="1" x14ac:dyDescent="0.25">
      <c r="A177" s="2" t="s">
        <v>297</v>
      </c>
      <c r="B177" s="1" t="s">
        <v>296</v>
      </c>
      <c r="C177" s="2" t="s">
        <v>32</v>
      </c>
      <c r="D177" s="77">
        <v>36551</v>
      </c>
      <c r="E177" s="77">
        <v>48246</v>
      </c>
      <c r="F177" s="77">
        <v>6096</v>
      </c>
      <c r="G177" s="77">
        <v>90893</v>
      </c>
      <c r="H177" s="100">
        <f>Table3[[#This Row],[Circulation of Children''s Materials]]/Table3[[#This Row],[Total Population Served]]</f>
        <v>4.6716513292433541</v>
      </c>
      <c r="I177" s="100">
        <f>Table3[[#This Row],[Circulation of Electronic Materials]]/Table3[[#This Row],[Total Population Served]]</f>
        <v>0.77914110429447858</v>
      </c>
      <c r="J177" s="100">
        <f t="shared" si="16"/>
        <v>11.617203476482617</v>
      </c>
      <c r="K177" s="100">
        <f t="shared" si="17"/>
        <v>11.703966005665722</v>
      </c>
      <c r="L177" s="102">
        <v>4027</v>
      </c>
      <c r="M177" s="77">
        <v>10123</v>
      </c>
      <c r="N177" s="77">
        <v>84797</v>
      </c>
      <c r="O177" s="77">
        <v>94920</v>
      </c>
      <c r="P177" s="77">
        <v>36324</v>
      </c>
      <c r="Q177" s="77">
        <v>17067</v>
      </c>
      <c r="R177" s="100">
        <f t="shared" si="18"/>
        <v>2.1813650306748467</v>
      </c>
      <c r="S177" s="77">
        <v>13490</v>
      </c>
      <c r="T177" s="71">
        <f t="shared" si="22"/>
        <v>1.7241820040899796</v>
      </c>
      <c r="U177" s="77">
        <v>1912</v>
      </c>
      <c r="V177" s="77">
        <v>2546</v>
      </c>
      <c r="W177" s="77">
        <v>127200</v>
      </c>
      <c r="X177" s="77">
        <v>28122</v>
      </c>
      <c r="Y177" s="101">
        <f t="shared" si="19"/>
        <v>16.257668711656443</v>
      </c>
      <c r="Z177" s="101">
        <f t="shared" si="20"/>
        <v>16.379088333762553</v>
      </c>
      <c r="AA177" s="77">
        <v>11726</v>
      </c>
      <c r="AB177" s="2" t="s">
        <v>872</v>
      </c>
      <c r="AC177" s="106">
        <v>33580</v>
      </c>
      <c r="AD177" s="77">
        <v>53391</v>
      </c>
      <c r="AE177" s="77">
        <v>7766</v>
      </c>
      <c r="AF177" s="4">
        <v>7824</v>
      </c>
    </row>
    <row r="178" spans="1:32" ht="13.5" thickBot="1" x14ac:dyDescent="0.25">
      <c r="A178" s="2" t="s">
        <v>309</v>
      </c>
      <c r="B178" s="1" t="s">
        <v>308</v>
      </c>
      <c r="C178" s="2" t="s">
        <v>32</v>
      </c>
      <c r="D178" s="77">
        <v>4901</v>
      </c>
      <c r="E178" s="77">
        <v>6638</v>
      </c>
      <c r="F178" s="77">
        <v>2365</v>
      </c>
      <c r="G178" s="77">
        <v>13904</v>
      </c>
      <c r="H178" s="100">
        <f>Table3[[#This Row],[Circulation of Children''s Materials]]/Table3[[#This Row],[Total Population Served]]</f>
        <v>0.51720135078092022</v>
      </c>
      <c r="I178" s="100">
        <f>Table3[[#This Row],[Circulation of Electronic Materials]]/Table3[[#This Row],[Total Population Served]]</f>
        <v>0.24957788096243141</v>
      </c>
      <c r="J178" s="100">
        <f t="shared" si="16"/>
        <v>1.467285774588434</v>
      </c>
      <c r="K178" s="100">
        <f t="shared" si="17"/>
        <v>37.680216802168019</v>
      </c>
      <c r="L178" s="102">
        <v>0</v>
      </c>
      <c r="M178" s="77">
        <v>2365</v>
      </c>
      <c r="N178" s="77">
        <v>11539</v>
      </c>
      <c r="O178" s="77">
        <v>13904</v>
      </c>
      <c r="P178" s="77">
        <v>23297</v>
      </c>
      <c r="Q178" s="77">
        <v>17497</v>
      </c>
      <c r="R178" s="100">
        <f t="shared" si="18"/>
        <v>1.8464542000844237</v>
      </c>
      <c r="S178" s="77">
        <v>1456</v>
      </c>
      <c r="T178" s="71">
        <f t="shared" si="22"/>
        <v>0.15365132967496833</v>
      </c>
      <c r="U178" s="77">
        <v>924</v>
      </c>
      <c r="V178" s="77">
        <v>1312</v>
      </c>
      <c r="W178" s="77">
        <v>18960</v>
      </c>
      <c r="X178" s="77">
        <v>0</v>
      </c>
      <c r="Y178" s="101">
        <f t="shared" si="19"/>
        <v>2.0008442380751372</v>
      </c>
      <c r="Z178" s="101">
        <f t="shared" si="20"/>
        <v>51.382113821138212</v>
      </c>
      <c r="AA178" s="77">
        <v>3440</v>
      </c>
      <c r="AB178" s="2" t="s">
        <v>872</v>
      </c>
      <c r="AC178" s="108" t="s">
        <v>2632</v>
      </c>
      <c r="AD178" s="77">
        <v>40794</v>
      </c>
      <c r="AE178" s="77">
        <v>369</v>
      </c>
      <c r="AF178" s="4">
        <v>9476</v>
      </c>
    </row>
    <row r="179" spans="1:32" ht="13.5" thickBot="1" x14ac:dyDescent="0.25">
      <c r="A179" s="2" t="s">
        <v>315</v>
      </c>
      <c r="B179" s="1" t="s">
        <v>314</v>
      </c>
      <c r="C179" s="2" t="s">
        <v>32</v>
      </c>
      <c r="D179" s="4">
        <v>47781</v>
      </c>
      <c r="E179" s="4">
        <v>48592</v>
      </c>
      <c r="F179" s="4">
        <v>7461</v>
      </c>
      <c r="G179" s="4">
        <v>103834</v>
      </c>
      <c r="H179" s="100">
        <f>Table3[[#This Row],[Circulation of Children''s Materials]]/Table3[[#This Row],[Total Population Served]]</f>
        <v>4.3504506965310021</v>
      </c>
      <c r="I179" s="100">
        <f>Table3[[#This Row],[Circulation of Electronic Materials]]/Table3[[#This Row],[Total Population Served]]</f>
        <v>0.67932258945643265</v>
      </c>
      <c r="J179" s="100">
        <f t="shared" si="16"/>
        <v>9.4540653737594464</v>
      </c>
      <c r="K179" s="100">
        <f t="shared" si="17"/>
        <v>28.408755129958962</v>
      </c>
      <c r="L179" s="102">
        <v>3840</v>
      </c>
      <c r="M179" s="4">
        <v>11301</v>
      </c>
      <c r="N179" s="4">
        <v>96373</v>
      </c>
      <c r="O179" s="4">
        <v>107674</v>
      </c>
      <c r="P179" s="4">
        <v>58029</v>
      </c>
      <c r="Q179" s="4">
        <v>10288</v>
      </c>
      <c r="R179" s="100">
        <f t="shared" si="18"/>
        <v>0.93672038605117003</v>
      </c>
      <c r="S179" s="4">
        <v>3744</v>
      </c>
      <c r="T179" s="71">
        <f t="shared" si="22"/>
        <v>0.34089046708549575</v>
      </c>
      <c r="U179" s="4">
        <v>7702</v>
      </c>
      <c r="V179" s="4">
        <v>7003</v>
      </c>
      <c r="W179" s="4">
        <v>60850</v>
      </c>
      <c r="X179" s="77">
        <v>48642</v>
      </c>
      <c r="Y179" s="101">
        <f t="shared" si="19"/>
        <v>5.5403805881817352</v>
      </c>
      <c r="Z179" s="101">
        <f t="shared" si="20"/>
        <v>16.648426812585498</v>
      </c>
      <c r="AA179" s="4">
        <v>4954</v>
      </c>
      <c r="AB179" s="2" t="s">
        <v>872</v>
      </c>
      <c r="AC179" s="106">
        <v>12220</v>
      </c>
      <c r="AD179" s="4">
        <v>68317</v>
      </c>
      <c r="AE179" s="4">
        <v>3655</v>
      </c>
      <c r="AF179" s="4">
        <v>10983</v>
      </c>
    </row>
    <row r="180" spans="1:32" ht="13.5" thickBot="1" x14ac:dyDescent="0.25">
      <c r="A180" s="2" t="s">
        <v>323</v>
      </c>
      <c r="B180" s="1" t="s">
        <v>322</v>
      </c>
      <c r="C180" s="2" t="s">
        <v>32</v>
      </c>
      <c r="D180" s="4">
        <v>56037</v>
      </c>
      <c r="E180" s="4">
        <v>13766</v>
      </c>
      <c r="F180" s="4">
        <v>4101</v>
      </c>
      <c r="G180" s="4">
        <v>73904</v>
      </c>
      <c r="H180" s="100">
        <f>Table3[[#This Row],[Circulation of Children''s Materials]]/Table3[[#This Row],[Total Population Served]]</f>
        <v>4.9859418097695523</v>
      </c>
      <c r="I180" s="100">
        <f>Table3[[#This Row],[Circulation of Electronic Materials]]/Table3[[#This Row],[Total Population Served]]</f>
        <v>0.36489011477889494</v>
      </c>
      <c r="J180" s="100">
        <f t="shared" si="16"/>
        <v>6.575673992348074</v>
      </c>
      <c r="K180" s="100">
        <f t="shared" si="17"/>
        <v>23.987017202207074</v>
      </c>
      <c r="L180" s="102">
        <v>0</v>
      </c>
      <c r="M180" s="4">
        <v>4101</v>
      </c>
      <c r="N180" s="4">
        <v>69803</v>
      </c>
      <c r="O180" s="4">
        <v>73904</v>
      </c>
      <c r="P180" s="4">
        <v>45594</v>
      </c>
      <c r="Q180" s="4">
        <v>9435</v>
      </c>
      <c r="R180" s="100">
        <f t="shared" si="18"/>
        <v>0.83948749888780139</v>
      </c>
      <c r="S180" s="4">
        <v>5012</v>
      </c>
      <c r="T180" s="71">
        <f t="shared" si="22"/>
        <v>0.44594714832280452</v>
      </c>
      <c r="U180" s="4">
        <v>966</v>
      </c>
      <c r="V180" s="4">
        <v>1055</v>
      </c>
      <c r="W180" s="4">
        <v>82267</v>
      </c>
      <c r="X180" s="77">
        <v>4874</v>
      </c>
      <c r="Y180" s="101">
        <f t="shared" si="19"/>
        <v>7.3197793397989148</v>
      </c>
      <c r="Z180" s="101">
        <f t="shared" si="20"/>
        <v>26.701395650762738</v>
      </c>
      <c r="AA180" s="4">
        <v>6111</v>
      </c>
      <c r="AB180" s="2" t="s">
        <v>872</v>
      </c>
      <c r="AC180" s="106">
        <v>4441</v>
      </c>
      <c r="AD180" s="4">
        <v>55029</v>
      </c>
      <c r="AE180" s="4">
        <v>3081</v>
      </c>
      <c r="AF180" s="4">
        <v>11239</v>
      </c>
    </row>
    <row r="181" spans="1:32" ht="13.5" thickBot="1" x14ac:dyDescent="0.25">
      <c r="A181" s="2" t="s">
        <v>337</v>
      </c>
      <c r="B181" s="1" t="s">
        <v>336</v>
      </c>
      <c r="C181" s="2" t="s">
        <v>32</v>
      </c>
      <c r="D181" s="4">
        <v>11864</v>
      </c>
      <c r="E181" s="4">
        <v>9544</v>
      </c>
      <c r="F181" s="4">
        <v>2814</v>
      </c>
      <c r="G181" s="4">
        <v>24222</v>
      </c>
      <c r="H181" s="100">
        <f>Table3[[#This Row],[Circulation of Children''s Materials]]/Table3[[#This Row],[Total Population Served]]</f>
        <v>1.3367887323943661</v>
      </c>
      <c r="I181" s="100">
        <f>Table3[[#This Row],[Circulation of Electronic Materials]]/Table3[[#This Row],[Total Population Served]]</f>
        <v>0.31707042253521128</v>
      </c>
      <c r="J181" s="100">
        <f t="shared" si="16"/>
        <v>2.7292394366197184</v>
      </c>
      <c r="K181" s="100">
        <f t="shared" si="17"/>
        <v>13.15697990222705</v>
      </c>
      <c r="L181" s="102">
        <v>3518</v>
      </c>
      <c r="M181" s="4">
        <v>6332</v>
      </c>
      <c r="N181" s="4">
        <v>21408</v>
      </c>
      <c r="O181" s="4">
        <v>27740</v>
      </c>
      <c r="P181" s="4">
        <v>38246</v>
      </c>
      <c r="Q181" s="4">
        <v>20694</v>
      </c>
      <c r="R181" s="100">
        <f t="shared" si="18"/>
        <v>2.3317183098591547</v>
      </c>
      <c r="S181" s="77">
        <v>16987</v>
      </c>
      <c r="T181" s="71">
        <f t="shared" si="22"/>
        <v>1.9140281690140846</v>
      </c>
      <c r="U181" s="77">
        <v>3248</v>
      </c>
      <c r="V181" s="4">
        <v>2593</v>
      </c>
      <c r="W181" s="4">
        <v>42385</v>
      </c>
      <c r="X181" s="77">
        <v>32964</v>
      </c>
      <c r="Y181" s="101">
        <f t="shared" si="19"/>
        <v>4.7757746478873235</v>
      </c>
      <c r="Z181" s="101">
        <f t="shared" si="20"/>
        <v>23.022813688212928</v>
      </c>
      <c r="AA181" s="77">
        <v>3588</v>
      </c>
      <c r="AB181" s="2" t="s">
        <v>872</v>
      </c>
      <c r="AC181" s="106">
        <v>6532</v>
      </c>
      <c r="AD181" s="4">
        <v>58940</v>
      </c>
      <c r="AE181" s="4">
        <v>1841</v>
      </c>
      <c r="AF181" s="4">
        <v>8875</v>
      </c>
    </row>
    <row r="182" spans="1:32" ht="13.5" thickBot="1" x14ac:dyDescent="0.25">
      <c r="A182" s="2" t="s">
        <v>357</v>
      </c>
      <c r="B182" s="1" t="s">
        <v>356</v>
      </c>
      <c r="C182" s="2" t="s">
        <v>32</v>
      </c>
      <c r="D182" s="4">
        <v>32060</v>
      </c>
      <c r="E182" s="4">
        <v>54175</v>
      </c>
      <c r="F182" s="4">
        <v>10249</v>
      </c>
      <c r="G182" s="4">
        <v>96484</v>
      </c>
      <c r="H182" s="100">
        <f>Table3[[#This Row],[Circulation of Children''s Materials]]/Table3[[#This Row],[Total Population Served]]</f>
        <v>3.9419648346243696</v>
      </c>
      <c r="I182" s="100">
        <f>Table3[[#This Row],[Circulation of Electronic Materials]]/Table3[[#This Row],[Total Population Served]]</f>
        <v>1.2601745973195624</v>
      </c>
      <c r="J182" s="100">
        <f t="shared" si="16"/>
        <v>11.863273084962499</v>
      </c>
      <c r="K182" s="100">
        <f t="shared" si="17"/>
        <v>18.437607490922989</v>
      </c>
      <c r="L182" s="103" t="s">
        <v>2632</v>
      </c>
      <c r="M182" s="4">
        <v>10249</v>
      </c>
      <c r="N182" s="4">
        <v>86235</v>
      </c>
      <c r="O182" s="4">
        <v>96484</v>
      </c>
      <c r="P182" s="4">
        <v>30005</v>
      </c>
      <c r="Q182" s="4">
        <v>16964</v>
      </c>
      <c r="R182" s="100">
        <f t="shared" si="18"/>
        <v>2.0858231894749784</v>
      </c>
      <c r="S182" s="4">
        <v>800</v>
      </c>
      <c r="T182" s="71">
        <f t="shared" si="22"/>
        <v>9.8364687077339238E-2</v>
      </c>
      <c r="U182" s="4">
        <v>3484</v>
      </c>
      <c r="V182" s="4">
        <v>3431</v>
      </c>
      <c r="W182" s="4">
        <v>40000</v>
      </c>
      <c r="X182" s="77">
        <v>101000</v>
      </c>
      <c r="Y182" s="101">
        <f t="shared" si="19"/>
        <v>4.9182343538669615</v>
      </c>
      <c r="Z182" s="101">
        <f t="shared" si="20"/>
        <v>7.6437989680871397</v>
      </c>
      <c r="AA182" s="4">
        <v>16016</v>
      </c>
      <c r="AB182" s="2" t="s">
        <v>872</v>
      </c>
      <c r="AC182" s="106">
        <v>4501</v>
      </c>
      <c r="AD182" s="4">
        <v>46969</v>
      </c>
      <c r="AE182" s="4">
        <v>5233</v>
      </c>
      <c r="AF182" s="4">
        <v>8133</v>
      </c>
    </row>
    <row r="183" spans="1:32" ht="13.5" thickBot="1" x14ac:dyDescent="0.25">
      <c r="A183" s="2" t="s">
        <v>365</v>
      </c>
      <c r="B183" s="1" t="s">
        <v>364</v>
      </c>
      <c r="C183" s="2" t="s">
        <v>32</v>
      </c>
      <c r="D183" s="77">
        <v>30807</v>
      </c>
      <c r="E183" s="77">
        <v>21630</v>
      </c>
      <c r="F183" s="77">
        <v>3269</v>
      </c>
      <c r="G183" s="77">
        <v>55706</v>
      </c>
      <c r="H183" s="100">
        <f>Table3[[#This Row],[Circulation of Children''s Materials]]/Table3[[#This Row],[Total Population Served]]</f>
        <v>4.317729502452698</v>
      </c>
      <c r="I183" s="100">
        <f>Table3[[#This Row],[Circulation of Electronic Materials]]/Table3[[#This Row],[Total Population Served]]</f>
        <v>0.45816398037841627</v>
      </c>
      <c r="J183" s="100">
        <f t="shared" si="16"/>
        <v>7.8074281709880866</v>
      </c>
      <c r="K183" s="100">
        <f t="shared" si="17"/>
        <v>25.013920071845533</v>
      </c>
      <c r="L183" s="103" t="s">
        <v>2632</v>
      </c>
      <c r="M183" s="77">
        <v>3269</v>
      </c>
      <c r="N183" s="77">
        <v>52437</v>
      </c>
      <c r="O183" s="77">
        <v>55706</v>
      </c>
      <c r="P183" s="77">
        <v>22846</v>
      </c>
      <c r="Q183" s="77">
        <v>9680</v>
      </c>
      <c r="R183" s="100">
        <f t="shared" si="18"/>
        <v>1.3566923615977575</v>
      </c>
      <c r="S183" s="77">
        <v>2142</v>
      </c>
      <c r="T183" s="71">
        <f t="shared" si="22"/>
        <v>0.30021023125437984</v>
      </c>
      <c r="U183" s="77">
        <v>12514</v>
      </c>
      <c r="V183" s="77">
        <v>10559</v>
      </c>
      <c r="W183" s="77">
        <v>60060</v>
      </c>
      <c r="X183" s="78" t="s">
        <v>16</v>
      </c>
      <c r="Y183" s="101">
        <f t="shared" si="19"/>
        <v>8.4176594253679049</v>
      </c>
      <c r="Z183" s="101">
        <f t="shared" si="20"/>
        <v>26.969016614279301</v>
      </c>
      <c r="AA183" s="77">
        <v>6338</v>
      </c>
      <c r="AB183" s="2" t="s">
        <v>872</v>
      </c>
      <c r="AC183" s="106">
        <v>12893</v>
      </c>
      <c r="AD183" s="77">
        <v>32526</v>
      </c>
      <c r="AE183" s="77">
        <v>2227</v>
      </c>
      <c r="AF183" s="4">
        <v>7135</v>
      </c>
    </row>
    <row r="184" spans="1:32" ht="13.5" thickBot="1" x14ac:dyDescent="0.25">
      <c r="A184" s="2" t="s">
        <v>373</v>
      </c>
      <c r="B184" s="1" t="s">
        <v>372</v>
      </c>
      <c r="C184" s="2" t="s">
        <v>32</v>
      </c>
      <c r="D184" s="77">
        <v>55286</v>
      </c>
      <c r="E184" s="77">
        <v>61683</v>
      </c>
      <c r="F184" s="77">
        <v>5032</v>
      </c>
      <c r="G184" s="77">
        <v>122001</v>
      </c>
      <c r="H184" s="100">
        <f>Table3[[#This Row],[Circulation of Children''s Materials]]/Table3[[#This Row],[Total Population Served]]</f>
        <v>4.6576242628475146</v>
      </c>
      <c r="I184" s="100">
        <f>Table3[[#This Row],[Circulation of Electronic Materials]]/Table3[[#This Row],[Total Population Served]]</f>
        <v>0.4239258635214827</v>
      </c>
      <c r="J184" s="100">
        <f t="shared" si="16"/>
        <v>10.278096040438079</v>
      </c>
      <c r="K184" s="100">
        <f t="shared" si="17"/>
        <v>9.0532056990204808</v>
      </c>
      <c r="L184" s="102">
        <v>5379</v>
      </c>
      <c r="M184" s="77">
        <v>10411</v>
      </c>
      <c r="N184" s="77">
        <v>116969</v>
      </c>
      <c r="O184" s="77">
        <v>127380</v>
      </c>
      <c r="P184" s="77">
        <v>52899</v>
      </c>
      <c r="Q184" s="77">
        <v>24870</v>
      </c>
      <c r="R184" s="100">
        <f t="shared" si="18"/>
        <v>2.0951979780960404</v>
      </c>
      <c r="S184" s="77">
        <v>7400</v>
      </c>
      <c r="T184" s="71">
        <f t="shared" si="22"/>
        <v>0.62342038753159223</v>
      </c>
      <c r="U184" s="77">
        <v>2632</v>
      </c>
      <c r="V184" s="77">
        <v>2780</v>
      </c>
      <c r="W184" s="77">
        <v>50540</v>
      </c>
      <c r="X184" s="77">
        <v>27800</v>
      </c>
      <c r="Y184" s="101">
        <f t="shared" si="19"/>
        <v>4.2577927548441448</v>
      </c>
      <c r="Z184" s="101">
        <f t="shared" si="20"/>
        <v>3.7503710299792221</v>
      </c>
      <c r="AA184" s="77">
        <v>8416</v>
      </c>
      <c r="AB184" s="2" t="s">
        <v>872</v>
      </c>
      <c r="AC184" s="106">
        <v>12674</v>
      </c>
      <c r="AD184" s="77">
        <v>77769</v>
      </c>
      <c r="AE184" s="77">
        <v>13476</v>
      </c>
      <c r="AF184" s="4">
        <v>11870</v>
      </c>
    </row>
    <row r="185" spans="1:32" ht="13.5" thickBot="1" x14ac:dyDescent="0.25">
      <c r="A185" s="2" t="s">
        <v>393</v>
      </c>
      <c r="B185" s="1" t="s">
        <v>392</v>
      </c>
      <c r="C185" s="2" t="s">
        <v>32</v>
      </c>
      <c r="D185" s="77">
        <v>23868</v>
      </c>
      <c r="E185" s="77">
        <v>35802</v>
      </c>
      <c r="F185" s="77">
        <v>10587</v>
      </c>
      <c r="G185" s="77">
        <v>70257</v>
      </c>
      <c r="H185" s="100">
        <f>Table3[[#This Row],[Circulation of Children''s Materials]]/Table3[[#This Row],[Total Population Served]]</f>
        <v>2.7234139662254679</v>
      </c>
      <c r="I185" s="100">
        <f>Table3[[#This Row],[Circulation of Electronic Materials]]/Table3[[#This Row],[Total Population Served]]</f>
        <v>1.2080100410771337</v>
      </c>
      <c r="J185" s="100">
        <f t="shared" si="16"/>
        <v>8.0165449566408036</v>
      </c>
      <c r="K185" s="100">
        <f t="shared" si="17"/>
        <v>15.602265156562291</v>
      </c>
      <c r="L185" s="102">
        <v>8159</v>
      </c>
      <c r="M185" s="77">
        <v>18746</v>
      </c>
      <c r="N185" s="77">
        <v>59670</v>
      </c>
      <c r="O185" s="77">
        <v>78416</v>
      </c>
      <c r="P185" s="77">
        <v>44383</v>
      </c>
      <c r="Q185" s="77">
        <v>23277</v>
      </c>
      <c r="R185" s="100">
        <f t="shared" si="18"/>
        <v>2.6559790050205385</v>
      </c>
      <c r="S185" s="77">
        <v>450</v>
      </c>
      <c r="T185" s="71">
        <f t="shared" si="22"/>
        <v>5.1346417161113649E-2</v>
      </c>
      <c r="U185" s="77">
        <v>9980</v>
      </c>
      <c r="V185" s="77">
        <v>9901</v>
      </c>
      <c r="W185" s="77">
        <v>79575</v>
      </c>
      <c r="X185" s="77">
        <v>790</v>
      </c>
      <c r="Y185" s="101">
        <f t="shared" si="19"/>
        <v>9.0797581013235966</v>
      </c>
      <c r="Z185" s="101">
        <f t="shared" si="20"/>
        <v>17.671552298467688</v>
      </c>
      <c r="AA185" s="77">
        <v>5531</v>
      </c>
      <c r="AB185" s="2" t="s">
        <v>872</v>
      </c>
      <c r="AC185" s="106">
        <v>675</v>
      </c>
      <c r="AD185" s="77">
        <v>67660</v>
      </c>
      <c r="AE185" s="77">
        <v>4503</v>
      </c>
      <c r="AF185" s="4">
        <v>8764</v>
      </c>
    </row>
    <row r="186" spans="1:32" ht="13.5" thickBot="1" x14ac:dyDescent="0.25">
      <c r="A186" s="2" t="s">
        <v>425</v>
      </c>
      <c r="B186" s="1" t="s">
        <v>424</v>
      </c>
      <c r="C186" s="2" t="s">
        <v>32</v>
      </c>
      <c r="D186" s="77">
        <v>12000</v>
      </c>
      <c r="E186" s="77">
        <v>27000</v>
      </c>
      <c r="F186" s="77">
        <v>4000</v>
      </c>
      <c r="G186" s="77">
        <v>43000</v>
      </c>
      <c r="H186" s="100">
        <f>Table3[[#This Row],[Circulation of Children''s Materials]]/Table3[[#This Row],[Total Population Served]]</f>
        <v>1.2558869701726845</v>
      </c>
      <c r="I186" s="100">
        <f>Table3[[#This Row],[Circulation of Electronic Materials]]/Table3[[#This Row],[Total Population Served]]</f>
        <v>0.41862899005756149</v>
      </c>
      <c r="J186" s="100">
        <f t="shared" si="16"/>
        <v>4.5002616431187858</v>
      </c>
      <c r="K186" s="100">
        <f t="shared" si="17"/>
        <v>8.2186544342507641</v>
      </c>
      <c r="L186" s="103" t="s">
        <v>2632</v>
      </c>
      <c r="M186" s="77">
        <v>4000</v>
      </c>
      <c r="N186" s="77">
        <v>39000</v>
      </c>
      <c r="O186" s="77">
        <v>43000</v>
      </c>
      <c r="P186" s="77">
        <v>23800</v>
      </c>
      <c r="Q186" s="77">
        <v>10000</v>
      </c>
      <c r="R186" s="100">
        <f t="shared" si="18"/>
        <v>1.0465724751439036</v>
      </c>
      <c r="S186" s="77">
        <v>1150</v>
      </c>
      <c r="T186" s="71">
        <f t="shared" si="22"/>
        <v>0.12035583464154893</v>
      </c>
      <c r="U186" s="77">
        <v>1866</v>
      </c>
      <c r="V186" s="77">
        <v>2088</v>
      </c>
      <c r="W186" s="77">
        <v>29120</v>
      </c>
      <c r="X186" s="77">
        <v>940</v>
      </c>
      <c r="Y186" s="101">
        <f t="shared" si="19"/>
        <v>3.0476190476190474</v>
      </c>
      <c r="Z186" s="101">
        <f t="shared" si="20"/>
        <v>5.5657492354740059</v>
      </c>
      <c r="AA186" s="77">
        <v>6240</v>
      </c>
      <c r="AB186" s="2" t="s">
        <v>872</v>
      </c>
      <c r="AC186" s="106">
        <v>850</v>
      </c>
      <c r="AD186" s="77">
        <v>33800</v>
      </c>
      <c r="AE186" s="77">
        <v>5232</v>
      </c>
      <c r="AF186" s="4">
        <v>9555</v>
      </c>
    </row>
    <row r="187" spans="1:32" ht="13.5" thickBot="1" x14ac:dyDescent="0.25">
      <c r="A187" s="2" t="s">
        <v>423</v>
      </c>
      <c r="B187" s="1" t="s">
        <v>422</v>
      </c>
      <c r="C187" s="2" t="s">
        <v>32</v>
      </c>
      <c r="D187" s="4">
        <v>2107</v>
      </c>
      <c r="E187" s="4">
        <v>4449</v>
      </c>
      <c r="F187" s="4">
        <v>1033</v>
      </c>
      <c r="G187" s="4">
        <v>7589</v>
      </c>
      <c r="H187" s="100">
        <f>Table3[[#This Row],[Circulation of Children''s Materials]]/Table3[[#This Row],[Total Population Served]]</f>
        <v>0.22102171404594567</v>
      </c>
      <c r="I187" s="100">
        <f>Table3[[#This Row],[Circulation of Electronic Materials]]/Table3[[#This Row],[Total Population Served]]</f>
        <v>0.10836043218294346</v>
      </c>
      <c r="J187" s="100">
        <f t="shared" si="16"/>
        <v>0.79607678590160491</v>
      </c>
      <c r="K187" s="100">
        <f t="shared" si="17"/>
        <v>4.8772493573264786</v>
      </c>
      <c r="L187" s="102">
        <v>0</v>
      </c>
      <c r="M187" s="4">
        <v>1033</v>
      </c>
      <c r="N187" s="4">
        <v>6556</v>
      </c>
      <c r="O187" s="4">
        <v>7589</v>
      </c>
      <c r="P187" s="4">
        <v>23706</v>
      </c>
      <c r="Q187" s="4">
        <v>12179</v>
      </c>
      <c r="R187" s="100">
        <f t="shared" si="18"/>
        <v>1.2775621525228156</v>
      </c>
      <c r="S187" s="77">
        <v>15</v>
      </c>
      <c r="T187" s="71">
        <f t="shared" si="22"/>
        <v>1.5734815902653939E-3</v>
      </c>
      <c r="U187" s="77">
        <v>234</v>
      </c>
      <c r="V187" s="4">
        <v>292</v>
      </c>
      <c r="W187" s="4">
        <v>6697</v>
      </c>
      <c r="X187" s="77">
        <v>2842</v>
      </c>
      <c r="Y187" s="101">
        <f t="shared" si="19"/>
        <v>0.70250708066715617</v>
      </c>
      <c r="Z187" s="101">
        <f t="shared" si="20"/>
        <v>4.303984575835476</v>
      </c>
      <c r="AA187" s="77">
        <v>1672</v>
      </c>
      <c r="AB187" s="2" t="s">
        <v>872</v>
      </c>
      <c r="AC187" s="106">
        <v>144</v>
      </c>
      <c r="AD187" s="4">
        <v>35885</v>
      </c>
      <c r="AE187" s="4">
        <v>1556</v>
      </c>
      <c r="AF187" s="4">
        <v>9533</v>
      </c>
    </row>
    <row r="188" spans="1:32" ht="13.5" thickBot="1" x14ac:dyDescent="0.25">
      <c r="A188" s="2" t="s">
        <v>447</v>
      </c>
      <c r="B188" s="1" t="s">
        <v>446</v>
      </c>
      <c r="C188" s="2" t="s">
        <v>32</v>
      </c>
      <c r="D188" s="77">
        <v>7161</v>
      </c>
      <c r="E188" s="77">
        <v>17701</v>
      </c>
      <c r="F188" s="77">
        <v>1108</v>
      </c>
      <c r="G188" s="77">
        <v>25970</v>
      </c>
      <c r="H188" s="100">
        <f>Table3[[#This Row],[Circulation of Children''s Materials]]/Table3[[#This Row],[Total Population Served]]</f>
        <v>0.68395415472779375</v>
      </c>
      <c r="I188" s="100">
        <f>Table3[[#This Row],[Circulation of Electronic Materials]]/Table3[[#This Row],[Total Population Served]]</f>
        <v>0.10582617000955109</v>
      </c>
      <c r="J188" s="100">
        <f t="shared" si="16"/>
        <v>2.4804202483285578</v>
      </c>
      <c r="K188" s="100">
        <f t="shared" si="17"/>
        <v>6.3171977621016788</v>
      </c>
      <c r="L188" s="102">
        <v>0</v>
      </c>
      <c r="M188" s="77">
        <v>1108</v>
      </c>
      <c r="N188" s="77">
        <v>24862</v>
      </c>
      <c r="O188" s="77">
        <v>25970</v>
      </c>
      <c r="P188" s="77">
        <v>29088</v>
      </c>
      <c r="Q188" s="77">
        <v>1108</v>
      </c>
      <c r="R188" s="100">
        <f t="shared" si="18"/>
        <v>0.10582617000955109</v>
      </c>
      <c r="S188" s="77">
        <v>4171</v>
      </c>
      <c r="T188" s="71">
        <f t="shared" si="22"/>
        <v>0.39837631327602674</v>
      </c>
      <c r="U188" s="77">
        <v>3452</v>
      </c>
      <c r="V188" s="77">
        <v>3225</v>
      </c>
      <c r="W188" s="77">
        <v>22068</v>
      </c>
      <c r="X188" s="77">
        <v>0</v>
      </c>
      <c r="Y188" s="101">
        <f t="shared" si="19"/>
        <v>2.1077363896848138</v>
      </c>
      <c r="Z188" s="101">
        <f t="shared" si="20"/>
        <v>5.3680369739722691</v>
      </c>
      <c r="AA188" s="77">
        <v>3865</v>
      </c>
      <c r="AB188" s="2" t="s">
        <v>872</v>
      </c>
      <c r="AC188" s="107" t="s">
        <v>2632</v>
      </c>
      <c r="AD188" s="77">
        <v>30196</v>
      </c>
      <c r="AE188" s="77">
        <v>4111</v>
      </c>
      <c r="AF188" s="4">
        <v>10470</v>
      </c>
    </row>
    <row r="189" spans="1:32" ht="13.5" thickBot="1" x14ac:dyDescent="0.25">
      <c r="A189" s="2" t="s">
        <v>461</v>
      </c>
      <c r="B189" s="1" t="s">
        <v>460</v>
      </c>
      <c r="C189" s="2" t="s">
        <v>32</v>
      </c>
      <c r="D189" s="77">
        <v>12550</v>
      </c>
      <c r="E189" s="77">
        <v>13197</v>
      </c>
      <c r="F189" s="77">
        <v>2164</v>
      </c>
      <c r="G189" s="77">
        <v>27911</v>
      </c>
      <c r="H189" s="100">
        <f>Table3[[#This Row],[Circulation of Children''s Materials]]/Table3[[#This Row],[Total Population Served]]</f>
        <v>1.083671530955876</v>
      </c>
      <c r="I189" s="100">
        <f>Table3[[#This Row],[Circulation of Electronic Materials]]/Table3[[#This Row],[Total Population Served]]</f>
        <v>0.18685778430187375</v>
      </c>
      <c r="J189" s="100">
        <f t="shared" si="16"/>
        <v>2.4100682151800363</v>
      </c>
      <c r="K189" s="100">
        <f t="shared" si="17"/>
        <v>5.635170603674541</v>
      </c>
      <c r="L189" s="102">
        <v>0</v>
      </c>
      <c r="M189" s="77">
        <v>2164</v>
      </c>
      <c r="N189" s="77">
        <v>25747</v>
      </c>
      <c r="O189" s="77">
        <v>27911</v>
      </c>
      <c r="P189" s="77">
        <v>44393</v>
      </c>
      <c r="Q189" s="77">
        <v>14917</v>
      </c>
      <c r="R189" s="100">
        <f t="shared" si="18"/>
        <v>1.2880580260771954</v>
      </c>
      <c r="S189" s="77">
        <v>1849</v>
      </c>
      <c r="T189" s="71">
        <f t="shared" si="22"/>
        <v>0.15965806061652707</v>
      </c>
      <c r="U189" s="77">
        <v>6268</v>
      </c>
      <c r="V189" s="77">
        <v>7312</v>
      </c>
      <c r="W189" s="77">
        <v>19614</v>
      </c>
      <c r="X189" s="77">
        <v>8600</v>
      </c>
      <c r="Y189" s="101">
        <f t="shared" si="19"/>
        <v>1.6936361281409205</v>
      </c>
      <c r="Z189" s="101">
        <f t="shared" si="20"/>
        <v>3.9600242277407633</v>
      </c>
      <c r="AA189" s="77">
        <v>7574</v>
      </c>
      <c r="AB189" s="2" t="s">
        <v>872</v>
      </c>
      <c r="AC189" s="106">
        <v>3013</v>
      </c>
      <c r="AD189" s="77">
        <v>59310</v>
      </c>
      <c r="AE189" s="77">
        <v>4953</v>
      </c>
      <c r="AF189" s="4">
        <v>11581</v>
      </c>
    </row>
    <row r="190" spans="1:32" ht="13.5" thickBot="1" x14ac:dyDescent="0.25">
      <c r="A190" s="2" t="s">
        <v>484</v>
      </c>
      <c r="B190" s="1" t="s">
        <v>483</v>
      </c>
      <c r="C190" s="2" t="s">
        <v>32</v>
      </c>
      <c r="D190" s="77">
        <v>7140</v>
      </c>
      <c r="E190" s="77">
        <v>25716</v>
      </c>
      <c r="F190" s="77">
        <v>4500</v>
      </c>
      <c r="G190" s="77">
        <v>37356</v>
      </c>
      <c r="H190" s="100">
        <f>Table3[[#This Row],[Circulation of Children''s Materials]]/Table3[[#This Row],[Total Population Served]]</f>
        <v>0.9764770240700219</v>
      </c>
      <c r="I190" s="100">
        <f>Table3[[#This Row],[Circulation of Electronic Materials]]/Table3[[#This Row],[Total Population Served]]</f>
        <v>0.6154266958424508</v>
      </c>
      <c r="J190" s="100">
        <f t="shared" si="16"/>
        <v>5.1088621444201312</v>
      </c>
      <c r="K190" s="100">
        <f t="shared" si="17"/>
        <v>14.823809523809524</v>
      </c>
      <c r="L190" s="102">
        <v>4500</v>
      </c>
      <c r="M190" s="77">
        <v>9000</v>
      </c>
      <c r="N190" s="77">
        <v>32856</v>
      </c>
      <c r="O190" s="77">
        <v>41856</v>
      </c>
      <c r="P190" s="77">
        <v>30254</v>
      </c>
      <c r="Q190" s="77">
        <v>10400</v>
      </c>
      <c r="R190" s="100">
        <f t="shared" si="18"/>
        <v>1.4223194748358863</v>
      </c>
      <c r="S190" s="77">
        <v>4445</v>
      </c>
      <c r="T190" s="71">
        <f t="shared" si="22"/>
        <v>0.60790481400437635</v>
      </c>
      <c r="U190" s="77">
        <v>6696</v>
      </c>
      <c r="V190" s="77">
        <v>7812</v>
      </c>
      <c r="W190" s="77">
        <v>20520</v>
      </c>
      <c r="X190" s="77">
        <v>64641</v>
      </c>
      <c r="Y190" s="101">
        <f t="shared" si="19"/>
        <v>2.8063457330415753</v>
      </c>
      <c r="Z190" s="101">
        <f t="shared" si="20"/>
        <v>8.1428571428571423</v>
      </c>
      <c r="AA190" s="77">
        <v>6896</v>
      </c>
      <c r="AB190" s="2" t="s">
        <v>872</v>
      </c>
      <c r="AC190" s="106">
        <v>15876</v>
      </c>
      <c r="AD190" s="77">
        <v>40654</v>
      </c>
      <c r="AE190" s="77">
        <v>2520</v>
      </c>
      <c r="AF190" s="4">
        <v>7312</v>
      </c>
    </row>
    <row r="191" spans="1:32" ht="13.5" thickBot="1" x14ac:dyDescent="0.25">
      <c r="A191" s="2" t="s">
        <v>490</v>
      </c>
      <c r="B191" s="1" t="s">
        <v>489</v>
      </c>
      <c r="C191" s="2" t="s">
        <v>32</v>
      </c>
      <c r="D191" s="4">
        <v>14858</v>
      </c>
      <c r="E191" s="4">
        <v>10644</v>
      </c>
      <c r="F191" s="4">
        <v>4449</v>
      </c>
      <c r="G191" s="4">
        <v>29951</v>
      </c>
      <c r="H191" s="100">
        <f>Table3[[#This Row],[Circulation of Children''s Materials]]/Table3[[#This Row],[Total Population Served]]</f>
        <v>1.7806807286673059</v>
      </c>
      <c r="I191" s="100">
        <f>Table3[[#This Row],[Circulation of Electronic Materials]]/Table3[[#This Row],[Total Population Served]]</f>
        <v>0.53319750719079573</v>
      </c>
      <c r="J191" s="100">
        <f t="shared" si="16"/>
        <v>3.5895254074784275</v>
      </c>
      <c r="K191" s="100">
        <f t="shared" si="17"/>
        <v>9.1425518925518929</v>
      </c>
      <c r="L191" s="103" t="s">
        <v>2632</v>
      </c>
      <c r="M191" s="4">
        <v>4449</v>
      </c>
      <c r="N191" s="4">
        <v>25502</v>
      </c>
      <c r="O191" s="4">
        <v>29951</v>
      </c>
      <c r="P191" s="4">
        <v>33842</v>
      </c>
      <c r="Q191" s="4">
        <v>11644</v>
      </c>
      <c r="R191" s="100">
        <f t="shared" si="18"/>
        <v>1.3954937679769894</v>
      </c>
      <c r="S191" s="77">
        <v>3898</v>
      </c>
      <c r="T191" s="71">
        <f t="shared" si="22"/>
        <v>0.46716203259827421</v>
      </c>
      <c r="U191" s="4">
        <v>0</v>
      </c>
      <c r="V191" s="4">
        <v>128</v>
      </c>
      <c r="W191" s="4">
        <v>43239</v>
      </c>
      <c r="X191" s="77">
        <v>2485</v>
      </c>
      <c r="Y191" s="101">
        <f t="shared" si="19"/>
        <v>5.1820469798657722</v>
      </c>
      <c r="Z191" s="101">
        <f t="shared" si="20"/>
        <v>13.198717948717949</v>
      </c>
      <c r="AA191" s="4">
        <v>2149</v>
      </c>
      <c r="AB191" s="2" t="s">
        <v>872</v>
      </c>
      <c r="AC191" s="106">
        <v>2151</v>
      </c>
      <c r="AD191" s="4">
        <v>45486</v>
      </c>
      <c r="AE191" s="4">
        <v>3276</v>
      </c>
      <c r="AF191" s="4">
        <v>8344</v>
      </c>
    </row>
    <row r="192" spans="1:32" ht="13.5" thickBot="1" x14ac:dyDescent="0.25">
      <c r="A192" s="2" t="s">
        <v>510</v>
      </c>
      <c r="B192" s="1" t="s">
        <v>509</v>
      </c>
      <c r="C192" s="2" t="s">
        <v>32</v>
      </c>
      <c r="D192" s="77">
        <v>7100</v>
      </c>
      <c r="E192" s="77">
        <v>8019</v>
      </c>
      <c r="F192" s="77">
        <v>0</v>
      </c>
      <c r="G192" s="77">
        <v>15119</v>
      </c>
      <c r="H192" s="100">
        <f>Table3[[#This Row],[Circulation of Children''s Materials]]/Table3[[#This Row],[Total Population Served]]</f>
        <v>0.66262249183387778</v>
      </c>
      <c r="I192" s="100">
        <f>Table3[[#This Row],[Circulation of Electronic Materials]]/Table3[[#This Row],[Total Population Served]]</f>
        <v>0</v>
      </c>
      <c r="J192" s="100">
        <f t="shared" si="16"/>
        <v>1.4110125991600559</v>
      </c>
      <c r="K192" s="100">
        <f t="shared" si="17"/>
        <v>6.93850390087196</v>
      </c>
      <c r="L192" s="102">
        <v>0</v>
      </c>
      <c r="M192" s="77">
        <v>0</v>
      </c>
      <c r="N192" s="77">
        <v>15119</v>
      </c>
      <c r="O192" s="77">
        <v>15119</v>
      </c>
      <c r="P192" s="77">
        <v>34772</v>
      </c>
      <c r="Q192" s="77">
        <v>0</v>
      </c>
      <c r="R192" s="100">
        <f t="shared" si="18"/>
        <v>0</v>
      </c>
      <c r="S192" s="77">
        <v>8900</v>
      </c>
      <c r="T192" s="71">
        <f t="shared" si="22"/>
        <v>0.8306112925804946</v>
      </c>
      <c r="U192" s="77">
        <v>4246</v>
      </c>
      <c r="V192" s="77">
        <v>2898</v>
      </c>
      <c r="W192" s="77">
        <v>8116</v>
      </c>
      <c r="X192" s="77">
        <v>14500</v>
      </c>
      <c r="Y192" s="101">
        <f t="shared" si="19"/>
        <v>0.75744283714419036</v>
      </c>
      <c r="Z192" s="101">
        <f t="shared" si="20"/>
        <v>3.7246443322625056</v>
      </c>
      <c r="AA192" s="77">
        <v>6438</v>
      </c>
      <c r="AB192" s="2" t="s">
        <v>872</v>
      </c>
      <c r="AC192" s="106">
        <v>610</v>
      </c>
      <c r="AD192" s="77">
        <v>34772</v>
      </c>
      <c r="AE192" s="77">
        <v>2179</v>
      </c>
      <c r="AF192" s="4">
        <v>10715</v>
      </c>
    </row>
    <row r="193" spans="1:32" ht="13.5" thickBot="1" x14ac:dyDescent="0.25">
      <c r="A193" s="2" t="s">
        <v>522</v>
      </c>
      <c r="B193" s="1" t="s">
        <v>521</v>
      </c>
      <c r="C193" s="2" t="s">
        <v>32</v>
      </c>
      <c r="D193" s="77">
        <v>5908</v>
      </c>
      <c r="E193" s="77">
        <v>16387</v>
      </c>
      <c r="F193" s="77">
        <v>1611</v>
      </c>
      <c r="G193" s="77">
        <v>23906</v>
      </c>
      <c r="H193" s="100">
        <f>Table3[[#This Row],[Circulation of Children''s Materials]]/Table3[[#This Row],[Total Population Served]]</f>
        <v>0.79579741379310343</v>
      </c>
      <c r="I193" s="100">
        <f>Table3[[#This Row],[Circulation of Electronic Materials]]/Table3[[#This Row],[Total Population Served]]</f>
        <v>0.21699892241379309</v>
      </c>
      <c r="J193" s="100">
        <f t="shared" si="16"/>
        <v>3.2200969827586206</v>
      </c>
      <c r="K193" s="100">
        <f t="shared" si="17"/>
        <v>7.5484685822544995</v>
      </c>
      <c r="L193" s="102">
        <v>0</v>
      </c>
      <c r="M193" s="77">
        <v>1611</v>
      </c>
      <c r="N193" s="77">
        <v>22295</v>
      </c>
      <c r="O193" s="77">
        <v>23906</v>
      </c>
      <c r="P193" s="77">
        <v>28020</v>
      </c>
      <c r="Q193" s="77">
        <v>10561</v>
      </c>
      <c r="R193" s="100">
        <f t="shared" si="18"/>
        <v>1.4225484913793103</v>
      </c>
      <c r="S193" s="77">
        <v>672</v>
      </c>
      <c r="T193" s="71">
        <f t="shared" si="22"/>
        <v>9.0517241379310345E-2</v>
      </c>
      <c r="U193" s="77">
        <v>1670</v>
      </c>
      <c r="V193" s="77">
        <v>1852</v>
      </c>
      <c r="W193" s="77">
        <v>34724</v>
      </c>
      <c r="X193" s="77">
        <v>17021</v>
      </c>
      <c r="Y193" s="101">
        <f t="shared" si="19"/>
        <v>4.6772629310344831</v>
      </c>
      <c r="Z193" s="101">
        <f t="shared" si="20"/>
        <v>10.964319545311019</v>
      </c>
      <c r="AA193" s="77">
        <v>4482</v>
      </c>
      <c r="AB193" s="2" t="s">
        <v>872</v>
      </c>
      <c r="AC193" s="106">
        <v>3718</v>
      </c>
      <c r="AD193" s="77">
        <v>38581</v>
      </c>
      <c r="AE193" s="77">
        <v>3167</v>
      </c>
      <c r="AF193" s="4">
        <v>7424</v>
      </c>
    </row>
    <row r="194" spans="1:32" ht="13.5" thickBot="1" x14ac:dyDescent="0.25">
      <c r="A194" s="2" t="s">
        <v>528</v>
      </c>
      <c r="B194" s="1" t="s">
        <v>527</v>
      </c>
      <c r="C194" s="2" t="s">
        <v>32</v>
      </c>
      <c r="D194" s="4">
        <v>11020</v>
      </c>
      <c r="E194" s="4">
        <v>48122</v>
      </c>
      <c r="F194" s="4">
        <v>3377</v>
      </c>
      <c r="G194" s="4">
        <v>62519</v>
      </c>
      <c r="H194" s="100">
        <f>Table3[[#This Row],[Circulation of Children''s Materials]]/Table3[[#This Row],[Total Population Served]]</f>
        <v>1.1285202252944189</v>
      </c>
      <c r="I194" s="100">
        <f>Table3[[#This Row],[Circulation of Electronic Materials]]/Table3[[#This Row],[Total Population Served]]</f>
        <v>0.34582693292370714</v>
      </c>
      <c r="J194" s="100">
        <f t="shared" si="16"/>
        <v>6.4023553507424475</v>
      </c>
      <c r="K194" s="100">
        <f t="shared" si="17"/>
        <v>11.494576208861924</v>
      </c>
      <c r="L194" s="102">
        <v>0</v>
      </c>
      <c r="M194" s="4">
        <v>3377</v>
      </c>
      <c r="N194" s="4">
        <v>59142</v>
      </c>
      <c r="O194" s="4">
        <v>62519</v>
      </c>
      <c r="P194" s="4">
        <v>51642</v>
      </c>
      <c r="Q194" s="4">
        <v>18080</v>
      </c>
      <c r="R194" s="100">
        <f t="shared" si="18"/>
        <v>1.851510496671787</v>
      </c>
      <c r="S194" s="77">
        <v>38970</v>
      </c>
      <c r="T194" s="71">
        <f t="shared" si="22"/>
        <v>3.9907834101382487</v>
      </c>
      <c r="U194" s="77">
        <v>9199</v>
      </c>
      <c r="V194" s="4">
        <v>10346</v>
      </c>
      <c r="W194" s="4">
        <v>49238</v>
      </c>
      <c r="X194" s="78" t="s">
        <v>16</v>
      </c>
      <c r="Y194" s="101">
        <f t="shared" si="19"/>
        <v>5.0422939068100359</v>
      </c>
      <c r="Z194" s="101">
        <f t="shared" si="20"/>
        <v>9.0527670527670523</v>
      </c>
      <c r="AA194" s="77">
        <v>16613</v>
      </c>
      <c r="AB194" s="2" t="s">
        <v>872</v>
      </c>
      <c r="AC194" s="106">
        <v>12250</v>
      </c>
      <c r="AD194" s="4">
        <v>69722</v>
      </c>
      <c r="AE194" s="4">
        <v>5439</v>
      </c>
      <c r="AF194" s="4">
        <v>9765</v>
      </c>
    </row>
    <row r="195" spans="1:32" ht="13.5" thickBot="1" x14ac:dyDescent="0.25">
      <c r="A195" s="2" t="s">
        <v>538</v>
      </c>
      <c r="B195" s="1" t="s">
        <v>537</v>
      </c>
      <c r="C195" s="2" t="s">
        <v>32</v>
      </c>
      <c r="D195" s="4">
        <v>3783</v>
      </c>
      <c r="E195" s="4">
        <v>14797</v>
      </c>
      <c r="F195" s="4">
        <v>3668</v>
      </c>
      <c r="G195" s="4">
        <v>22248</v>
      </c>
      <c r="H195" s="100">
        <f>Table3[[#This Row],[Circulation of Children''s Materials]]/Table3[[#This Row],[Total Population Served]]</f>
        <v>0.39312064844643041</v>
      </c>
      <c r="I195" s="100">
        <f>Table3[[#This Row],[Circulation of Electronic Materials]]/Table3[[#This Row],[Total Population Served]]</f>
        <v>0.38117011327028993</v>
      </c>
      <c r="J195" s="100">
        <f t="shared" si="16"/>
        <v>2.3119609269458588</v>
      </c>
      <c r="K195" s="100">
        <f t="shared" si="17"/>
        <v>7.7844646606018193</v>
      </c>
      <c r="L195" s="102">
        <v>7890</v>
      </c>
      <c r="M195" s="4">
        <v>11558</v>
      </c>
      <c r="N195" s="4">
        <v>18580</v>
      </c>
      <c r="O195" s="4">
        <v>30138</v>
      </c>
      <c r="P195" s="4">
        <v>28756</v>
      </c>
      <c r="Q195" s="4">
        <v>12179</v>
      </c>
      <c r="R195" s="100">
        <f t="shared" si="18"/>
        <v>1.2656136340018704</v>
      </c>
      <c r="S195" s="4">
        <v>12960</v>
      </c>
      <c r="T195" s="71">
        <f t="shared" si="22"/>
        <v>1.3467733555024421</v>
      </c>
      <c r="U195" s="4">
        <v>3118</v>
      </c>
      <c r="V195" s="4">
        <v>2674</v>
      </c>
      <c r="W195" s="4">
        <v>35630</v>
      </c>
      <c r="X195" s="77">
        <v>7180</v>
      </c>
      <c r="Y195" s="101">
        <f t="shared" si="19"/>
        <v>3.7025875506598775</v>
      </c>
      <c r="Z195" s="101">
        <f t="shared" si="20"/>
        <v>12.466759972008397</v>
      </c>
      <c r="AA195" s="4">
        <v>3017</v>
      </c>
      <c r="AB195" s="2" t="s">
        <v>872</v>
      </c>
      <c r="AC195" s="106">
        <v>3323</v>
      </c>
      <c r="AD195" s="4">
        <v>40935</v>
      </c>
      <c r="AE195" s="4">
        <v>2858</v>
      </c>
      <c r="AF195" s="4">
        <v>9623</v>
      </c>
    </row>
    <row r="196" spans="1:32" ht="13.5" thickBot="1" x14ac:dyDescent="0.25">
      <c r="A196" s="2" t="s">
        <v>542</v>
      </c>
      <c r="B196" s="1" t="s">
        <v>541</v>
      </c>
      <c r="C196" s="2" t="s">
        <v>32</v>
      </c>
      <c r="D196" s="77">
        <v>3690</v>
      </c>
      <c r="E196" s="77">
        <v>7376</v>
      </c>
      <c r="F196" s="77">
        <v>2314</v>
      </c>
      <c r="G196" s="77">
        <v>13380</v>
      </c>
      <c r="H196" s="100">
        <f>Table3[[#This Row],[Circulation of Children''s Materials]]/Table3[[#This Row],[Total Population Served]]</f>
        <v>0.48197492163009403</v>
      </c>
      <c r="I196" s="100">
        <f>Table3[[#This Row],[Circulation of Electronic Materials]]/Table3[[#This Row],[Total Population Served]]</f>
        <v>0.30224660397074188</v>
      </c>
      <c r="J196" s="100">
        <f t="shared" ref="J196:J259" si="23">G196/AF196</f>
        <v>1.7476489028213167</v>
      </c>
      <c r="K196" s="100">
        <f t="shared" ref="K196:K259" si="24">G196/AE196</f>
        <v>5.4501018329938899</v>
      </c>
      <c r="L196" s="102">
        <v>17</v>
      </c>
      <c r="M196" s="77">
        <v>2331</v>
      </c>
      <c r="N196" s="77">
        <v>11066</v>
      </c>
      <c r="O196" s="77">
        <v>13397</v>
      </c>
      <c r="P196" s="77">
        <v>34905</v>
      </c>
      <c r="Q196" s="77">
        <v>11306</v>
      </c>
      <c r="R196" s="100">
        <f t="shared" ref="R196:R259" si="25">Q196/AF196</f>
        <v>1.4767502612330199</v>
      </c>
      <c r="S196" s="77">
        <v>2431</v>
      </c>
      <c r="T196" s="71">
        <f t="shared" si="22"/>
        <v>0.31752873563218392</v>
      </c>
      <c r="U196" s="77">
        <v>1121</v>
      </c>
      <c r="V196" s="77">
        <v>1163</v>
      </c>
      <c r="W196" s="77">
        <v>14067</v>
      </c>
      <c r="X196" s="77">
        <v>6406</v>
      </c>
      <c r="Y196" s="101">
        <f t="shared" ref="Y196:Y259" si="26">W196/AF196</f>
        <v>1.8373824451410659</v>
      </c>
      <c r="Z196" s="101">
        <f t="shared" ref="Z196:Z259" si="27">W196/AE196</f>
        <v>5.729938900203666</v>
      </c>
      <c r="AA196" s="77">
        <v>3041</v>
      </c>
      <c r="AB196" s="2" t="s">
        <v>872</v>
      </c>
      <c r="AC196" s="106">
        <v>3647</v>
      </c>
      <c r="AD196" s="77">
        <v>46211</v>
      </c>
      <c r="AE196" s="77">
        <v>2455</v>
      </c>
      <c r="AF196" s="4">
        <v>7656</v>
      </c>
    </row>
    <row r="197" spans="1:32" ht="13.5" thickBot="1" x14ac:dyDescent="0.25">
      <c r="A197" s="2" t="s">
        <v>554</v>
      </c>
      <c r="B197" s="1" t="s">
        <v>553</v>
      </c>
      <c r="C197" s="2" t="s">
        <v>32</v>
      </c>
      <c r="D197" s="4">
        <v>16262</v>
      </c>
      <c r="E197" s="4">
        <v>10645</v>
      </c>
      <c r="F197" s="4">
        <v>17076</v>
      </c>
      <c r="G197" s="4">
        <v>43983</v>
      </c>
      <c r="H197" s="100">
        <f>Table3[[#This Row],[Circulation of Children''s Materials]]/Table3[[#This Row],[Total Population Served]]</f>
        <v>1.9466124012449126</v>
      </c>
      <c r="I197" s="100">
        <f>Table3[[#This Row],[Circulation of Electronic Materials]]/Table3[[#This Row],[Total Population Served]]</f>
        <v>2.0440507541297581</v>
      </c>
      <c r="J197" s="100">
        <f t="shared" si="23"/>
        <v>5.26490304045966</v>
      </c>
      <c r="K197" s="100">
        <f t="shared" si="24"/>
        <v>6.0316785518376301</v>
      </c>
      <c r="L197" s="102">
        <v>4958</v>
      </c>
      <c r="M197" s="4">
        <v>22034</v>
      </c>
      <c r="N197" s="4">
        <v>26907</v>
      </c>
      <c r="O197" s="4">
        <v>48941</v>
      </c>
      <c r="P197" s="4">
        <v>20441</v>
      </c>
      <c r="Q197" s="4">
        <v>43885</v>
      </c>
      <c r="R197" s="100">
        <f t="shared" si="25"/>
        <v>5.2531721331098877</v>
      </c>
      <c r="S197" s="4">
        <v>3118</v>
      </c>
      <c r="T197" s="71">
        <f t="shared" si="22"/>
        <v>0.37323437874072302</v>
      </c>
      <c r="U197" s="4">
        <v>3349</v>
      </c>
      <c r="V197" s="4">
        <v>4731</v>
      </c>
      <c r="W197" s="4">
        <v>25301</v>
      </c>
      <c r="X197" s="77">
        <v>156378</v>
      </c>
      <c r="Y197" s="101">
        <f t="shared" si="26"/>
        <v>3.0286090495570983</v>
      </c>
      <c r="Z197" s="101">
        <f t="shared" si="27"/>
        <v>3.4696928140427867</v>
      </c>
      <c r="AA197" s="4">
        <v>21301</v>
      </c>
      <c r="AB197" s="2" t="s">
        <v>872</v>
      </c>
      <c r="AC197" s="106">
        <v>44876</v>
      </c>
      <c r="AD197" s="4">
        <v>64326</v>
      </c>
      <c r="AE197" s="4">
        <v>7292</v>
      </c>
      <c r="AF197" s="4">
        <v>8354</v>
      </c>
    </row>
    <row r="198" spans="1:32" ht="13.5" thickBot="1" x14ac:dyDescent="0.25">
      <c r="A198" s="2" t="s">
        <v>572</v>
      </c>
      <c r="B198" s="1" t="s">
        <v>571</v>
      </c>
      <c r="C198" s="2" t="s">
        <v>32</v>
      </c>
      <c r="D198" s="77">
        <v>0</v>
      </c>
      <c r="E198" s="77">
        <v>14909</v>
      </c>
      <c r="F198" s="77">
        <v>2303</v>
      </c>
      <c r="G198" s="77">
        <v>17212</v>
      </c>
      <c r="H198" s="100">
        <f>Table3[[#This Row],[Circulation of Children''s Materials]]/Table3[[#This Row],[Total Population Served]]</f>
        <v>0</v>
      </c>
      <c r="I198" s="100">
        <f>Table3[[#This Row],[Circulation of Electronic Materials]]/Table3[[#This Row],[Total Population Served]]</f>
        <v>0.26655092592592594</v>
      </c>
      <c r="J198" s="100">
        <f t="shared" si="23"/>
        <v>1.9921296296296296</v>
      </c>
      <c r="K198" s="100">
        <f t="shared" si="24"/>
        <v>3.6769920957060456</v>
      </c>
      <c r="L198" s="102">
        <v>0</v>
      </c>
      <c r="M198" s="77">
        <v>2303</v>
      </c>
      <c r="N198" s="77">
        <v>14909</v>
      </c>
      <c r="O198" s="77">
        <v>17212</v>
      </c>
      <c r="P198" s="77">
        <v>27596</v>
      </c>
      <c r="Q198" s="77">
        <v>2337</v>
      </c>
      <c r="R198" s="100">
        <f t="shared" si="25"/>
        <v>0.27048611111111109</v>
      </c>
      <c r="S198" s="77">
        <v>1589</v>
      </c>
      <c r="T198" s="71">
        <f t="shared" si="22"/>
        <v>0.18391203703703704</v>
      </c>
      <c r="U198" s="77">
        <v>2791</v>
      </c>
      <c r="V198" s="77">
        <v>3347</v>
      </c>
      <c r="W198" s="77">
        <v>21955</v>
      </c>
      <c r="X198" s="77">
        <v>0</v>
      </c>
      <c r="Y198" s="101">
        <f t="shared" si="26"/>
        <v>2.5410879629629628</v>
      </c>
      <c r="Z198" s="101">
        <f t="shared" si="27"/>
        <v>4.6902371288186284</v>
      </c>
      <c r="AA198" s="77">
        <v>2099</v>
      </c>
      <c r="AB198" s="2" t="s">
        <v>872</v>
      </c>
      <c r="AC198" s="107" t="s">
        <v>2632</v>
      </c>
      <c r="AD198" s="77">
        <v>29933</v>
      </c>
      <c r="AE198" s="77">
        <v>4681</v>
      </c>
      <c r="AF198" s="4">
        <v>8640</v>
      </c>
    </row>
    <row r="199" spans="1:32" ht="13.5" thickBot="1" x14ac:dyDescent="0.25">
      <c r="A199" s="2" t="s">
        <v>582</v>
      </c>
      <c r="B199" s="1" t="s">
        <v>581</v>
      </c>
      <c r="C199" s="2" t="s">
        <v>32</v>
      </c>
      <c r="D199" s="4">
        <v>16903</v>
      </c>
      <c r="E199" s="4">
        <v>61247</v>
      </c>
      <c r="F199" s="4">
        <v>5752</v>
      </c>
      <c r="G199" s="4">
        <v>83902</v>
      </c>
      <c r="H199" s="100">
        <f>Table3[[#This Row],[Circulation of Children''s Materials]]/Table3[[#This Row],[Total Population Served]]</f>
        <v>1.6955562242953155</v>
      </c>
      <c r="I199" s="100">
        <f>Table3[[#This Row],[Circulation of Electronic Materials]]/Table3[[#This Row],[Total Population Served]]</f>
        <v>0.57698866486106937</v>
      </c>
      <c r="J199" s="100">
        <f t="shared" si="23"/>
        <v>8.4162905005517104</v>
      </c>
      <c r="K199" s="100">
        <f t="shared" si="24"/>
        <v>10.187226809130646</v>
      </c>
      <c r="L199" s="102">
        <v>0</v>
      </c>
      <c r="M199" s="4">
        <v>5752</v>
      </c>
      <c r="N199" s="4">
        <v>78150</v>
      </c>
      <c r="O199" s="4">
        <v>83902</v>
      </c>
      <c r="P199" s="4">
        <v>40598</v>
      </c>
      <c r="Q199" s="4">
        <v>17552</v>
      </c>
      <c r="R199" s="100">
        <f t="shared" si="25"/>
        <v>1.7606580399237637</v>
      </c>
      <c r="S199" s="4">
        <v>13570</v>
      </c>
      <c r="T199" s="71">
        <f t="shared" ref="T199:T212" si="28">S199/AF199</f>
        <v>1.3612197813220985</v>
      </c>
      <c r="U199" s="4">
        <v>1527</v>
      </c>
      <c r="V199" s="4">
        <v>1759</v>
      </c>
      <c r="W199" s="4">
        <v>113358</v>
      </c>
      <c r="X199" s="77">
        <v>21104</v>
      </c>
      <c r="Y199" s="101">
        <f t="shared" si="26"/>
        <v>11.371050255792959</v>
      </c>
      <c r="Z199" s="101">
        <f t="shared" si="27"/>
        <v>13.763720252549781</v>
      </c>
      <c r="AA199" s="4">
        <v>6592</v>
      </c>
      <c r="AB199" s="2" t="s">
        <v>872</v>
      </c>
      <c r="AC199" s="106">
        <v>5119</v>
      </c>
      <c r="AD199" s="4">
        <v>58150</v>
      </c>
      <c r="AE199" s="4">
        <v>8236</v>
      </c>
      <c r="AF199" s="4">
        <v>9969</v>
      </c>
    </row>
    <row r="200" spans="1:32" ht="13.5" thickBot="1" x14ac:dyDescent="0.25">
      <c r="A200" s="2" t="s">
        <v>586</v>
      </c>
      <c r="B200" s="1" t="s">
        <v>585</v>
      </c>
      <c r="C200" s="2" t="s">
        <v>32</v>
      </c>
      <c r="D200" s="4">
        <v>52277</v>
      </c>
      <c r="E200" s="4">
        <v>24841</v>
      </c>
      <c r="F200" s="4">
        <v>8965</v>
      </c>
      <c r="G200" s="4">
        <v>86083</v>
      </c>
      <c r="H200" s="100">
        <f>Table3[[#This Row],[Circulation of Children''s Materials]]/Table3[[#This Row],[Total Population Served]]</f>
        <v>7.432044355985215</v>
      </c>
      <c r="I200" s="100">
        <f>Table3[[#This Row],[Circulation of Electronic Materials]]/Table3[[#This Row],[Total Population Served]]</f>
        <v>1.2745237418254194</v>
      </c>
      <c r="J200" s="100">
        <f t="shared" si="23"/>
        <v>12.238129087290304</v>
      </c>
      <c r="K200" s="100">
        <f t="shared" si="24"/>
        <v>18.869574747917579</v>
      </c>
      <c r="L200" s="102">
        <v>4642</v>
      </c>
      <c r="M200" s="4">
        <v>13607</v>
      </c>
      <c r="N200" s="4">
        <v>77118</v>
      </c>
      <c r="O200" s="4">
        <v>90725</v>
      </c>
      <c r="P200" s="4">
        <v>43808</v>
      </c>
      <c r="Q200" s="4">
        <v>10070</v>
      </c>
      <c r="R200" s="100">
        <f t="shared" si="25"/>
        <v>1.4316178561273813</v>
      </c>
      <c r="S200" s="4">
        <v>966</v>
      </c>
      <c r="T200" s="71">
        <f t="shared" si="28"/>
        <v>0.13733295422234859</v>
      </c>
      <c r="U200" s="4">
        <v>3758</v>
      </c>
      <c r="V200" s="4">
        <v>5728</v>
      </c>
      <c r="W200" s="4">
        <v>25224</v>
      </c>
      <c r="X200" s="77">
        <v>973</v>
      </c>
      <c r="Y200" s="101">
        <f t="shared" si="26"/>
        <v>3.586010804663065</v>
      </c>
      <c r="Z200" s="101">
        <f t="shared" si="27"/>
        <v>5.5291538798772466</v>
      </c>
      <c r="AA200" s="4">
        <v>973</v>
      </c>
      <c r="AB200" s="2" t="s">
        <v>872</v>
      </c>
      <c r="AC200" s="106">
        <v>5755</v>
      </c>
      <c r="AD200" s="4">
        <v>53878</v>
      </c>
      <c r="AE200" s="4">
        <v>4562</v>
      </c>
      <c r="AF200" s="4">
        <v>7034</v>
      </c>
    </row>
    <row r="201" spans="1:32" ht="13.5" thickBot="1" x14ac:dyDescent="0.25">
      <c r="A201" s="2" t="s">
        <v>596</v>
      </c>
      <c r="B201" s="1" t="s">
        <v>595</v>
      </c>
      <c r="C201" s="2" t="s">
        <v>32</v>
      </c>
      <c r="D201" s="77">
        <v>15890</v>
      </c>
      <c r="E201" s="77">
        <v>51203</v>
      </c>
      <c r="F201" s="77">
        <v>6085</v>
      </c>
      <c r="G201" s="77">
        <v>73178</v>
      </c>
      <c r="H201" s="100">
        <f>Table3[[#This Row],[Circulation of Children''s Materials]]/Table3[[#This Row],[Total Population Served]]</f>
        <v>1.7989358088984491</v>
      </c>
      <c r="I201" s="100">
        <f>Table3[[#This Row],[Circulation of Electronic Materials]]/Table3[[#This Row],[Total Population Served]]</f>
        <v>0.68889392052530285</v>
      </c>
      <c r="J201" s="100">
        <f t="shared" si="23"/>
        <v>8.2846145137552352</v>
      </c>
      <c r="K201" s="100">
        <f t="shared" si="24"/>
        <v>9.5883123689727459</v>
      </c>
      <c r="L201" s="102">
        <v>0</v>
      </c>
      <c r="M201" s="77">
        <v>6085</v>
      </c>
      <c r="N201" s="77">
        <v>67093</v>
      </c>
      <c r="O201" s="77">
        <v>73178</v>
      </c>
      <c r="P201" s="77">
        <v>40898</v>
      </c>
      <c r="Q201" s="77">
        <v>22443</v>
      </c>
      <c r="R201" s="100">
        <f t="shared" si="25"/>
        <v>2.5408128608626739</v>
      </c>
      <c r="S201" s="77">
        <v>13222</v>
      </c>
      <c r="T201" s="71">
        <f t="shared" si="28"/>
        <v>1.4968866749688667</v>
      </c>
      <c r="U201" s="77">
        <v>2713</v>
      </c>
      <c r="V201" s="77">
        <v>2791</v>
      </c>
      <c r="W201" s="77">
        <v>70836</v>
      </c>
      <c r="X201" s="77">
        <v>46567</v>
      </c>
      <c r="Y201" s="101">
        <f t="shared" si="26"/>
        <v>8.0194724329219973</v>
      </c>
      <c r="Z201" s="101">
        <f t="shared" si="27"/>
        <v>9.2814465408805038</v>
      </c>
      <c r="AA201" s="77">
        <v>9896</v>
      </c>
      <c r="AB201" s="2" t="s">
        <v>872</v>
      </c>
      <c r="AC201" s="106">
        <v>10560</v>
      </c>
      <c r="AD201" s="77">
        <v>63341</v>
      </c>
      <c r="AE201" s="77">
        <v>7632</v>
      </c>
      <c r="AF201" s="4">
        <v>8833</v>
      </c>
    </row>
    <row r="202" spans="1:32" ht="13.5" thickBot="1" x14ac:dyDescent="0.25">
      <c r="A202" s="2" t="s">
        <v>604</v>
      </c>
      <c r="B202" s="1" t="s">
        <v>603</v>
      </c>
      <c r="C202" s="2" t="s">
        <v>32</v>
      </c>
      <c r="D202" s="77">
        <v>40498</v>
      </c>
      <c r="E202" s="77">
        <v>35853</v>
      </c>
      <c r="F202" s="77">
        <v>12578</v>
      </c>
      <c r="G202" s="77">
        <v>88929</v>
      </c>
      <c r="H202" s="100">
        <f>Table3[[#This Row],[Circulation of Children''s Materials]]/Table3[[#This Row],[Total Population Served]]</f>
        <v>3.5206467877944885</v>
      </c>
      <c r="I202" s="100">
        <f>Table3[[#This Row],[Circulation of Electronic Materials]]/Table3[[#This Row],[Total Population Served]]</f>
        <v>1.0934538815961055</v>
      </c>
      <c r="J202" s="100">
        <f t="shared" si="23"/>
        <v>7.7309397548465615</v>
      </c>
      <c r="K202" s="100">
        <f t="shared" si="24"/>
        <v>5.5194265143992052</v>
      </c>
      <c r="L202" s="102">
        <v>11906</v>
      </c>
      <c r="M202" s="77">
        <v>24484</v>
      </c>
      <c r="N202" s="77">
        <v>76351</v>
      </c>
      <c r="O202" s="77">
        <v>100835</v>
      </c>
      <c r="P202" s="77">
        <v>76281</v>
      </c>
      <c r="Q202" s="77">
        <v>12819</v>
      </c>
      <c r="R202" s="100">
        <f t="shared" si="25"/>
        <v>1.114404937842302</v>
      </c>
      <c r="S202" s="77">
        <v>100758</v>
      </c>
      <c r="T202" s="71">
        <f t="shared" si="28"/>
        <v>8.7592801877771009</v>
      </c>
      <c r="U202" s="77">
        <v>3572</v>
      </c>
      <c r="V202" s="77">
        <v>4203</v>
      </c>
      <c r="W202" s="77">
        <v>227655</v>
      </c>
      <c r="X202" s="77">
        <v>379279</v>
      </c>
      <c r="Y202" s="101">
        <f t="shared" si="26"/>
        <v>19.790924106754758</v>
      </c>
      <c r="Z202" s="101">
        <f t="shared" si="27"/>
        <v>14.129530784508441</v>
      </c>
      <c r="AA202" s="77">
        <v>73008</v>
      </c>
      <c r="AB202" s="2" t="s">
        <v>872</v>
      </c>
      <c r="AC202" s="107" t="s">
        <v>2632</v>
      </c>
      <c r="AD202" s="77">
        <v>89100</v>
      </c>
      <c r="AE202" s="77">
        <v>16112</v>
      </c>
      <c r="AF202" s="4">
        <v>11503</v>
      </c>
    </row>
    <row r="203" spans="1:32" ht="13.5" thickBot="1" x14ac:dyDescent="0.25">
      <c r="A203" s="2" t="s">
        <v>630</v>
      </c>
      <c r="B203" s="1" t="s">
        <v>629</v>
      </c>
      <c r="C203" s="2" t="s">
        <v>32</v>
      </c>
      <c r="D203" s="4">
        <v>9956</v>
      </c>
      <c r="E203" s="4">
        <v>24708</v>
      </c>
      <c r="F203" s="4">
        <v>2811</v>
      </c>
      <c r="G203" s="4">
        <v>37475</v>
      </c>
      <c r="H203" s="100">
        <f>Table3[[#This Row],[Circulation of Children''s Materials]]/Table3[[#This Row],[Total Population Served]]</f>
        <v>1.1197840512878192</v>
      </c>
      <c r="I203" s="100">
        <f>Table3[[#This Row],[Circulation of Electronic Materials]]/Table3[[#This Row],[Total Population Served]]</f>
        <v>0.31616241142728602</v>
      </c>
      <c r="J203" s="100">
        <f t="shared" si="23"/>
        <v>4.214936452592509</v>
      </c>
      <c r="K203" s="100">
        <f t="shared" si="24"/>
        <v>7.7411691799215037</v>
      </c>
      <c r="L203" s="102">
        <v>0</v>
      </c>
      <c r="M203" s="4">
        <v>2811</v>
      </c>
      <c r="N203" s="4">
        <v>34664</v>
      </c>
      <c r="O203" s="4">
        <v>37475</v>
      </c>
      <c r="P203" s="4">
        <v>27409</v>
      </c>
      <c r="Q203" s="4">
        <v>10443</v>
      </c>
      <c r="R203" s="100">
        <f t="shared" si="25"/>
        <v>1.1745585423461928</v>
      </c>
      <c r="S203" s="4">
        <v>1969</v>
      </c>
      <c r="T203" s="71">
        <f t="shared" si="28"/>
        <v>0.22145990327297266</v>
      </c>
      <c r="U203" s="4">
        <v>2500</v>
      </c>
      <c r="V203" s="4">
        <v>2209</v>
      </c>
      <c r="W203" s="4">
        <v>38107</v>
      </c>
      <c r="X203" s="77">
        <v>2945</v>
      </c>
      <c r="Y203" s="101">
        <f t="shared" si="26"/>
        <v>4.2860195703520416</v>
      </c>
      <c r="Z203" s="101">
        <f t="shared" si="27"/>
        <v>7.8717207188597396</v>
      </c>
      <c r="AA203" s="4">
        <v>4496</v>
      </c>
      <c r="AB203" s="2" t="s">
        <v>872</v>
      </c>
      <c r="AC203" s="106">
        <v>3270</v>
      </c>
      <c r="AD203" s="4">
        <v>37852</v>
      </c>
      <c r="AE203" s="4">
        <v>4841</v>
      </c>
      <c r="AF203" s="4">
        <v>8891</v>
      </c>
    </row>
    <row r="204" spans="1:32" ht="13.5" thickBot="1" x14ac:dyDescent="0.25">
      <c r="A204" s="2" t="s">
        <v>638</v>
      </c>
      <c r="B204" s="1" t="s">
        <v>637</v>
      </c>
      <c r="C204" s="2" t="s">
        <v>32</v>
      </c>
      <c r="D204" s="77">
        <v>10121</v>
      </c>
      <c r="E204" s="77">
        <v>13412</v>
      </c>
      <c r="F204" s="77">
        <v>145</v>
      </c>
      <c r="G204" s="77">
        <v>23678</v>
      </c>
      <c r="H204" s="100">
        <f>Table3[[#This Row],[Circulation of Children''s Materials]]/Table3[[#This Row],[Total Population Served]]</f>
        <v>1.1847126302235749</v>
      </c>
      <c r="I204" s="100">
        <f>Table3[[#This Row],[Circulation of Electronic Materials]]/Table3[[#This Row],[Total Population Served]]</f>
        <v>1.6972960318389324E-2</v>
      </c>
      <c r="J204" s="100">
        <f t="shared" si="23"/>
        <v>2.7716258925436028</v>
      </c>
      <c r="K204" s="100">
        <f t="shared" si="24"/>
        <v>2.4465798718743543</v>
      </c>
      <c r="L204" s="102">
        <v>1138</v>
      </c>
      <c r="M204" s="77">
        <v>1283</v>
      </c>
      <c r="N204" s="77">
        <v>23533</v>
      </c>
      <c r="O204" s="77">
        <v>24816</v>
      </c>
      <c r="P204" s="77">
        <v>20921</v>
      </c>
      <c r="Q204" s="77">
        <v>6701</v>
      </c>
      <c r="R204" s="100">
        <f t="shared" si="25"/>
        <v>0.78438487650708177</v>
      </c>
      <c r="S204" s="77">
        <v>6180</v>
      </c>
      <c r="T204" s="71">
        <f t="shared" si="28"/>
        <v>0.7233992742596278</v>
      </c>
      <c r="U204" s="77">
        <v>3946</v>
      </c>
      <c r="V204" s="77">
        <v>5472</v>
      </c>
      <c r="W204" s="77">
        <v>23675</v>
      </c>
      <c r="X204" s="77">
        <v>18451</v>
      </c>
      <c r="Y204" s="101">
        <f t="shared" si="26"/>
        <v>2.7712747278473606</v>
      </c>
      <c r="Z204" s="101">
        <f t="shared" si="27"/>
        <v>2.4462698904732383</v>
      </c>
      <c r="AA204" s="77">
        <v>4511</v>
      </c>
      <c r="AB204" s="2" t="s">
        <v>872</v>
      </c>
      <c r="AC204" s="106">
        <v>7500</v>
      </c>
      <c r="AD204" s="77">
        <v>27622</v>
      </c>
      <c r="AE204" s="77">
        <v>9678</v>
      </c>
      <c r="AF204" s="4">
        <v>8543</v>
      </c>
    </row>
    <row r="205" spans="1:32" ht="13.5" thickBot="1" x14ac:dyDescent="0.25">
      <c r="A205" s="2" t="s">
        <v>646</v>
      </c>
      <c r="B205" s="1" t="s">
        <v>645</v>
      </c>
      <c r="C205" s="2" t="s">
        <v>32</v>
      </c>
      <c r="D205" s="4">
        <v>36693</v>
      </c>
      <c r="E205" s="4">
        <v>45562</v>
      </c>
      <c r="F205" s="4">
        <v>8292</v>
      </c>
      <c r="G205" s="4">
        <v>90547</v>
      </c>
      <c r="H205" s="100">
        <f>Table3[[#This Row],[Circulation of Children''s Materials]]/Table3[[#This Row],[Total Population Served]]</f>
        <v>4.8407651715039579</v>
      </c>
      <c r="I205" s="100">
        <f>Table3[[#This Row],[Circulation of Electronic Materials]]/Table3[[#This Row],[Total Population Served]]</f>
        <v>1.0939313984168866</v>
      </c>
      <c r="J205" s="100">
        <f t="shared" si="23"/>
        <v>11.94551451187335</v>
      </c>
      <c r="K205" s="100">
        <f t="shared" si="24"/>
        <v>31.277029360967184</v>
      </c>
      <c r="L205" s="102">
        <v>392</v>
      </c>
      <c r="M205" s="4">
        <v>8684</v>
      </c>
      <c r="N205" s="4">
        <v>82255</v>
      </c>
      <c r="O205" s="4">
        <v>90939</v>
      </c>
      <c r="P205" s="4">
        <v>39370</v>
      </c>
      <c r="Q205" s="4">
        <v>13944</v>
      </c>
      <c r="R205" s="100">
        <f t="shared" si="25"/>
        <v>1.8395778364116095</v>
      </c>
      <c r="S205" s="4">
        <v>2530</v>
      </c>
      <c r="T205" s="71">
        <f t="shared" si="28"/>
        <v>0.33377308707124009</v>
      </c>
      <c r="U205" s="4">
        <v>2945</v>
      </c>
      <c r="V205" s="4">
        <v>3260</v>
      </c>
      <c r="W205" s="4">
        <v>46011</v>
      </c>
      <c r="X205" s="77">
        <v>11680</v>
      </c>
      <c r="Y205" s="101">
        <f t="shared" si="26"/>
        <v>6.070052770448549</v>
      </c>
      <c r="Z205" s="101">
        <f t="shared" si="27"/>
        <v>15.893264248704662</v>
      </c>
      <c r="AA205" s="4">
        <v>2053</v>
      </c>
      <c r="AB205" s="2" t="s">
        <v>872</v>
      </c>
      <c r="AC205" s="108" t="s">
        <v>2632</v>
      </c>
      <c r="AD205" s="4">
        <v>53314</v>
      </c>
      <c r="AE205" s="4">
        <v>2895</v>
      </c>
      <c r="AF205" s="4">
        <v>7580</v>
      </c>
    </row>
    <row r="206" spans="1:32" ht="13.5" thickBot="1" x14ac:dyDescent="0.25">
      <c r="A206" s="2" t="s">
        <v>656</v>
      </c>
      <c r="B206" s="1" t="s">
        <v>655</v>
      </c>
      <c r="C206" s="2" t="s">
        <v>32</v>
      </c>
      <c r="D206" s="77">
        <v>2700</v>
      </c>
      <c r="E206" s="77">
        <v>4425</v>
      </c>
      <c r="F206" s="77">
        <v>40</v>
      </c>
      <c r="G206" s="77">
        <v>7165</v>
      </c>
      <c r="H206" s="100">
        <f>Table3[[#This Row],[Circulation of Children''s Materials]]/Table3[[#This Row],[Total Population Served]]</f>
        <v>0.34164241427306086</v>
      </c>
      <c r="I206" s="100">
        <f>Table3[[#This Row],[Circulation of Electronic Materials]]/Table3[[#This Row],[Total Population Served]]</f>
        <v>5.0613691003416426E-3</v>
      </c>
      <c r="J206" s="100">
        <f t="shared" si="23"/>
        <v>0.90661774009869667</v>
      </c>
      <c r="K206" s="100">
        <f t="shared" si="24"/>
        <v>3.9872008903728435</v>
      </c>
      <c r="L206" s="102">
        <v>40</v>
      </c>
      <c r="M206" s="77">
        <v>80</v>
      </c>
      <c r="N206" s="77">
        <v>7125</v>
      </c>
      <c r="O206" s="77">
        <v>7205</v>
      </c>
      <c r="P206" s="77">
        <v>29681</v>
      </c>
      <c r="Q206" s="77">
        <v>15</v>
      </c>
      <c r="R206" s="100">
        <f t="shared" si="25"/>
        <v>1.898013412628116E-3</v>
      </c>
      <c r="S206" s="77">
        <v>3534</v>
      </c>
      <c r="T206" s="71">
        <f t="shared" si="28"/>
        <v>0.44717196001518411</v>
      </c>
      <c r="U206" s="77">
        <v>3400</v>
      </c>
      <c r="V206" s="77">
        <v>1025</v>
      </c>
      <c r="W206" s="77">
        <v>15756</v>
      </c>
      <c r="X206" s="77">
        <v>25056</v>
      </c>
      <c r="Y206" s="101">
        <f t="shared" si="26"/>
        <v>1.9936732886245729</v>
      </c>
      <c r="Z206" s="101">
        <f t="shared" si="27"/>
        <v>8.7679465776293828</v>
      </c>
      <c r="AA206" s="77">
        <v>5419</v>
      </c>
      <c r="AB206" s="2" t="s">
        <v>872</v>
      </c>
      <c r="AC206" s="106">
        <v>725</v>
      </c>
      <c r="AD206" s="77">
        <v>29696</v>
      </c>
      <c r="AE206" s="77">
        <v>1797</v>
      </c>
      <c r="AF206" s="4">
        <v>7903</v>
      </c>
    </row>
    <row r="207" spans="1:32" ht="13.5" thickBot="1" x14ac:dyDescent="0.25">
      <c r="A207" s="2" t="s">
        <v>674</v>
      </c>
      <c r="B207" s="1" t="s">
        <v>673</v>
      </c>
      <c r="C207" s="2" t="s">
        <v>32</v>
      </c>
      <c r="D207" s="4">
        <v>24232</v>
      </c>
      <c r="E207" s="4">
        <v>45346</v>
      </c>
      <c r="F207" s="4">
        <v>4906</v>
      </c>
      <c r="G207" s="4">
        <v>74484</v>
      </c>
      <c r="H207" s="100">
        <f>Table3[[#This Row],[Circulation of Children''s Materials]]/Table3[[#This Row],[Total Population Served]]</f>
        <v>2.1108013937282228</v>
      </c>
      <c r="I207" s="100">
        <f>Table3[[#This Row],[Circulation of Electronic Materials]]/Table3[[#This Row],[Total Population Served]]</f>
        <v>0.4273519163763066</v>
      </c>
      <c r="J207" s="100">
        <f t="shared" si="23"/>
        <v>6.4881533101045292</v>
      </c>
      <c r="K207" s="100">
        <f t="shared" si="24"/>
        <v>12.978567694720335</v>
      </c>
      <c r="L207" s="102">
        <v>0</v>
      </c>
      <c r="M207" s="4">
        <v>4906</v>
      </c>
      <c r="N207" s="4">
        <v>69578</v>
      </c>
      <c r="O207" s="4">
        <v>74484</v>
      </c>
      <c r="P207" s="4">
        <v>47251</v>
      </c>
      <c r="Q207" s="4">
        <v>631595</v>
      </c>
      <c r="R207" s="100">
        <f t="shared" si="25"/>
        <v>55.01698606271777</v>
      </c>
      <c r="S207" s="77">
        <v>16328</v>
      </c>
      <c r="T207" s="71">
        <f t="shared" si="28"/>
        <v>1.4222996515679442</v>
      </c>
      <c r="U207" s="77">
        <v>4802</v>
      </c>
      <c r="V207" s="4">
        <v>10380</v>
      </c>
      <c r="W207" s="4">
        <v>47142</v>
      </c>
      <c r="X207" s="77">
        <v>11830</v>
      </c>
      <c r="Y207" s="101">
        <f t="shared" si="26"/>
        <v>4.1064459930313593</v>
      </c>
      <c r="Z207" s="101">
        <f t="shared" si="27"/>
        <v>8.2143230527966544</v>
      </c>
      <c r="AA207" s="77">
        <v>8868</v>
      </c>
      <c r="AB207" s="2" t="s">
        <v>872</v>
      </c>
      <c r="AC207" s="106">
        <v>3700</v>
      </c>
      <c r="AD207" s="4">
        <v>678846</v>
      </c>
      <c r="AE207" s="4">
        <v>5739</v>
      </c>
      <c r="AF207" s="4">
        <v>11480</v>
      </c>
    </row>
    <row r="208" spans="1:32" ht="13.5" thickBot="1" x14ac:dyDescent="0.25">
      <c r="A208" s="2" t="s">
        <v>676</v>
      </c>
      <c r="B208" s="1" t="s">
        <v>675</v>
      </c>
      <c r="C208" s="2" t="s">
        <v>32</v>
      </c>
      <c r="D208" s="77">
        <v>8756</v>
      </c>
      <c r="E208" s="77">
        <v>22023</v>
      </c>
      <c r="F208" s="77">
        <v>3789</v>
      </c>
      <c r="G208" s="77">
        <v>34568</v>
      </c>
      <c r="H208" s="100">
        <f>Table3[[#This Row],[Circulation of Children''s Materials]]/Table3[[#This Row],[Total Population Served]]</f>
        <v>1.122852013336753</v>
      </c>
      <c r="I208" s="100">
        <f>Table3[[#This Row],[Circulation of Electronic Materials]]/Table3[[#This Row],[Total Population Served]]</f>
        <v>0.48589381892793027</v>
      </c>
      <c r="J208" s="100">
        <f t="shared" si="23"/>
        <v>4.4329315209027955</v>
      </c>
      <c r="K208" s="100">
        <f t="shared" si="24"/>
        <v>11.450149055978802</v>
      </c>
      <c r="L208" s="102">
        <v>0</v>
      </c>
      <c r="M208" s="77">
        <v>3789</v>
      </c>
      <c r="N208" s="77">
        <v>30779</v>
      </c>
      <c r="O208" s="77">
        <v>34568</v>
      </c>
      <c r="P208" s="77">
        <v>29216</v>
      </c>
      <c r="Q208" s="77">
        <v>10561</v>
      </c>
      <c r="R208" s="100">
        <f t="shared" si="25"/>
        <v>1.3543216209284432</v>
      </c>
      <c r="S208" s="77">
        <v>4000</v>
      </c>
      <c r="T208" s="71">
        <f t="shared" si="28"/>
        <v>0.51295203898435493</v>
      </c>
      <c r="U208" s="77">
        <v>3323</v>
      </c>
      <c r="V208" s="77">
        <v>3320</v>
      </c>
      <c r="W208" s="77">
        <v>27045</v>
      </c>
      <c r="X208" s="77">
        <v>4614</v>
      </c>
      <c r="Y208" s="101">
        <f t="shared" si="26"/>
        <v>3.4681969735829701</v>
      </c>
      <c r="Z208" s="101">
        <f t="shared" si="27"/>
        <v>8.9582643259357404</v>
      </c>
      <c r="AA208" s="77">
        <v>1951</v>
      </c>
      <c r="AB208" s="2" t="s">
        <v>872</v>
      </c>
      <c r="AC208" s="106">
        <v>2200</v>
      </c>
      <c r="AD208" s="77">
        <v>39777</v>
      </c>
      <c r="AE208" s="77">
        <v>3019</v>
      </c>
      <c r="AF208" s="4">
        <v>7798</v>
      </c>
    </row>
    <row r="209" spans="1:32" ht="13.5" thickBot="1" x14ac:dyDescent="0.25">
      <c r="A209" s="2" t="s">
        <v>684</v>
      </c>
      <c r="B209" s="1" t="s">
        <v>683</v>
      </c>
      <c r="C209" s="2" t="s">
        <v>32</v>
      </c>
      <c r="D209" s="4">
        <v>24035</v>
      </c>
      <c r="E209" s="4">
        <v>22809</v>
      </c>
      <c r="F209" s="4">
        <v>9142</v>
      </c>
      <c r="G209" s="4">
        <v>55986</v>
      </c>
      <c r="H209" s="100">
        <f>Table3[[#This Row],[Circulation of Children''s Materials]]/Table3[[#This Row],[Total Population Served]]</f>
        <v>3.2669566399347558</v>
      </c>
      <c r="I209" s="100">
        <f>Table3[[#This Row],[Circulation of Electronic Materials]]/Table3[[#This Row],[Total Population Served]]</f>
        <v>1.2426260704091341</v>
      </c>
      <c r="J209" s="100">
        <f t="shared" si="23"/>
        <v>7.6098953377735494</v>
      </c>
      <c r="K209" s="100">
        <f t="shared" si="24"/>
        <v>28.593462717058223</v>
      </c>
      <c r="L209" s="102">
        <v>0</v>
      </c>
      <c r="M209" s="4">
        <v>9142</v>
      </c>
      <c r="N209" s="4">
        <v>46844</v>
      </c>
      <c r="O209" s="4">
        <v>55986</v>
      </c>
      <c r="P209" s="4">
        <v>28865</v>
      </c>
      <c r="Q209" s="4">
        <v>10300</v>
      </c>
      <c r="R209" s="100">
        <f t="shared" si="25"/>
        <v>1.4000271849938835</v>
      </c>
      <c r="S209" s="4">
        <v>5775</v>
      </c>
      <c r="T209" s="71">
        <f t="shared" si="28"/>
        <v>0.78496669838249289</v>
      </c>
      <c r="U209" s="4">
        <v>3874</v>
      </c>
      <c r="V209" s="4">
        <v>4400</v>
      </c>
      <c r="W209" s="4">
        <v>19928</v>
      </c>
      <c r="X209" s="77">
        <v>16983</v>
      </c>
      <c r="Y209" s="101">
        <f t="shared" si="26"/>
        <v>2.708712790539622</v>
      </c>
      <c r="Z209" s="101">
        <f t="shared" si="27"/>
        <v>10.17773237997957</v>
      </c>
      <c r="AA209" s="4">
        <v>2247</v>
      </c>
      <c r="AB209" s="2" t="s">
        <v>872</v>
      </c>
      <c r="AC209" s="106">
        <v>3437</v>
      </c>
      <c r="AD209" s="4">
        <v>39165</v>
      </c>
      <c r="AE209" s="4">
        <v>1958</v>
      </c>
      <c r="AF209" s="4">
        <v>7357</v>
      </c>
    </row>
    <row r="210" spans="1:32" ht="13.5" thickBot="1" x14ac:dyDescent="0.25">
      <c r="A210" s="2" t="s">
        <v>690</v>
      </c>
      <c r="B210" s="1" t="s">
        <v>689</v>
      </c>
      <c r="C210" s="2" t="s">
        <v>32</v>
      </c>
      <c r="D210" s="4">
        <v>23535</v>
      </c>
      <c r="E210" s="4">
        <v>28866</v>
      </c>
      <c r="F210" s="4">
        <v>2076</v>
      </c>
      <c r="G210" s="4">
        <v>54477</v>
      </c>
      <c r="H210" s="100">
        <f>Table3[[#This Row],[Circulation of Children''s Materials]]/Table3[[#This Row],[Total Population Served]]</f>
        <v>3.3133887089961989</v>
      </c>
      <c r="I210" s="100">
        <f>Table3[[#This Row],[Circulation of Electronic Materials]]/Table3[[#This Row],[Total Population Served]]</f>
        <v>0.29227087146276221</v>
      </c>
      <c r="J210" s="100">
        <f t="shared" si="23"/>
        <v>7.669576235393496</v>
      </c>
      <c r="K210" s="100">
        <f t="shared" si="24"/>
        <v>26.216073147256978</v>
      </c>
      <c r="L210" s="102">
        <v>10450</v>
      </c>
      <c r="M210" s="4">
        <v>12526</v>
      </c>
      <c r="N210" s="4">
        <v>52401</v>
      </c>
      <c r="O210" s="4">
        <v>64927</v>
      </c>
      <c r="P210" s="4">
        <v>30227</v>
      </c>
      <c r="Q210" s="4">
        <v>11652</v>
      </c>
      <c r="R210" s="100">
        <f t="shared" si="25"/>
        <v>1.6404336195973532</v>
      </c>
      <c r="S210" s="4">
        <v>7250</v>
      </c>
      <c r="T210" s="71">
        <f t="shared" si="28"/>
        <v>1.0206954807827679</v>
      </c>
      <c r="U210" s="4">
        <v>6054</v>
      </c>
      <c r="V210" s="4">
        <v>2341</v>
      </c>
      <c r="W210" s="4">
        <v>36000</v>
      </c>
      <c r="X210" s="77">
        <v>0</v>
      </c>
      <c r="Y210" s="101">
        <f t="shared" si="26"/>
        <v>5.068281008024778</v>
      </c>
      <c r="Z210" s="101">
        <f t="shared" si="27"/>
        <v>17.324350336862366</v>
      </c>
      <c r="AA210" s="4">
        <v>5584</v>
      </c>
      <c r="AB210" s="2" t="s">
        <v>872</v>
      </c>
      <c r="AC210" s="106">
        <v>99063</v>
      </c>
      <c r="AD210" s="4">
        <v>41879</v>
      </c>
      <c r="AE210" s="4">
        <v>2078</v>
      </c>
      <c r="AF210" s="4">
        <v>7103</v>
      </c>
    </row>
    <row r="211" spans="1:32" ht="13.5" thickBot="1" x14ac:dyDescent="0.25">
      <c r="A211" s="2" t="s">
        <v>694</v>
      </c>
      <c r="B211" s="1" t="s">
        <v>693</v>
      </c>
      <c r="C211" s="2" t="s">
        <v>32</v>
      </c>
      <c r="D211" s="77">
        <v>16000</v>
      </c>
      <c r="E211" s="77">
        <v>32000</v>
      </c>
      <c r="F211" s="77">
        <v>9488</v>
      </c>
      <c r="G211" s="77">
        <v>57488</v>
      </c>
      <c r="H211" s="100">
        <f>Table3[[#This Row],[Circulation of Children''s Materials]]/Table3[[#This Row],[Total Population Served]]</f>
        <v>1.5972846161525407</v>
      </c>
      <c r="I211" s="100">
        <f>Table3[[#This Row],[Circulation of Electronic Materials]]/Table3[[#This Row],[Total Population Served]]</f>
        <v>0.94718977737845667</v>
      </c>
      <c r="J211" s="100">
        <f t="shared" si="23"/>
        <v>5.7390436258360786</v>
      </c>
      <c r="K211" s="100">
        <f t="shared" si="24"/>
        <v>12.77511111111111</v>
      </c>
      <c r="L211" s="102">
        <v>0</v>
      </c>
      <c r="M211" s="77">
        <v>9488</v>
      </c>
      <c r="N211" s="77">
        <v>48000</v>
      </c>
      <c r="O211" s="77">
        <v>57488</v>
      </c>
      <c r="P211" s="77">
        <v>35101</v>
      </c>
      <c r="Q211" s="77">
        <v>30003</v>
      </c>
      <c r="R211" s="100">
        <f t="shared" si="25"/>
        <v>2.9952081461515423</v>
      </c>
      <c r="S211" s="77">
        <v>3500</v>
      </c>
      <c r="T211" s="71">
        <f t="shared" si="28"/>
        <v>0.34940600978336828</v>
      </c>
      <c r="U211" s="77">
        <v>6479</v>
      </c>
      <c r="V211" s="77">
        <v>5421</v>
      </c>
      <c r="W211" s="77">
        <v>60999</v>
      </c>
      <c r="X211" s="77">
        <v>27512</v>
      </c>
      <c r="Y211" s="101">
        <f t="shared" si="26"/>
        <v>6.0895477687930519</v>
      </c>
      <c r="Z211" s="101">
        <f t="shared" si="27"/>
        <v>13.555333333333333</v>
      </c>
      <c r="AA211" s="77">
        <v>1379</v>
      </c>
      <c r="AB211" s="2" t="s">
        <v>872</v>
      </c>
      <c r="AC211" s="106">
        <v>14954</v>
      </c>
      <c r="AD211" s="77">
        <v>65104</v>
      </c>
      <c r="AE211" s="77">
        <v>4500</v>
      </c>
      <c r="AF211" s="4">
        <v>10017</v>
      </c>
    </row>
    <row r="212" spans="1:32" ht="13.5" thickBot="1" x14ac:dyDescent="0.25">
      <c r="A212" s="2" t="s">
        <v>700</v>
      </c>
      <c r="B212" s="1" t="s">
        <v>699</v>
      </c>
      <c r="C212" s="2" t="s">
        <v>32</v>
      </c>
      <c r="D212" s="4">
        <v>4451</v>
      </c>
      <c r="E212" s="4">
        <v>17557</v>
      </c>
      <c r="F212" s="4">
        <v>2921</v>
      </c>
      <c r="G212" s="4">
        <v>24929</v>
      </c>
      <c r="H212" s="100">
        <f>Table3[[#This Row],[Circulation of Children''s Materials]]/Table3[[#This Row],[Total Population Served]]</f>
        <v>0.61207370737073707</v>
      </c>
      <c r="I212" s="100">
        <f>Table3[[#This Row],[Circulation of Electronic Materials]]/Table3[[#This Row],[Total Population Served]]</f>
        <v>0.40167766776677666</v>
      </c>
      <c r="J212" s="100">
        <f t="shared" si="23"/>
        <v>3.4280803080308031</v>
      </c>
      <c r="K212" s="100">
        <f t="shared" si="24"/>
        <v>7.3191426893716969</v>
      </c>
      <c r="L212" s="102">
        <v>506</v>
      </c>
      <c r="M212" s="4">
        <v>3427</v>
      </c>
      <c r="N212" s="4">
        <v>22008</v>
      </c>
      <c r="O212" s="4">
        <v>25435</v>
      </c>
      <c r="P212" s="4">
        <v>29660</v>
      </c>
      <c r="Q212" s="4">
        <v>16692</v>
      </c>
      <c r="R212" s="100">
        <f t="shared" si="25"/>
        <v>2.2953795379537953</v>
      </c>
      <c r="S212" s="4">
        <v>3841</v>
      </c>
      <c r="T212" s="71">
        <f t="shared" si="28"/>
        <v>0.52819031903190317</v>
      </c>
      <c r="U212" s="4">
        <v>1614</v>
      </c>
      <c r="V212" s="4">
        <v>1446</v>
      </c>
      <c r="W212" s="4">
        <v>29471</v>
      </c>
      <c r="X212" s="77">
        <v>43340</v>
      </c>
      <c r="Y212" s="101">
        <f t="shared" si="26"/>
        <v>4.0526677667766773</v>
      </c>
      <c r="Z212" s="101">
        <f t="shared" si="27"/>
        <v>8.6526717557251906</v>
      </c>
      <c r="AA212" s="4">
        <v>2082</v>
      </c>
      <c r="AB212" s="2" t="s">
        <v>872</v>
      </c>
      <c r="AC212" s="106">
        <v>93</v>
      </c>
      <c r="AD212" s="4">
        <v>46352</v>
      </c>
      <c r="AE212" s="4">
        <v>3406</v>
      </c>
      <c r="AF212" s="4">
        <v>7272</v>
      </c>
    </row>
    <row r="213" spans="1:32" ht="13.5" thickBot="1" x14ac:dyDescent="0.25">
      <c r="A213" s="2" t="s">
        <v>706</v>
      </c>
      <c r="B213" s="1" t="s">
        <v>705</v>
      </c>
      <c r="C213" s="2" t="s">
        <v>32</v>
      </c>
      <c r="D213" s="77">
        <v>13579</v>
      </c>
      <c r="E213" s="77">
        <v>30657</v>
      </c>
      <c r="F213" s="77">
        <v>4459</v>
      </c>
      <c r="G213" s="77">
        <v>48695</v>
      </c>
      <c r="H213" s="100">
        <f>Table3[[#This Row],[Circulation of Children''s Materials]]/Table3[[#This Row],[Total Population Served]]</f>
        <v>1.1935483870967742</v>
      </c>
      <c r="I213" s="100">
        <f>Table3[[#This Row],[Circulation of Electronic Materials]]/Table3[[#This Row],[Total Population Served]]</f>
        <v>0.3919310890392898</v>
      </c>
      <c r="J213" s="100">
        <f t="shared" si="23"/>
        <v>4.2801265711523246</v>
      </c>
      <c r="K213" s="100">
        <f t="shared" si="24"/>
        <v>10.411588625187086</v>
      </c>
      <c r="L213" s="102">
        <v>0</v>
      </c>
      <c r="M213" s="77">
        <v>4459</v>
      </c>
      <c r="N213" s="77">
        <v>44236</v>
      </c>
      <c r="O213" s="77">
        <v>48695</v>
      </c>
      <c r="P213" s="77">
        <v>41772</v>
      </c>
      <c r="Q213" s="77">
        <v>17013</v>
      </c>
      <c r="R213" s="100">
        <f t="shared" si="25"/>
        <v>1.4953854267381559</v>
      </c>
      <c r="S213" s="105" t="s">
        <v>2632</v>
      </c>
      <c r="T213" s="110">
        <v>0</v>
      </c>
      <c r="U213" s="77">
        <v>2349</v>
      </c>
      <c r="V213" s="77">
        <v>2307</v>
      </c>
      <c r="W213" s="77">
        <v>25823</v>
      </c>
      <c r="X213" s="77">
        <v>0</v>
      </c>
      <c r="Y213" s="101">
        <f t="shared" si="26"/>
        <v>2.2697547683923704</v>
      </c>
      <c r="Z213" s="101">
        <f t="shared" si="27"/>
        <v>5.5212743211460342</v>
      </c>
      <c r="AA213" s="77">
        <v>7030</v>
      </c>
      <c r="AB213" s="2" t="s">
        <v>872</v>
      </c>
      <c r="AC213" s="107" t="s">
        <v>2632</v>
      </c>
      <c r="AD213" s="77">
        <v>58785</v>
      </c>
      <c r="AE213" s="77">
        <v>4677</v>
      </c>
      <c r="AF213" s="4">
        <v>11377</v>
      </c>
    </row>
    <row r="214" spans="1:32" ht="13.5" thickBot="1" x14ac:dyDescent="0.25">
      <c r="A214" s="2" t="s">
        <v>718</v>
      </c>
      <c r="B214" s="1" t="s">
        <v>717</v>
      </c>
      <c r="C214" s="2" t="s">
        <v>32</v>
      </c>
      <c r="D214" s="77">
        <v>13475</v>
      </c>
      <c r="E214" s="77">
        <v>33896</v>
      </c>
      <c r="F214" s="77">
        <v>8344</v>
      </c>
      <c r="G214" s="77">
        <v>55715</v>
      </c>
      <c r="H214" s="100">
        <f>Table3[[#This Row],[Circulation of Children''s Materials]]/Table3[[#This Row],[Total Population Served]]</f>
        <v>1.6068447412353923</v>
      </c>
      <c r="I214" s="100">
        <f>Table3[[#This Row],[Circulation of Electronic Materials]]/Table3[[#This Row],[Total Population Served]]</f>
        <v>0.994991652754591</v>
      </c>
      <c r="J214" s="100">
        <f t="shared" si="23"/>
        <v>6.6438111137610303</v>
      </c>
      <c r="K214" s="100">
        <f t="shared" si="24"/>
        <v>7.8273391402079238</v>
      </c>
      <c r="L214" s="103" t="s">
        <v>2632</v>
      </c>
      <c r="M214" s="77">
        <v>8344</v>
      </c>
      <c r="N214" s="77">
        <v>47371</v>
      </c>
      <c r="O214" s="77">
        <v>55715</v>
      </c>
      <c r="P214" s="77">
        <v>50773</v>
      </c>
      <c r="Q214" s="77">
        <v>15191</v>
      </c>
      <c r="R214" s="100">
        <f t="shared" si="25"/>
        <v>1.8114715001192463</v>
      </c>
      <c r="S214" s="77">
        <v>5306</v>
      </c>
      <c r="T214" s="71">
        <f t="shared" ref="T214:T241" si="29">S214/AF214</f>
        <v>0.63272120200333892</v>
      </c>
      <c r="U214" s="77">
        <v>3893</v>
      </c>
      <c r="V214" s="77">
        <v>3253</v>
      </c>
      <c r="W214" s="77">
        <v>66427</v>
      </c>
      <c r="X214" s="77">
        <v>0</v>
      </c>
      <c r="Y214" s="101">
        <f t="shared" si="26"/>
        <v>7.9211781540663013</v>
      </c>
      <c r="Z214" s="101">
        <f t="shared" si="27"/>
        <v>9.3322562517561121</v>
      </c>
      <c r="AA214" s="77">
        <v>12548</v>
      </c>
      <c r="AB214" s="2" t="s">
        <v>872</v>
      </c>
      <c r="AC214" s="106">
        <v>5436</v>
      </c>
      <c r="AD214" s="77">
        <v>65964</v>
      </c>
      <c r="AE214" s="77">
        <v>7118</v>
      </c>
      <c r="AF214" s="4">
        <v>8386</v>
      </c>
    </row>
    <row r="215" spans="1:32" ht="13.5" thickBot="1" x14ac:dyDescent="0.25">
      <c r="A215" s="2" t="s">
        <v>724</v>
      </c>
      <c r="B215" s="1" t="s">
        <v>723</v>
      </c>
      <c r="C215" s="2" t="s">
        <v>32</v>
      </c>
      <c r="D215" s="77">
        <v>18655</v>
      </c>
      <c r="E215" s="77">
        <v>17922</v>
      </c>
      <c r="F215" s="77">
        <v>2120</v>
      </c>
      <c r="G215" s="77">
        <v>38697</v>
      </c>
      <c r="H215" s="100">
        <f>Table3[[#This Row],[Circulation of Children''s Materials]]/Table3[[#This Row],[Total Population Served]]</f>
        <v>2.0477497255762898</v>
      </c>
      <c r="I215" s="100">
        <f>Table3[[#This Row],[Circulation of Electronic Materials]]/Table3[[#This Row],[Total Population Served]]</f>
        <v>0.2327113062568606</v>
      </c>
      <c r="J215" s="100">
        <f t="shared" si="23"/>
        <v>4.2477497255762895</v>
      </c>
      <c r="K215" s="100">
        <f t="shared" si="24"/>
        <v>14.487832272557094</v>
      </c>
      <c r="L215" s="102">
        <v>24305</v>
      </c>
      <c r="M215" s="77">
        <v>26425</v>
      </c>
      <c r="N215" s="77">
        <v>36577</v>
      </c>
      <c r="O215" s="77">
        <v>63002</v>
      </c>
      <c r="P215" s="77">
        <v>40709</v>
      </c>
      <c r="Q215" s="77">
        <v>7260</v>
      </c>
      <c r="R215" s="100">
        <f t="shared" si="25"/>
        <v>0.79692645444566412</v>
      </c>
      <c r="S215" s="77">
        <v>8229</v>
      </c>
      <c r="T215" s="71">
        <f t="shared" si="29"/>
        <v>0.90329308452250279</v>
      </c>
      <c r="U215" s="77">
        <v>2964</v>
      </c>
      <c r="V215" s="77">
        <v>2205</v>
      </c>
      <c r="W215" s="77">
        <v>29250</v>
      </c>
      <c r="X215" s="77">
        <v>31165</v>
      </c>
      <c r="Y215" s="101">
        <f t="shared" si="26"/>
        <v>3.2107574094401756</v>
      </c>
      <c r="Z215" s="101">
        <f t="shared" si="27"/>
        <v>10.950954698614751</v>
      </c>
      <c r="AA215" s="77">
        <v>5154</v>
      </c>
      <c r="AB215" s="2" t="s">
        <v>872</v>
      </c>
      <c r="AC215" s="106">
        <v>8398</v>
      </c>
      <c r="AD215" s="77">
        <v>47969</v>
      </c>
      <c r="AE215" s="77">
        <v>2671</v>
      </c>
      <c r="AF215" s="4">
        <v>9110</v>
      </c>
    </row>
    <row r="216" spans="1:32" ht="13.5" thickBot="1" x14ac:dyDescent="0.25">
      <c r="A216" s="2" t="s">
        <v>726</v>
      </c>
      <c r="B216" s="1" t="s">
        <v>725</v>
      </c>
      <c r="C216" s="2" t="s">
        <v>32</v>
      </c>
      <c r="D216" s="77">
        <v>15310</v>
      </c>
      <c r="E216" s="77">
        <v>56125</v>
      </c>
      <c r="F216" s="77">
        <v>3391</v>
      </c>
      <c r="G216" s="77">
        <v>74826</v>
      </c>
      <c r="H216" s="100">
        <f>Table3[[#This Row],[Circulation of Children''s Materials]]/Table3[[#This Row],[Total Population Served]]</f>
        <v>1.5873509590461379</v>
      </c>
      <c r="I216" s="100">
        <f>Table3[[#This Row],[Circulation of Electronic Materials]]/Table3[[#This Row],[Total Population Served]]</f>
        <v>0.35158113011923275</v>
      </c>
      <c r="J216" s="100">
        <f t="shared" si="23"/>
        <v>7.7580093312597205</v>
      </c>
      <c r="K216" s="100">
        <f t="shared" si="24"/>
        <v>15.028318939546093</v>
      </c>
      <c r="L216" s="102">
        <v>2295</v>
      </c>
      <c r="M216" s="77">
        <v>5686</v>
      </c>
      <c r="N216" s="77">
        <v>71435</v>
      </c>
      <c r="O216" s="77">
        <v>77121</v>
      </c>
      <c r="P216" s="77">
        <v>60374</v>
      </c>
      <c r="Q216" s="77">
        <v>12179</v>
      </c>
      <c r="R216" s="100">
        <f t="shared" si="25"/>
        <v>1.2627268014515294</v>
      </c>
      <c r="S216" s="77">
        <v>7736</v>
      </c>
      <c r="T216" s="71">
        <f t="shared" si="29"/>
        <v>0.80207361327112492</v>
      </c>
      <c r="U216" s="77">
        <v>3839</v>
      </c>
      <c r="V216" s="77">
        <v>5364</v>
      </c>
      <c r="W216" s="77">
        <v>53551</v>
      </c>
      <c r="X216" s="77">
        <v>23556</v>
      </c>
      <c r="Y216" s="101">
        <f t="shared" si="26"/>
        <v>5.5522032141005706</v>
      </c>
      <c r="Z216" s="101">
        <f t="shared" si="27"/>
        <v>10.755372564772042</v>
      </c>
      <c r="AA216" s="77">
        <v>8341</v>
      </c>
      <c r="AB216" s="2" t="s">
        <v>872</v>
      </c>
      <c r="AC216" s="106">
        <v>4421</v>
      </c>
      <c r="AD216" s="77">
        <v>72553</v>
      </c>
      <c r="AE216" s="77">
        <v>4979</v>
      </c>
      <c r="AF216" s="4">
        <v>9645</v>
      </c>
    </row>
    <row r="217" spans="1:32" ht="13.5" thickBot="1" x14ac:dyDescent="0.25">
      <c r="A217" s="2" t="s">
        <v>742</v>
      </c>
      <c r="B217" s="1" t="s">
        <v>741</v>
      </c>
      <c r="C217" s="2" t="s">
        <v>32</v>
      </c>
      <c r="D217" s="77">
        <v>1417</v>
      </c>
      <c r="E217" s="77">
        <v>12424</v>
      </c>
      <c r="F217" s="77">
        <v>1635</v>
      </c>
      <c r="G217" s="77">
        <v>15476</v>
      </c>
      <c r="H217" s="100">
        <f>Table3[[#This Row],[Circulation of Children''s Materials]]/Table3[[#This Row],[Total Population Served]]</f>
        <v>0.15234920976239114</v>
      </c>
      <c r="I217" s="100">
        <f>Table3[[#This Row],[Circulation of Electronic Materials]]/Table3[[#This Row],[Total Population Served]]</f>
        <v>0.17578754972583593</v>
      </c>
      <c r="J217" s="100">
        <f t="shared" si="23"/>
        <v>1.6639071067627136</v>
      </c>
      <c r="K217" s="100">
        <f t="shared" si="24"/>
        <v>2.5827770360480642</v>
      </c>
      <c r="L217" s="102">
        <v>0</v>
      </c>
      <c r="M217" s="77">
        <v>1635</v>
      </c>
      <c r="N217" s="77">
        <v>13841</v>
      </c>
      <c r="O217" s="77">
        <v>15476</v>
      </c>
      <c r="P217" s="77">
        <v>17275</v>
      </c>
      <c r="Q217" s="77">
        <v>57469</v>
      </c>
      <c r="R217" s="100">
        <f t="shared" si="25"/>
        <v>6.1787979787119669</v>
      </c>
      <c r="S217" s="77">
        <v>3629</v>
      </c>
      <c r="T217" s="71">
        <f t="shared" si="29"/>
        <v>0.39017309966670249</v>
      </c>
      <c r="U217" s="77">
        <v>1314</v>
      </c>
      <c r="V217" s="77">
        <v>1635</v>
      </c>
      <c r="W217" s="77">
        <v>30554</v>
      </c>
      <c r="X217" s="77">
        <v>0</v>
      </c>
      <c r="Y217" s="101">
        <f t="shared" si="26"/>
        <v>3.2850231157940009</v>
      </c>
      <c r="Z217" s="101">
        <f t="shared" si="27"/>
        <v>5.0991321762349804</v>
      </c>
      <c r="AA217" s="77">
        <v>21834</v>
      </c>
      <c r="AB217" s="2" t="s">
        <v>872</v>
      </c>
      <c r="AC217" s="107" t="s">
        <v>2632</v>
      </c>
      <c r="AD217" s="77">
        <v>74744</v>
      </c>
      <c r="AE217" s="77">
        <v>5992</v>
      </c>
      <c r="AF217" s="4">
        <v>9301</v>
      </c>
    </row>
    <row r="218" spans="1:32" ht="13.5" thickBot="1" x14ac:dyDescent="0.25">
      <c r="A218" s="2" t="s">
        <v>747</v>
      </c>
      <c r="B218" s="1" t="s">
        <v>746</v>
      </c>
      <c r="C218" s="2" t="s">
        <v>32</v>
      </c>
      <c r="D218" s="4">
        <v>7381</v>
      </c>
      <c r="E218" s="4">
        <v>8660</v>
      </c>
      <c r="F218" s="4">
        <v>1422</v>
      </c>
      <c r="G218" s="4">
        <v>17463</v>
      </c>
      <c r="H218" s="100">
        <f>Table3[[#This Row],[Circulation of Children''s Materials]]/Table3[[#This Row],[Total Population Served]]</f>
        <v>0.94013501464781557</v>
      </c>
      <c r="I218" s="100">
        <f>Table3[[#This Row],[Circulation of Electronic Materials]]/Table3[[#This Row],[Total Population Served]]</f>
        <v>0.1811234237676729</v>
      </c>
      <c r="J218" s="100">
        <f t="shared" si="23"/>
        <v>2.2243026366068017</v>
      </c>
      <c r="K218" s="100">
        <f t="shared" si="24"/>
        <v>7.0557575757575757</v>
      </c>
      <c r="L218" s="102">
        <v>0</v>
      </c>
      <c r="M218" s="4">
        <v>1422</v>
      </c>
      <c r="N218" s="4">
        <v>16041</v>
      </c>
      <c r="O218" s="4">
        <v>17463</v>
      </c>
      <c r="P218" s="4">
        <v>29936</v>
      </c>
      <c r="Q218" s="4">
        <v>12179</v>
      </c>
      <c r="R218" s="100">
        <f t="shared" si="25"/>
        <v>1.5512673544771367</v>
      </c>
      <c r="S218" s="77">
        <v>1275</v>
      </c>
      <c r="T218" s="71">
        <f t="shared" si="29"/>
        <v>0.16239969430645779</v>
      </c>
      <c r="U218" s="77">
        <v>2498</v>
      </c>
      <c r="V218" s="4">
        <v>1513</v>
      </c>
      <c r="W218" s="4">
        <v>41139</v>
      </c>
      <c r="X218" s="77">
        <v>3370</v>
      </c>
      <c r="Y218" s="101">
        <f t="shared" si="26"/>
        <v>5.239969430645778</v>
      </c>
      <c r="Z218" s="101">
        <f t="shared" si="27"/>
        <v>16.621818181818181</v>
      </c>
      <c r="AA218" s="77">
        <v>19900</v>
      </c>
      <c r="AB218" s="2" t="s">
        <v>872</v>
      </c>
      <c r="AC218" s="106">
        <v>5306</v>
      </c>
      <c r="AD218" s="4">
        <v>42115</v>
      </c>
      <c r="AE218" s="4">
        <v>2475</v>
      </c>
      <c r="AF218" s="4">
        <v>7851</v>
      </c>
    </row>
    <row r="219" spans="1:32" ht="13.5" thickBot="1" x14ac:dyDescent="0.25">
      <c r="A219" s="2" t="s">
        <v>749</v>
      </c>
      <c r="B219" s="1" t="s">
        <v>748</v>
      </c>
      <c r="C219" s="2" t="s">
        <v>32</v>
      </c>
      <c r="D219" s="4">
        <v>12596</v>
      </c>
      <c r="E219" s="4">
        <v>17115</v>
      </c>
      <c r="F219" s="4">
        <v>4124</v>
      </c>
      <c r="G219" s="4">
        <v>33835</v>
      </c>
      <c r="H219" s="100">
        <f>Table3[[#This Row],[Circulation of Children''s Materials]]/Table3[[#This Row],[Total Population Served]]</f>
        <v>1.2288780487804878</v>
      </c>
      <c r="I219" s="100">
        <f>Table3[[#This Row],[Circulation of Electronic Materials]]/Table3[[#This Row],[Total Population Served]]</f>
        <v>0.40234146341463417</v>
      </c>
      <c r="J219" s="100">
        <f t="shared" si="23"/>
        <v>3.3009756097560974</v>
      </c>
      <c r="K219" s="100">
        <f t="shared" si="24"/>
        <v>12.874809741248097</v>
      </c>
      <c r="L219" s="102">
        <v>1196</v>
      </c>
      <c r="M219" s="4">
        <v>5320</v>
      </c>
      <c r="N219" s="4">
        <v>29711</v>
      </c>
      <c r="O219" s="4">
        <v>35031</v>
      </c>
      <c r="P219" s="4">
        <v>33734</v>
      </c>
      <c r="Q219" s="4">
        <v>5846</v>
      </c>
      <c r="R219" s="100">
        <f t="shared" si="25"/>
        <v>0.5703414634146341</v>
      </c>
      <c r="S219" s="4">
        <v>2784</v>
      </c>
      <c r="T219" s="71">
        <f t="shared" si="29"/>
        <v>0.27160975609756099</v>
      </c>
      <c r="U219" s="4">
        <v>5386</v>
      </c>
      <c r="V219" s="4">
        <v>3135</v>
      </c>
      <c r="W219" s="4">
        <v>43988</v>
      </c>
      <c r="X219" s="77">
        <v>21374</v>
      </c>
      <c r="Y219" s="101">
        <f t="shared" si="26"/>
        <v>4.2915121951219515</v>
      </c>
      <c r="Z219" s="101">
        <f t="shared" si="27"/>
        <v>16.738203957382041</v>
      </c>
      <c r="AA219" s="4">
        <v>4264</v>
      </c>
      <c r="AB219" s="2" t="s">
        <v>872</v>
      </c>
      <c r="AC219" s="106">
        <v>13866</v>
      </c>
      <c r="AD219" s="4">
        <v>39580</v>
      </c>
      <c r="AE219" s="4">
        <v>2628</v>
      </c>
      <c r="AF219" s="4">
        <v>10250</v>
      </c>
    </row>
    <row r="220" spans="1:32" ht="13.5" thickBot="1" x14ac:dyDescent="0.25">
      <c r="A220" s="2" t="s">
        <v>759</v>
      </c>
      <c r="B220" s="1" t="s">
        <v>758</v>
      </c>
      <c r="C220" s="2" t="s">
        <v>32</v>
      </c>
      <c r="D220" s="4">
        <v>5651</v>
      </c>
      <c r="E220" s="4">
        <v>15657</v>
      </c>
      <c r="F220" s="4">
        <v>377</v>
      </c>
      <c r="G220" s="4">
        <v>21685</v>
      </c>
      <c r="H220" s="100">
        <f>Table3[[#This Row],[Circulation of Children''s Materials]]/Table3[[#This Row],[Total Population Served]]</f>
        <v>0.5300131307447008</v>
      </c>
      <c r="I220" s="100">
        <f>Table3[[#This Row],[Circulation of Electronic Materials]]/Table3[[#This Row],[Total Population Served]]</f>
        <v>3.5359219658600637E-2</v>
      </c>
      <c r="J220" s="100">
        <f t="shared" si="23"/>
        <v>2.0338585631213655</v>
      </c>
      <c r="K220" s="100">
        <f t="shared" si="24"/>
        <v>5.83086851304114</v>
      </c>
      <c r="L220" s="102">
        <v>74</v>
      </c>
      <c r="M220" s="4">
        <v>451</v>
      </c>
      <c r="N220" s="4">
        <v>21308</v>
      </c>
      <c r="O220" s="4">
        <v>21759</v>
      </c>
      <c r="P220" s="4">
        <v>32239</v>
      </c>
      <c r="Q220" s="4">
        <v>9565</v>
      </c>
      <c r="R220" s="100">
        <f t="shared" si="25"/>
        <v>0.89711123616582256</v>
      </c>
      <c r="S220" s="4">
        <v>3776</v>
      </c>
      <c r="T220" s="71">
        <f t="shared" si="29"/>
        <v>0.35415494278746951</v>
      </c>
      <c r="U220" s="4">
        <v>907</v>
      </c>
      <c r="V220" s="4">
        <v>1316</v>
      </c>
      <c r="W220" s="4">
        <v>30500</v>
      </c>
      <c r="X220" s="78" t="s">
        <v>16</v>
      </c>
      <c r="Y220" s="101">
        <f t="shared" si="26"/>
        <v>2.8606265241042954</v>
      </c>
      <c r="Z220" s="101">
        <f t="shared" si="27"/>
        <v>8.2011293358429693</v>
      </c>
      <c r="AA220" s="4">
        <v>4462</v>
      </c>
      <c r="AB220" s="2" t="s">
        <v>872</v>
      </c>
      <c r="AC220" s="106">
        <v>8756</v>
      </c>
      <c r="AD220" s="4">
        <v>41804</v>
      </c>
      <c r="AE220" s="4">
        <v>3719</v>
      </c>
      <c r="AF220" s="4">
        <v>10662</v>
      </c>
    </row>
    <row r="221" spans="1:32" ht="13.5" thickBot="1" x14ac:dyDescent="0.25">
      <c r="A221" s="2" t="s">
        <v>763</v>
      </c>
      <c r="B221" s="1" t="s">
        <v>762</v>
      </c>
      <c r="C221" s="2" t="s">
        <v>32</v>
      </c>
      <c r="D221" s="77">
        <v>17727</v>
      </c>
      <c r="E221" s="77">
        <v>27965</v>
      </c>
      <c r="F221" s="77">
        <v>3624</v>
      </c>
      <c r="G221" s="77">
        <v>49316</v>
      </c>
      <c r="H221" s="100">
        <f>Table3[[#This Row],[Circulation of Children''s Materials]]/Table3[[#This Row],[Total Population Served]]</f>
        <v>1.4790988735919899</v>
      </c>
      <c r="I221" s="100">
        <f>Table3[[#This Row],[Circulation of Electronic Materials]]/Table3[[#This Row],[Total Population Served]]</f>
        <v>0.30237797246558196</v>
      </c>
      <c r="J221" s="100">
        <f t="shared" si="23"/>
        <v>4.1148101793909051</v>
      </c>
      <c r="K221" s="100">
        <f t="shared" si="24"/>
        <v>4.2764481442941378</v>
      </c>
      <c r="L221" s="102">
        <v>24</v>
      </c>
      <c r="M221" s="77">
        <v>3648</v>
      </c>
      <c r="N221" s="77">
        <v>45692</v>
      </c>
      <c r="O221" s="77">
        <v>49340</v>
      </c>
      <c r="P221" s="77">
        <v>77474</v>
      </c>
      <c r="Q221" s="77">
        <v>10561</v>
      </c>
      <c r="R221" s="100">
        <f t="shared" si="25"/>
        <v>0.88118481435127238</v>
      </c>
      <c r="S221" s="77">
        <v>6156</v>
      </c>
      <c r="T221" s="71">
        <f t="shared" si="29"/>
        <v>0.51364205256570716</v>
      </c>
      <c r="U221" s="77">
        <v>1013</v>
      </c>
      <c r="V221" s="77">
        <v>1385</v>
      </c>
      <c r="W221" s="77">
        <v>30780</v>
      </c>
      <c r="X221" s="77">
        <v>4654</v>
      </c>
      <c r="Y221" s="101">
        <f t="shared" si="26"/>
        <v>2.5682102628285355</v>
      </c>
      <c r="Z221" s="101">
        <f t="shared" si="27"/>
        <v>2.6690946930280957</v>
      </c>
      <c r="AA221" s="77">
        <v>5024</v>
      </c>
      <c r="AB221" s="2" t="s">
        <v>872</v>
      </c>
      <c r="AC221" s="106">
        <v>427</v>
      </c>
      <c r="AD221" s="77">
        <v>88035</v>
      </c>
      <c r="AE221" s="77">
        <v>11532</v>
      </c>
      <c r="AF221" s="4">
        <v>11985</v>
      </c>
    </row>
    <row r="222" spans="1:32" ht="13.5" thickBot="1" x14ac:dyDescent="0.25">
      <c r="A222" s="2" t="s">
        <v>765</v>
      </c>
      <c r="B222" s="1" t="s">
        <v>764</v>
      </c>
      <c r="C222" s="2" t="s">
        <v>32</v>
      </c>
      <c r="D222" s="77">
        <v>8892</v>
      </c>
      <c r="E222" s="77">
        <v>10272</v>
      </c>
      <c r="F222" s="77">
        <v>5569</v>
      </c>
      <c r="G222" s="77">
        <v>24733</v>
      </c>
      <c r="H222" s="100">
        <f>Table3[[#This Row],[Circulation of Children''s Materials]]/Table3[[#This Row],[Total Population Served]]</f>
        <v>1.0914447035718668</v>
      </c>
      <c r="I222" s="100">
        <f>Table3[[#This Row],[Circulation of Electronic Materials]]/Table3[[#This Row],[Total Population Served]]</f>
        <v>0.68356450227077448</v>
      </c>
      <c r="J222" s="100">
        <f t="shared" si="23"/>
        <v>3.0358414140174297</v>
      </c>
      <c r="K222" s="100">
        <f t="shared" si="24"/>
        <v>3.1422944987930377</v>
      </c>
      <c r="L222" s="102">
        <v>0</v>
      </c>
      <c r="M222" s="77">
        <v>5569</v>
      </c>
      <c r="N222" s="77">
        <v>19164</v>
      </c>
      <c r="O222" s="77">
        <v>24733</v>
      </c>
      <c r="P222" s="77">
        <v>28890</v>
      </c>
      <c r="Q222" s="77">
        <v>9461</v>
      </c>
      <c r="R222" s="100">
        <f t="shared" si="25"/>
        <v>1.1612863630784338</v>
      </c>
      <c r="S222" s="77">
        <v>769</v>
      </c>
      <c r="T222" s="71">
        <f t="shared" si="29"/>
        <v>9.4390573217135149E-2</v>
      </c>
      <c r="U222" s="77">
        <v>1953</v>
      </c>
      <c r="V222" s="77">
        <v>2067</v>
      </c>
      <c r="W222" s="77">
        <v>27800</v>
      </c>
      <c r="X222" s="77">
        <v>3700</v>
      </c>
      <c r="Y222" s="101">
        <f t="shared" si="26"/>
        <v>3.4122990057689946</v>
      </c>
      <c r="Z222" s="101">
        <f t="shared" si="27"/>
        <v>3.5319527378986151</v>
      </c>
      <c r="AA222" s="77">
        <v>2306</v>
      </c>
      <c r="AB222" s="2" t="s">
        <v>872</v>
      </c>
      <c r="AC222" s="106">
        <v>1095</v>
      </c>
      <c r="AD222" s="77">
        <v>38351</v>
      </c>
      <c r="AE222" s="77">
        <v>7871</v>
      </c>
      <c r="AF222" s="4">
        <v>8147</v>
      </c>
    </row>
    <row r="223" spans="1:32" ht="13.5" thickBot="1" x14ac:dyDescent="0.25">
      <c r="A223" s="2" t="s">
        <v>773</v>
      </c>
      <c r="B223" s="1" t="s">
        <v>772</v>
      </c>
      <c r="C223" s="2" t="s">
        <v>32</v>
      </c>
      <c r="D223" s="77">
        <v>26051</v>
      </c>
      <c r="E223" s="77">
        <v>22907</v>
      </c>
      <c r="F223" s="77">
        <v>1661</v>
      </c>
      <c r="G223" s="77">
        <v>50619</v>
      </c>
      <c r="H223" s="100">
        <f>Table3[[#This Row],[Circulation of Children''s Materials]]/Table3[[#This Row],[Total Population Served]]</f>
        <v>2.6817994646901377</v>
      </c>
      <c r="I223" s="100">
        <f>Table3[[#This Row],[Circulation of Electronic Materials]]/Table3[[#This Row],[Total Population Served]]</f>
        <v>0.17099032324480132</v>
      </c>
      <c r="J223" s="100">
        <f t="shared" si="23"/>
        <v>5.2109326744904259</v>
      </c>
      <c r="K223" s="100">
        <f t="shared" si="24"/>
        <v>17.112576064908723</v>
      </c>
      <c r="L223" s="102">
        <v>0</v>
      </c>
      <c r="M223" s="77">
        <v>1661</v>
      </c>
      <c r="N223" s="77">
        <v>48958</v>
      </c>
      <c r="O223" s="77">
        <v>50619</v>
      </c>
      <c r="P223" s="77">
        <v>33307</v>
      </c>
      <c r="Q223" s="77">
        <v>9434</v>
      </c>
      <c r="R223" s="100">
        <f t="shared" si="25"/>
        <v>0.97117562281243563</v>
      </c>
      <c r="S223" s="77">
        <v>2700</v>
      </c>
      <c r="T223" s="71">
        <f t="shared" si="29"/>
        <v>0.27794935145151328</v>
      </c>
      <c r="U223" s="77">
        <v>3457</v>
      </c>
      <c r="V223" s="77">
        <v>4358</v>
      </c>
      <c r="W223" s="77">
        <v>41667</v>
      </c>
      <c r="X223" s="77">
        <v>22825</v>
      </c>
      <c r="Y223" s="101">
        <f t="shared" si="26"/>
        <v>4.2893761581222973</v>
      </c>
      <c r="Z223" s="101">
        <f t="shared" si="27"/>
        <v>14.086206896551724</v>
      </c>
      <c r="AA223" s="77">
        <v>7106</v>
      </c>
      <c r="AB223" s="2" t="s">
        <v>872</v>
      </c>
      <c r="AC223" s="106">
        <v>18053</v>
      </c>
      <c r="AD223" s="77">
        <v>42741</v>
      </c>
      <c r="AE223" s="77">
        <v>2958</v>
      </c>
      <c r="AF223" s="4">
        <v>9714</v>
      </c>
    </row>
    <row r="224" spans="1:32" ht="13.5" thickBot="1" x14ac:dyDescent="0.25">
      <c r="A224" s="2" t="s">
        <v>803</v>
      </c>
      <c r="B224" s="1" t="s">
        <v>802</v>
      </c>
      <c r="C224" s="2" t="s">
        <v>32</v>
      </c>
      <c r="D224" s="77">
        <v>4773</v>
      </c>
      <c r="E224" s="77">
        <v>15680</v>
      </c>
      <c r="F224" s="77">
        <v>946</v>
      </c>
      <c r="G224" s="77">
        <v>21399</v>
      </c>
      <c r="H224" s="100">
        <f>Table3[[#This Row],[Circulation of Children''s Materials]]/Table3[[#This Row],[Total Population Served]]</f>
        <v>0.50168173218414969</v>
      </c>
      <c r="I224" s="100">
        <f>Table3[[#This Row],[Circulation of Electronic Materials]]/Table3[[#This Row],[Total Population Served]]</f>
        <v>9.9432415387849485E-2</v>
      </c>
      <c r="J224" s="100">
        <f t="shared" si="23"/>
        <v>2.2492116880386797</v>
      </c>
      <c r="K224" s="100">
        <f t="shared" si="24"/>
        <v>1.8804042179261864</v>
      </c>
      <c r="L224" s="102">
        <v>2</v>
      </c>
      <c r="M224" s="77">
        <v>948</v>
      </c>
      <c r="N224" s="77">
        <v>20453</v>
      </c>
      <c r="O224" s="77">
        <v>21401</v>
      </c>
      <c r="P224" s="77">
        <v>33614</v>
      </c>
      <c r="Q224" s="77">
        <v>1800</v>
      </c>
      <c r="R224" s="100">
        <f t="shared" si="25"/>
        <v>0.18919487071683835</v>
      </c>
      <c r="S224" s="77">
        <v>6480</v>
      </c>
      <c r="T224" s="71">
        <f t="shared" si="29"/>
        <v>0.68110153458061806</v>
      </c>
      <c r="U224" s="77">
        <v>0</v>
      </c>
      <c r="V224" s="77">
        <v>56</v>
      </c>
      <c r="W224" s="77">
        <v>9724</v>
      </c>
      <c r="X224" s="78" t="s">
        <v>16</v>
      </c>
      <c r="Y224" s="101">
        <f t="shared" si="26"/>
        <v>1.0220727349169645</v>
      </c>
      <c r="Z224" s="101">
        <f t="shared" si="27"/>
        <v>0.85448154657293496</v>
      </c>
      <c r="AA224" s="77">
        <v>5200</v>
      </c>
      <c r="AB224" s="2" t="s">
        <v>872</v>
      </c>
      <c r="AC224" s="106">
        <v>940</v>
      </c>
      <c r="AD224" s="77">
        <v>35414</v>
      </c>
      <c r="AE224" s="77">
        <v>11380</v>
      </c>
      <c r="AF224" s="4">
        <v>9514</v>
      </c>
    </row>
    <row r="225" spans="1:32" ht="13.5" thickBot="1" x14ac:dyDescent="0.25">
      <c r="A225" s="2" t="s">
        <v>817</v>
      </c>
      <c r="B225" s="1" t="s">
        <v>816</v>
      </c>
      <c r="C225" s="2" t="s">
        <v>32</v>
      </c>
      <c r="D225" s="4">
        <v>12084</v>
      </c>
      <c r="E225" s="4">
        <v>41497</v>
      </c>
      <c r="F225" s="4">
        <v>4258</v>
      </c>
      <c r="G225" s="4">
        <v>57839</v>
      </c>
      <c r="H225" s="100">
        <f>Table3[[#This Row],[Circulation of Children''s Materials]]/Table3[[#This Row],[Total Population Served]]</f>
        <v>1.3223900196979645</v>
      </c>
      <c r="I225" s="100">
        <f>Table3[[#This Row],[Circulation of Electronic Materials]]/Table3[[#This Row],[Total Population Served]]</f>
        <v>0.46596629459400307</v>
      </c>
      <c r="J225" s="100">
        <f t="shared" si="23"/>
        <v>6.3295031735609539</v>
      </c>
      <c r="K225" s="100">
        <f t="shared" si="24"/>
        <v>40.731690140845068</v>
      </c>
      <c r="L225" s="103" t="s">
        <v>2632</v>
      </c>
      <c r="M225" s="4">
        <v>4258</v>
      </c>
      <c r="N225" s="4">
        <v>53581</v>
      </c>
      <c r="O225" s="4">
        <v>57839</v>
      </c>
      <c r="P225" s="4">
        <v>36060</v>
      </c>
      <c r="Q225" s="4">
        <v>14434</v>
      </c>
      <c r="R225" s="100">
        <f t="shared" si="25"/>
        <v>1.5795578901291312</v>
      </c>
      <c r="S225" s="77">
        <v>8975</v>
      </c>
      <c r="T225" s="71">
        <f t="shared" si="29"/>
        <v>0.98216239877434885</v>
      </c>
      <c r="U225" s="77">
        <v>5156</v>
      </c>
      <c r="V225" s="4">
        <v>5783</v>
      </c>
      <c r="W225" s="4">
        <v>51000</v>
      </c>
      <c r="X225" s="77">
        <v>29738</v>
      </c>
      <c r="Y225" s="101">
        <f t="shared" si="26"/>
        <v>5.5810899540380827</v>
      </c>
      <c r="Z225" s="101">
        <f t="shared" si="27"/>
        <v>35.91549295774648</v>
      </c>
      <c r="AA225" s="77">
        <v>19000</v>
      </c>
      <c r="AB225" s="2" t="s">
        <v>872</v>
      </c>
      <c r="AC225" s="106">
        <v>364</v>
      </c>
      <c r="AD225" s="4">
        <v>50494</v>
      </c>
      <c r="AE225" s="4">
        <v>1420</v>
      </c>
      <c r="AF225" s="4">
        <v>9138</v>
      </c>
    </row>
    <row r="226" spans="1:32" ht="13.5" thickBot="1" x14ac:dyDescent="0.25">
      <c r="A226" s="2" t="s">
        <v>819</v>
      </c>
      <c r="B226" s="1" t="s">
        <v>818</v>
      </c>
      <c r="C226" s="2" t="s">
        <v>32</v>
      </c>
      <c r="D226" s="4">
        <v>17104</v>
      </c>
      <c r="E226" s="4">
        <v>41874</v>
      </c>
      <c r="F226" s="4">
        <v>2777</v>
      </c>
      <c r="G226" s="4">
        <v>61755</v>
      </c>
      <c r="H226" s="100">
        <f>Table3[[#This Row],[Circulation of Children''s Materials]]/Table3[[#This Row],[Total Population Served]]</f>
        <v>2.3207598371777478</v>
      </c>
      <c r="I226" s="100">
        <f>Table3[[#This Row],[Circulation of Electronic Materials]]/Table3[[#This Row],[Total Population Served]]</f>
        <v>0.376797829036635</v>
      </c>
      <c r="J226" s="100">
        <f t="shared" si="23"/>
        <v>8.3792401628222528</v>
      </c>
      <c r="K226" s="100">
        <f t="shared" si="24"/>
        <v>11.758377760853008</v>
      </c>
      <c r="L226" s="102">
        <v>280</v>
      </c>
      <c r="M226" s="4">
        <v>3057</v>
      </c>
      <c r="N226" s="4">
        <v>58978</v>
      </c>
      <c r="O226" s="4">
        <v>62035</v>
      </c>
      <c r="P226" s="4">
        <v>67806</v>
      </c>
      <c r="Q226" s="4">
        <v>11644</v>
      </c>
      <c r="R226" s="100">
        <f t="shared" si="25"/>
        <v>1.5799185888738128</v>
      </c>
      <c r="S226" s="4">
        <v>19593</v>
      </c>
      <c r="T226" s="71">
        <f t="shared" si="29"/>
        <v>2.6584803256445046</v>
      </c>
      <c r="U226" s="4">
        <v>5057</v>
      </c>
      <c r="V226" s="4">
        <v>2925</v>
      </c>
      <c r="W226" s="4">
        <v>52929</v>
      </c>
      <c r="X226" s="77">
        <v>4863</v>
      </c>
      <c r="Y226" s="101">
        <f t="shared" si="26"/>
        <v>7.1816824966078698</v>
      </c>
      <c r="Z226" s="101">
        <f t="shared" si="27"/>
        <v>10.077875095201827</v>
      </c>
      <c r="AA226" s="4">
        <v>6242</v>
      </c>
      <c r="AB226" s="2" t="s">
        <v>872</v>
      </c>
      <c r="AC226" s="106">
        <v>8779</v>
      </c>
      <c r="AD226" s="4">
        <v>79450</v>
      </c>
      <c r="AE226" s="4">
        <v>5252</v>
      </c>
      <c r="AF226" s="4">
        <v>7370</v>
      </c>
    </row>
    <row r="227" spans="1:32" ht="13.5" thickBot="1" x14ac:dyDescent="0.25">
      <c r="A227" s="2" t="s">
        <v>823</v>
      </c>
      <c r="B227" s="1" t="s">
        <v>822</v>
      </c>
      <c r="C227" s="2" t="s">
        <v>32</v>
      </c>
      <c r="D227" s="77">
        <v>10606</v>
      </c>
      <c r="E227" s="77">
        <v>44614</v>
      </c>
      <c r="F227" s="77">
        <v>196</v>
      </c>
      <c r="G227" s="77">
        <v>55416</v>
      </c>
      <c r="H227" s="100">
        <f>Table3[[#This Row],[Circulation of Children''s Materials]]/Table3[[#This Row],[Total Population Served]]</f>
        <v>1.2429391773116136</v>
      </c>
      <c r="I227" s="100">
        <f>Table3[[#This Row],[Circulation of Electronic Materials]]/Table3[[#This Row],[Total Population Served]]</f>
        <v>2.2969647251845776E-2</v>
      </c>
      <c r="J227" s="100">
        <f t="shared" si="23"/>
        <v>6.494316184225946</v>
      </c>
      <c r="K227" s="100">
        <f t="shared" si="24"/>
        <v>23.732762312633835</v>
      </c>
      <c r="L227" s="102">
        <v>0</v>
      </c>
      <c r="M227" s="77">
        <v>196</v>
      </c>
      <c r="N227" s="77">
        <v>55220</v>
      </c>
      <c r="O227" s="77">
        <v>55416</v>
      </c>
      <c r="P227" s="77">
        <v>62440</v>
      </c>
      <c r="Q227" s="77">
        <v>13209</v>
      </c>
      <c r="R227" s="100">
        <f t="shared" si="25"/>
        <v>1.5479901558654634</v>
      </c>
      <c r="S227" s="77">
        <v>1248</v>
      </c>
      <c r="T227" s="71">
        <f t="shared" si="29"/>
        <v>0.14625571311379351</v>
      </c>
      <c r="U227" s="77">
        <v>5478</v>
      </c>
      <c r="V227" s="77">
        <v>2390</v>
      </c>
      <c r="W227" s="77">
        <v>45799</v>
      </c>
      <c r="X227" s="77">
        <v>14822</v>
      </c>
      <c r="Y227" s="101">
        <f t="shared" si="26"/>
        <v>5.3672799718739013</v>
      </c>
      <c r="Z227" s="101">
        <f t="shared" si="27"/>
        <v>19.614132762312632</v>
      </c>
      <c r="AA227" s="77">
        <v>3793</v>
      </c>
      <c r="AB227" s="2" t="s">
        <v>872</v>
      </c>
      <c r="AC227" s="106">
        <v>7972</v>
      </c>
      <c r="AD227" s="77">
        <v>75649</v>
      </c>
      <c r="AE227" s="77">
        <v>2335</v>
      </c>
      <c r="AF227" s="4">
        <v>8533</v>
      </c>
    </row>
    <row r="228" spans="1:32" ht="13.5" thickBot="1" x14ac:dyDescent="0.25">
      <c r="A228" s="2" t="s">
        <v>825</v>
      </c>
      <c r="B228" s="1" t="s">
        <v>824</v>
      </c>
      <c r="C228" s="2" t="s">
        <v>32</v>
      </c>
      <c r="D228" s="77">
        <v>44448</v>
      </c>
      <c r="E228" s="77">
        <v>70586</v>
      </c>
      <c r="F228" s="77">
        <v>4957</v>
      </c>
      <c r="G228" s="77">
        <v>119991</v>
      </c>
      <c r="H228" s="100">
        <f>Table3[[#This Row],[Circulation of Children''s Materials]]/Table3[[#This Row],[Total Population Served]]</f>
        <v>3.7632715265430532</v>
      </c>
      <c r="I228" s="100">
        <f>Table3[[#This Row],[Circulation of Electronic Materials]]/Table3[[#This Row],[Total Population Served]]</f>
        <v>0.41969350605367878</v>
      </c>
      <c r="J228" s="100">
        <f t="shared" si="23"/>
        <v>10.159258318516637</v>
      </c>
      <c r="K228" s="100">
        <f t="shared" si="24"/>
        <v>35.40601947477132</v>
      </c>
      <c r="L228" s="102">
        <v>0</v>
      </c>
      <c r="M228" s="77">
        <v>4957</v>
      </c>
      <c r="N228" s="77">
        <v>115034</v>
      </c>
      <c r="O228" s="77">
        <v>119991</v>
      </c>
      <c r="P228" s="77">
        <v>48394</v>
      </c>
      <c r="Q228" s="77">
        <v>12752</v>
      </c>
      <c r="R228" s="100">
        <f t="shared" si="25"/>
        <v>1.0796714926763187</v>
      </c>
      <c r="S228" s="77">
        <v>4806</v>
      </c>
      <c r="T228" s="71">
        <f t="shared" si="29"/>
        <v>0.40690881381762761</v>
      </c>
      <c r="U228" s="77">
        <v>5673</v>
      </c>
      <c r="V228" s="77">
        <v>6350</v>
      </c>
      <c r="W228" s="77">
        <v>74266</v>
      </c>
      <c r="X228" s="77">
        <v>40719</v>
      </c>
      <c r="Y228" s="101">
        <f t="shared" si="26"/>
        <v>6.2878672424011519</v>
      </c>
      <c r="Z228" s="101">
        <f t="shared" si="27"/>
        <v>21.913838890528179</v>
      </c>
      <c r="AA228" s="77">
        <v>8288</v>
      </c>
      <c r="AB228" s="2" t="s">
        <v>872</v>
      </c>
      <c r="AC228" s="106">
        <v>12268</v>
      </c>
      <c r="AD228" s="77">
        <v>61146</v>
      </c>
      <c r="AE228" s="77">
        <v>3389</v>
      </c>
      <c r="AF228" s="4">
        <v>11811</v>
      </c>
    </row>
    <row r="229" spans="1:32" ht="13.5" thickBot="1" x14ac:dyDescent="0.25">
      <c r="A229" s="2" t="s">
        <v>831</v>
      </c>
      <c r="B229" s="1" t="s">
        <v>830</v>
      </c>
      <c r="C229" s="2" t="s">
        <v>32</v>
      </c>
      <c r="D229" s="77">
        <v>8930</v>
      </c>
      <c r="E229" s="77">
        <v>21946</v>
      </c>
      <c r="F229" s="77">
        <v>4134</v>
      </c>
      <c r="G229" s="77">
        <v>35010</v>
      </c>
      <c r="H229" s="100">
        <f>Table3[[#This Row],[Circulation of Children''s Materials]]/Table3[[#This Row],[Total Population Served]]</f>
        <v>0.89175154783303379</v>
      </c>
      <c r="I229" s="100">
        <f>Table3[[#This Row],[Circulation of Electronic Materials]]/Table3[[#This Row],[Total Population Served]]</f>
        <v>0.41282204913121628</v>
      </c>
      <c r="J229" s="100">
        <f t="shared" si="23"/>
        <v>3.4961054523666868</v>
      </c>
      <c r="K229" s="100">
        <f t="shared" si="24"/>
        <v>4.8930817610062896</v>
      </c>
      <c r="L229" s="102">
        <v>0</v>
      </c>
      <c r="M229" s="77">
        <v>4134</v>
      </c>
      <c r="N229" s="77">
        <v>30876</v>
      </c>
      <c r="O229" s="77">
        <v>35010</v>
      </c>
      <c r="P229" s="77">
        <v>27530</v>
      </c>
      <c r="Q229" s="77">
        <v>25856</v>
      </c>
      <c r="R229" s="100">
        <f t="shared" si="25"/>
        <v>2.5819852206910325</v>
      </c>
      <c r="S229" s="77">
        <v>1755</v>
      </c>
      <c r="T229" s="71">
        <f t="shared" si="29"/>
        <v>0.17525464349910125</v>
      </c>
      <c r="U229" s="77">
        <v>1105</v>
      </c>
      <c r="V229" s="77">
        <v>1107</v>
      </c>
      <c r="W229" s="77">
        <v>29897</v>
      </c>
      <c r="X229" s="77">
        <v>8289</v>
      </c>
      <c r="Y229" s="101">
        <f t="shared" si="26"/>
        <v>2.9855202716197322</v>
      </c>
      <c r="Z229" s="101">
        <f t="shared" si="27"/>
        <v>4.1784765897973442</v>
      </c>
      <c r="AA229" s="77">
        <v>2578</v>
      </c>
      <c r="AB229" s="2" t="s">
        <v>872</v>
      </c>
      <c r="AC229" s="106">
        <v>241</v>
      </c>
      <c r="AD229" s="77">
        <v>53386</v>
      </c>
      <c r="AE229" s="77">
        <v>7155</v>
      </c>
      <c r="AF229" s="4">
        <v>10014</v>
      </c>
    </row>
    <row r="230" spans="1:32" ht="13.5" thickBot="1" x14ac:dyDescent="0.25">
      <c r="A230" s="2" t="s">
        <v>26</v>
      </c>
      <c r="B230" s="1" t="s">
        <v>25</v>
      </c>
      <c r="C230" s="2" t="s">
        <v>29</v>
      </c>
      <c r="D230" s="4">
        <v>21145</v>
      </c>
      <c r="E230" s="4">
        <v>44689</v>
      </c>
      <c r="F230" s="4">
        <v>3864</v>
      </c>
      <c r="G230" s="4">
        <v>69698</v>
      </c>
      <c r="H230" s="100">
        <f>Table3[[#This Row],[Circulation of Children''s Materials]]/Table3[[#This Row],[Total Population Served]]</f>
        <v>1.0005678323001941</v>
      </c>
      <c r="I230" s="100">
        <f>Table3[[#This Row],[Circulation of Electronic Materials]]/Table3[[#This Row],[Total Population Served]]</f>
        <v>0.18284200066247103</v>
      </c>
      <c r="J230" s="100">
        <f t="shared" si="23"/>
        <v>3.2980646382435053</v>
      </c>
      <c r="K230" s="100">
        <f t="shared" si="24"/>
        <v>7.6667033329666703</v>
      </c>
      <c r="L230" s="102">
        <v>6363</v>
      </c>
      <c r="M230" s="4">
        <v>10227</v>
      </c>
      <c r="N230" s="4">
        <v>65834</v>
      </c>
      <c r="O230" s="4">
        <v>76061</v>
      </c>
      <c r="P230" s="4">
        <v>82866</v>
      </c>
      <c r="Q230" s="4">
        <v>16324</v>
      </c>
      <c r="R230" s="100">
        <f t="shared" si="25"/>
        <v>0.77244120569725072</v>
      </c>
      <c r="S230" s="4">
        <v>7489</v>
      </c>
      <c r="T230" s="71">
        <f t="shared" si="29"/>
        <v>0.35437467467941136</v>
      </c>
      <c r="U230" s="4">
        <v>3884</v>
      </c>
      <c r="V230" s="4">
        <v>5086</v>
      </c>
      <c r="W230" s="4">
        <v>114473</v>
      </c>
      <c r="X230" s="77">
        <v>16433</v>
      </c>
      <c r="Y230" s="101">
        <f t="shared" si="26"/>
        <v>5.4167889083424026</v>
      </c>
      <c r="Z230" s="101">
        <f t="shared" si="27"/>
        <v>12.591904080959191</v>
      </c>
      <c r="AA230" s="4">
        <v>18030</v>
      </c>
      <c r="AB230" s="2" t="s">
        <v>872</v>
      </c>
      <c r="AC230" s="106">
        <v>19832</v>
      </c>
      <c r="AD230" s="4">
        <v>99190</v>
      </c>
      <c r="AE230" s="4">
        <v>9091</v>
      </c>
      <c r="AF230" s="4">
        <v>21133</v>
      </c>
    </row>
    <row r="231" spans="1:32" ht="13.5" thickBot="1" x14ac:dyDescent="0.25">
      <c r="A231" s="2" t="s">
        <v>42</v>
      </c>
      <c r="B231" s="1" t="s">
        <v>41</v>
      </c>
      <c r="C231" s="2" t="s">
        <v>29</v>
      </c>
      <c r="D231" s="77">
        <v>14721</v>
      </c>
      <c r="E231" s="77">
        <v>40973</v>
      </c>
      <c r="F231" s="77">
        <v>8536</v>
      </c>
      <c r="G231" s="77">
        <v>64230</v>
      </c>
      <c r="H231" s="100">
        <f>Table3[[#This Row],[Circulation of Children''s Materials]]/Table3[[#This Row],[Total Population Served]]</f>
        <v>0.84598586288144362</v>
      </c>
      <c r="I231" s="100">
        <f>Table3[[#This Row],[Circulation of Electronic Materials]]/Table3[[#This Row],[Total Population Served]]</f>
        <v>0.49054652031492441</v>
      </c>
      <c r="J231" s="100">
        <f t="shared" si="23"/>
        <v>3.6911671743003276</v>
      </c>
      <c r="K231" s="100">
        <f t="shared" si="24"/>
        <v>7.3725895316804406</v>
      </c>
      <c r="L231" s="102">
        <v>6175</v>
      </c>
      <c r="M231" s="77">
        <v>14711</v>
      </c>
      <c r="N231" s="77">
        <v>55694</v>
      </c>
      <c r="O231" s="77">
        <v>70405</v>
      </c>
      <c r="P231" s="77">
        <v>43271</v>
      </c>
      <c r="Q231" s="77">
        <v>21816</v>
      </c>
      <c r="R231" s="100">
        <f t="shared" si="25"/>
        <v>1.2537210505143384</v>
      </c>
      <c r="S231" s="77">
        <v>2553</v>
      </c>
      <c r="T231" s="71">
        <f t="shared" si="29"/>
        <v>0.1467157059939084</v>
      </c>
      <c r="U231" s="77">
        <v>2278</v>
      </c>
      <c r="V231" s="77">
        <v>2961</v>
      </c>
      <c r="W231" s="77">
        <v>0</v>
      </c>
      <c r="X231" s="77">
        <v>17651</v>
      </c>
      <c r="Y231" s="101">
        <f t="shared" si="26"/>
        <v>0</v>
      </c>
      <c r="Z231" s="101">
        <f t="shared" si="27"/>
        <v>0</v>
      </c>
      <c r="AA231" s="77">
        <v>29665</v>
      </c>
      <c r="AB231" s="2" t="s">
        <v>872</v>
      </c>
      <c r="AC231" s="106">
        <v>13600</v>
      </c>
      <c r="AD231" s="77">
        <v>65087</v>
      </c>
      <c r="AE231" s="77">
        <v>8712</v>
      </c>
      <c r="AF231" s="4">
        <v>17401</v>
      </c>
    </row>
    <row r="232" spans="1:32" ht="13.5" thickBot="1" x14ac:dyDescent="0.25">
      <c r="A232" s="2" t="s">
        <v>70</v>
      </c>
      <c r="B232" s="1" t="s">
        <v>69</v>
      </c>
      <c r="C232" s="2" t="s">
        <v>29</v>
      </c>
      <c r="D232" s="4">
        <v>44263</v>
      </c>
      <c r="E232" s="4">
        <v>82769</v>
      </c>
      <c r="F232" s="4">
        <v>15950</v>
      </c>
      <c r="G232" s="4">
        <v>142982</v>
      </c>
      <c r="H232" s="100">
        <f>Table3[[#This Row],[Circulation of Children''s Materials]]/Table3[[#This Row],[Total Population Served]]</f>
        <v>2.0672053054362038</v>
      </c>
      <c r="I232" s="100">
        <f>Table3[[#This Row],[Circulation of Electronic Materials]]/Table3[[#This Row],[Total Population Served]]</f>
        <v>0.74490939660003741</v>
      </c>
      <c r="J232" s="100">
        <f t="shared" si="23"/>
        <v>6.6776573883803474</v>
      </c>
      <c r="K232" s="100">
        <f t="shared" si="24"/>
        <v>14.945332915229434</v>
      </c>
      <c r="L232" s="102">
        <v>15872</v>
      </c>
      <c r="M232" s="4">
        <v>31822</v>
      </c>
      <c r="N232" s="4">
        <v>127032</v>
      </c>
      <c r="O232" s="4">
        <v>158854</v>
      </c>
      <c r="P232" s="4">
        <v>73181</v>
      </c>
      <c r="Q232" s="4">
        <v>82803</v>
      </c>
      <c r="R232" s="100">
        <f t="shared" si="25"/>
        <v>3.8671305809826264</v>
      </c>
      <c r="S232" s="77">
        <v>11717</v>
      </c>
      <c r="T232" s="71">
        <f t="shared" si="29"/>
        <v>0.54721651410424066</v>
      </c>
      <c r="U232" s="77">
        <v>30104</v>
      </c>
      <c r="V232" s="4">
        <v>14278</v>
      </c>
      <c r="W232" s="4">
        <v>121801</v>
      </c>
      <c r="X232" s="77">
        <v>57260</v>
      </c>
      <c r="Y232" s="101">
        <f t="shared" si="26"/>
        <v>5.6884457313655892</v>
      </c>
      <c r="Z232" s="101">
        <f t="shared" si="27"/>
        <v>12.731368245008884</v>
      </c>
      <c r="AA232" s="77">
        <v>21184</v>
      </c>
      <c r="AB232" s="2" t="s">
        <v>872</v>
      </c>
      <c r="AC232" s="106">
        <v>9542</v>
      </c>
      <c r="AD232" s="4">
        <v>155984</v>
      </c>
      <c r="AE232" s="4">
        <v>9567</v>
      </c>
      <c r="AF232" s="4">
        <v>21412</v>
      </c>
    </row>
    <row r="233" spans="1:32" ht="13.5" thickBot="1" x14ac:dyDescent="0.25">
      <c r="A233" s="2" t="s">
        <v>76</v>
      </c>
      <c r="B233" s="1" t="s">
        <v>75</v>
      </c>
      <c r="C233" s="2" t="s">
        <v>29</v>
      </c>
      <c r="D233" s="77">
        <v>34955</v>
      </c>
      <c r="E233" s="77">
        <v>69872</v>
      </c>
      <c r="F233" s="77">
        <v>9479</v>
      </c>
      <c r="G233" s="77">
        <v>114306</v>
      </c>
      <c r="H233" s="100">
        <f>Table3[[#This Row],[Circulation of Children''s Materials]]/Table3[[#This Row],[Total Population Served]]</f>
        <v>1.350500328400881</v>
      </c>
      <c r="I233" s="100">
        <f>Table3[[#This Row],[Circulation of Electronic Materials]]/Table3[[#This Row],[Total Population Served]]</f>
        <v>0.36622493528570876</v>
      </c>
      <c r="J233" s="100">
        <f t="shared" si="23"/>
        <v>4.416257775373797</v>
      </c>
      <c r="K233" s="100">
        <f t="shared" si="24"/>
        <v>16.765327075388676</v>
      </c>
      <c r="L233" s="102">
        <v>8611</v>
      </c>
      <c r="M233" s="77">
        <v>18090</v>
      </c>
      <c r="N233" s="77">
        <v>104827</v>
      </c>
      <c r="O233" s="77">
        <v>122917</v>
      </c>
      <c r="P233" s="77">
        <v>67712</v>
      </c>
      <c r="Q233" s="77">
        <v>20494</v>
      </c>
      <c r="R233" s="100">
        <f t="shared" si="25"/>
        <v>0.79179384151759846</v>
      </c>
      <c r="S233" s="77">
        <v>7927</v>
      </c>
      <c r="T233" s="71">
        <f t="shared" si="29"/>
        <v>0.30626279797550515</v>
      </c>
      <c r="U233" s="77">
        <v>17648</v>
      </c>
      <c r="V233" s="77">
        <v>20191</v>
      </c>
      <c r="W233" s="77">
        <v>138183</v>
      </c>
      <c r="X233" s="77">
        <v>46140</v>
      </c>
      <c r="Y233" s="101">
        <f t="shared" si="26"/>
        <v>5.3387551674844493</v>
      </c>
      <c r="Z233" s="101">
        <f t="shared" si="27"/>
        <v>20.267380463479025</v>
      </c>
      <c r="AA233" s="77">
        <v>26382</v>
      </c>
      <c r="AB233" s="2" t="s">
        <v>872</v>
      </c>
      <c r="AC233" s="106">
        <v>7175</v>
      </c>
      <c r="AD233" s="77">
        <v>88206</v>
      </c>
      <c r="AE233" s="77">
        <v>6818</v>
      </c>
      <c r="AF233" s="4">
        <v>25883</v>
      </c>
    </row>
    <row r="234" spans="1:32" ht="13.5" thickBot="1" x14ac:dyDescent="0.25">
      <c r="A234" s="2" t="s">
        <v>96</v>
      </c>
      <c r="B234" s="1" t="s">
        <v>95</v>
      </c>
      <c r="C234" s="2" t="s">
        <v>29</v>
      </c>
      <c r="D234" s="4">
        <v>30162</v>
      </c>
      <c r="E234" s="4">
        <v>22303</v>
      </c>
      <c r="F234" s="4">
        <v>1274</v>
      </c>
      <c r="G234" s="4">
        <v>53739</v>
      </c>
      <c r="H234" s="100">
        <f>Table3[[#This Row],[Circulation of Children''s Materials]]/Table3[[#This Row],[Total Population Served]]</f>
        <v>1.2168475410497439</v>
      </c>
      <c r="I234" s="100">
        <f>Table3[[#This Row],[Circulation of Electronic Materials]]/Table3[[#This Row],[Total Population Served]]</f>
        <v>5.1397910194860209E-2</v>
      </c>
      <c r="J234" s="100">
        <f t="shared" si="23"/>
        <v>2.1680316294831967</v>
      </c>
      <c r="K234" s="100">
        <f t="shared" si="24"/>
        <v>7.2935667752443001</v>
      </c>
      <c r="L234" s="103" t="s">
        <v>2632</v>
      </c>
      <c r="M234" s="4">
        <v>1274</v>
      </c>
      <c r="N234" s="4">
        <v>52465</v>
      </c>
      <c r="O234" s="4">
        <v>53739</v>
      </c>
      <c r="P234" s="4">
        <v>117737</v>
      </c>
      <c r="Q234" s="4">
        <v>18665</v>
      </c>
      <c r="R234" s="100">
        <f t="shared" si="25"/>
        <v>0.75301569371041277</v>
      </c>
      <c r="S234" s="4">
        <v>45883</v>
      </c>
      <c r="T234" s="71">
        <f t="shared" si="29"/>
        <v>1.8510912978577481</v>
      </c>
      <c r="U234" s="4">
        <v>0</v>
      </c>
      <c r="V234" s="4">
        <v>25</v>
      </c>
      <c r="W234" s="4">
        <v>71914</v>
      </c>
      <c r="X234" s="78" t="s">
        <v>16</v>
      </c>
      <c r="Y234" s="101">
        <f t="shared" si="26"/>
        <v>2.9012788961955862</v>
      </c>
      <c r="Z234" s="101">
        <f t="shared" si="27"/>
        <v>9.7603148751357214</v>
      </c>
      <c r="AA234" s="4">
        <v>15120</v>
      </c>
      <c r="AB234" s="2" t="s">
        <v>872</v>
      </c>
      <c r="AC234" s="106">
        <v>15811</v>
      </c>
      <c r="AD234" s="4">
        <v>136402</v>
      </c>
      <c r="AE234" s="4">
        <v>7368</v>
      </c>
      <c r="AF234" s="4">
        <v>24787</v>
      </c>
    </row>
    <row r="235" spans="1:32" ht="13.5" thickBot="1" x14ac:dyDescent="0.25">
      <c r="A235" s="2" t="s">
        <v>102</v>
      </c>
      <c r="B235" s="1" t="s">
        <v>101</v>
      </c>
      <c r="C235" s="2" t="s">
        <v>29</v>
      </c>
      <c r="D235" s="77">
        <v>45927</v>
      </c>
      <c r="E235" s="77">
        <v>88192</v>
      </c>
      <c r="F235" s="77">
        <v>15885</v>
      </c>
      <c r="G235" s="77">
        <v>150004</v>
      </c>
      <c r="H235" s="100">
        <f>Table3[[#This Row],[Circulation of Children''s Materials]]/Table3[[#This Row],[Total Population Served]]</f>
        <v>3.067935871743487</v>
      </c>
      <c r="I235" s="100">
        <f>Table3[[#This Row],[Circulation of Electronic Materials]]/Table3[[#This Row],[Total Population Served]]</f>
        <v>1.0611222444889779</v>
      </c>
      <c r="J235" s="100">
        <f t="shared" si="23"/>
        <v>10.020307281229124</v>
      </c>
      <c r="K235" s="100">
        <f t="shared" si="24"/>
        <v>20.281773931855057</v>
      </c>
      <c r="L235" s="102">
        <v>0</v>
      </c>
      <c r="M235" s="77">
        <v>15885</v>
      </c>
      <c r="N235" s="77">
        <v>134119</v>
      </c>
      <c r="O235" s="77">
        <v>150004</v>
      </c>
      <c r="P235" s="77">
        <v>71700</v>
      </c>
      <c r="Q235" s="77">
        <v>55893</v>
      </c>
      <c r="R235" s="100">
        <f t="shared" si="25"/>
        <v>3.7336673346693385</v>
      </c>
      <c r="S235" s="77">
        <v>12839</v>
      </c>
      <c r="T235" s="71">
        <f t="shared" si="29"/>
        <v>0.85764863059452234</v>
      </c>
      <c r="U235" s="77">
        <v>11741</v>
      </c>
      <c r="V235" s="77">
        <v>12751</v>
      </c>
      <c r="W235" s="77">
        <v>116217</v>
      </c>
      <c r="X235" s="78" t="s">
        <v>16</v>
      </c>
      <c r="Y235" s="101">
        <f t="shared" si="26"/>
        <v>7.7633266533066134</v>
      </c>
      <c r="Z235" s="101">
        <f t="shared" si="27"/>
        <v>15.71349378042185</v>
      </c>
      <c r="AA235" s="77">
        <v>16906</v>
      </c>
      <c r="AB235" s="2" t="s">
        <v>872</v>
      </c>
      <c r="AC235" s="106">
        <v>21000</v>
      </c>
      <c r="AD235" s="77">
        <v>127593</v>
      </c>
      <c r="AE235" s="77">
        <v>7396</v>
      </c>
      <c r="AF235" s="4">
        <v>14970</v>
      </c>
    </row>
    <row r="236" spans="1:32" ht="13.5" thickBot="1" x14ac:dyDescent="0.25">
      <c r="A236" s="2" t="s">
        <v>110</v>
      </c>
      <c r="B236" s="1" t="s">
        <v>109</v>
      </c>
      <c r="C236" s="2" t="s">
        <v>29</v>
      </c>
      <c r="D236" s="77">
        <v>19325</v>
      </c>
      <c r="E236" s="77">
        <v>36062</v>
      </c>
      <c r="F236" s="77">
        <v>2008</v>
      </c>
      <c r="G236" s="77">
        <v>57395</v>
      </c>
      <c r="H236" s="100">
        <f>Table3[[#This Row],[Circulation of Children''s Materials]]/Table3[[#This Row],[Total Population Served]]</f>
        <v>0.96504369538077406</v>
      </c>
      <c r="I236" s="100">
        <f>Table3[[#This Row],[Circulation of Electronic Materials]]/Table3[[#This Row],[Total Population Served]]</f>
        <v>0.10027465667915106</v>
      </c>
      <c r="J236" s="100">
        <f t="shared" si="23"/>
        <v>2.8661672908863922</v>
      </c>
      <c r="K236" s="100">
        <f t="shared" si="24"/>
        <v>11.778165401190233</v>
      </c>
      <c r="L236" s="102">
        <v>0</v>
      </c>
      <c r="M236" s="77">
        <v>2008</v>
      </c>
      <c r="N236" s="77">
        <v>55387</v>
      </c>
      <c r="O236" s="77">
        <v>57395</v>
      </c>
      <c r="P236" s="77">
        <v>54746</v>
      </c>
      <c r="Q236" s="77">
        <v>1779</v>
      </c>
      <c r="R236" s="100">
        <f t="shared" si="25"/>
        <v>8.8838951310861419E-2</v>
      </c>
      <c r="S236" s="77">
        <v>6041</v>
      </c>
      <c r="T236" s="71">
        <f t="shared" si="29"/>
        <v>0.30167290886392012</v>
      </c>
      <c r="U236" s="77">
        <v>3440</v>
      </c>
      <c r="V236" s="77">
        <v>4067</v>
      </c>
      <c r="W236" s="77">
        <v>37329</v>
      </c>
      <c r="X236" s="77">
        <v>11450</v>
      </c>
      <c r="Y236" s="101">
        <f t="shared" si="26"/>
        <v>1.864119850187266</v>
      </c>
      <c r="Z236" s="101">
        <f t="shared" si="27"/>
        <v>7.660373486558588</v>
      </c>
      <c r="AA236" s="77">
        <v>8616</v>
      </c>
      <c r="AB236" s="2" t="s">
        <v>872</v>
      </c>
      <c r="AC236" s="106">
        <v>5492</v>
      </c>
      <c r="AD236" s="77">
        <v>56525</v>
      </c>
      <c r="AE236" s="77">
        <v>4873</v>
      </c>
      <c r="AF236" s="4">
        <v>20025</v>
      </c>
    </row>
    <row r="237" spans="1:32" ht="13.5" thickBot="1" x14ac:dyDescent="0.25">
      <c r="A237" s="2" t="s">
        <v>122</v>
      </c>
      <c r="B237" s="1" t="s">
        <v>121</v>
      </c>
      <c r="C237" s="2" t="s">
        <v>29</v>
      </c>
      <c r="D237" s="4">
        <v>37858</v>
      </c>
      <c r="E237" s="4">
        <v>45205</v>
      </c>
      <c r="F237" s="4">
        <v>12848</v>
      </c>
      <c r="G237" s="4">
        <v>95911</v>
      </c>
      <c r="H237" s="100">
        <f>Table3[[#This Row],[Circulation of Children''s Materials]]/Table3[[#This Row],[Total Population Served]]</f>
        <v>2.4947611202635915</v>
      </c>
      <c r="I237" s="100">
        <f>Table3[[#This Row],[Circulation of Electronic Materials]]/Table3[[#This Row],[Total Population Served]]</f>
        <v>0.8466556836902801</v>
      </c>
      <c r="J237" s="100">
        <f t="shared" si="23"/>
        <v>6.3203294892915984</v>
      </c>
      <c r="K237" s="100">
        <f t="shared" si="24"/>
        <v>16.258857433463298</v>
      </c>
      <c r="L237" s="102">
        <v>10699</v>
      </c>
      <c r="M237" s="4">
        <v>23547</v>
      </c>
      <c r="N237" s="4">
        <v>83063</v>
      </c>
      <c r="O237" s="4">
        <v>106610</v>
      </c>
      <c r="P237" s="4">
        <v>60970</v>
      </c>
      <c r="Q237" s="4">
        <v>53581</v>
      </c>
      <c r="R237" s="100">
        <f t="shared" si="25"/>
        <v>3.5308731466227345</v>
      </c>
      <c r="S237" s="4">
        <v>17373</v>
      </c>
      <c r="T237" s="71">
        <f t="shared" si="29"/>
        <v>1.144843492586491</v>
      </c>
      <c r="U237" s="4">
        <v>6240</v>
      </c>
      <c r="V237" s="4">
        <v>6979</v>
      </c>
      <c r="W237" s="4">
        <v>0</v>
      </c>
      <c r="X237" s="77">
        <v>72552</v>
      </c>
      <c r="Y237" s="101">
        <f t="shared" si="26"/>
        <v>0</v>
      </c>
      <c r="Z237" s="101">
        <f t="shared" si="27"/>
        <v>0</v>
      </c>
      <c r="AA237" s="4">
        <v>9079</v>
      </c>
      <c r="AB237" s="2" t="s">
        <v>872</v>
      </c>
      <c r="AC237" s="106">
        <v>6570</v>
      </c>
      <c r="AD237" s="4">
        <v>114551</v>
      </c>
      <c r="AE237" s="4">
        <v>5899</v>
      </c>
      <c r="AF237" s="4">
        <v>15175</v>
      </c>
    </row>
    <row r="238" spans="1:32" ht="13.5" thickBot="1" x14ac:dyDescent="0.25">
      <c r="A238" s="2" t="s">
        <v>124</v>
      </c>
      <c r="B238" s="1" t="s">
        <v>123</v>
      </c>
      <c r="C238" s="2" t="s">
        <v>29</v>
      </c>
      <c r="D238" s="4">
        <v>6455</v>
      </c>
      <c r="E238" s="4">
        <v>17488</v>
      </c>
      <c r="F238" s="4">
        <v>1103</v>
      </c>
      <c r="G238" s="4">
        <v>25046</v>
      </c>
      <c r="H238" s="100">
        <f>Table3[[#This Row],[Circulation of Children''s Materials]]/Table3[[#This Row],[Total Population Served]]</f>
        <v>0.50959185284597774</v>
      </c>
      <c r="I238" s="100">
        <f>Table3[[#This Row],[Circulation of Electronic Materials]]/Table3[[#This Row],[Total Population Served]]</f>
        <v>8.7076655877476913E-2</v>
      </c>
      <c r="J238" s="100">
        <f t="shared" si="23"/>
        <v>1.9772637562169417</v>
      </c>
      <c r="K238" s="100">
        <f t="shared" si="24"/>
        <v>4.1542544368883725</v>
      </c>
      <c r="L238" s="102">
        <v>347</v>
      </c>
      <c r="M238" s="4">
        <v>1450</v>
      </c>
      <c r="N238" s="4">
        <v>23943</v>
      </c>
      <c r="O238" s="4">
        <v>25393</v>
      </c>
      <c r="P238" s="4">
        <v>38593</v>
      </c>
      <c r="Q238" s="4">
        <v>10420</v>
      </c>
      <c r="R238" s="100">
        <f t="shared" si="25"/>
        <v>0.82260993131759685</v>
      </c>
      <c r="S238" s="4">
        <v>2685</v>
      </c>
      <c r="T238" s="71">
        <f t="shared" si="29"/>
        <v>0.21196810610247099</v>
      </c>
      <c r="U238" s="4">
        <v>3925</v>
      </c>
      <c r="V238" s="4">
        <v>1891</v>
      </c>
      <c r="W238" s="4">
        <v>58543</v>
      </c>
      <c r="X238" s="77">
        <v>5975</v>
      </c>
      <c r="Y238" s="101">
        <f t="shared" si="26"/>
        <v>4.6216941659430013</v>
      </c>
      <c r="Z238" s="101">
        <f t="shared" si="27"/>
        <v>9.7102338696301214</v>
      </c>
      <c r="AA238" s="4">
        <v>16348</v>
      </c>
      <c r="AB238" s="2" t="s">
        <v>872</v>
      </c>
      <c r="AC238" s="106">
        <v>5200</v>
      </c>
      <c r="AD238" s="4">
        <v>49013</v>
      </c>
      <c r="AE238" s="4">
        <v>6029</v>
      </c>
      <c r="AF238" s="4">
        <v>12667</v>
      </c>
    </row>
    <row r="239" spans="1:32" ht="13.5" thickBot="1" x14ac:dyDescent="0.25">
      <c r="A239" s="2" t="s">
        <v>128</v>
      </c>
      <c r="B239" s="1" t="s">
        <v>127</v>
      </c>
      <c r="C239" s="2" t="s">
        <v>29</v>
      </c>
      <c r="D239" s="77">
        <v>38098</v>
      </c>
      <c r="E239" s="77">
        <v>38934</v>
      </c>
      <c r="F239" s="77">
        <v>7699</v>
      </c>
      <c r="G239" s="77">
        <v>84731</v>
      </c>
      <c r="H239" s="100">
        <f>Table3[[#This Row],[Circulation of Children''s Materials]]/Table3[[#This Row],[Total Population Served]]</f>
        <v>1.7552637641096522</v>
      </c>
      <c r="I239" s="100">
        <f>Table3[[#This Row],[Circulation of Electronic Materials]]/Table3[[#This Row],[Total Population Served]]</f>
        <v>0.35471089610688783</v>
      </c>
      <c r="J239" s="100">
        <f t="shared" si="23"/>
        <v>3.9037548951854411</v>
      </c>
      <c r="K239" s="100">
        <f t="shared" si="24"/>
        <v>11.518624252311039</v>
      </c>
      <c r="L239" s="102">
        <v>133</v>
      </c>
      <c r="M239" s="77">
        <v>7832</v>
      </c>
      <c r="N239" s="77">
        <v>77032</v>
      </c>
      <c r="O239" s="77">
        <v>84864</v>
      </c>
      <c r="P239" s="77">
        <v>42101</v>
      </c>
      <c r="Q239" s="77">
        <v>11587</v>
      </c>
      <c r="R239" s="100">
        <f t="shared" si="25"/>
        <v>0.53384012900253397</v>
      </c>
      <c r="S239" s="77">
        <v>6381</v>
      </c>
      <c r="T239" s="71">
        <f t="shared" si="29"/>
        <v>0.29398756046993779</v>
      </c>
      <c r="U239" s="77">
        <v>3082</v>
      </c>
      <c r="V239" s="77">
        <v>3735</v>
      </c>
      <c r="W239" s="77">
        <v>91109</v>
      </c>
      <c r="X239" s="77">
        <v>20489</v>
      </c>
      <c r="Y239" s="101">
        <f t="shared" si="26"/>
        <v>4.1976042386546881</v>
      </c>
      <c r="Z239" s="101">
        <f t="shared" si="27"/>
        <v>12.385671560630778</v>
      </c>
      <c r="AA239" s="77">
        <v>6080</v>
      </c>
      <c r="AB239" s="2" t="s">
        <v>872</v>
      </c>
      <c r="AC239" s="106">
        <v>5938</v>
      </c>
      <c r="AD239" s="77">
        <v>53688</v>
      </c>
      <c r="AE239" s="77">
        <v>7356</v>
      </c>
      <c r="AF239" s="4">
        <v>21705</v>
      </c>
    </row>
    <row r="240" spans="1:32" ht="13.5" thickBot="1" x14ac:dyDescent="0.25">
      <c r="A240" s="2" t="s">
        <v>166</v>
      </c>
      <c r="B240" s="1" t="s">
        <v>165</v>
      </c>
      <c r="C240" s="2" t="s">
        <v>29</v>
      </c>
      <c r="D240" s="77">
        <v>80831</v>
      </c>
      <c r="E240" s="77">
        <v>80325</v>
      </c>
      <c r="F240" s="77">
        <v>9793</v>
      </c>
      <c r="G240" s="77">
        <v>170949</v>
      </c>
      <c r="H240" s="100">
        <f>Table3[[#This Row],[Circulation of Children''s Materials]]/Table3[[#This Row],[Total Population Served]]</f>
        <v>5.3644146535704804</v>
      </c>
      <c r="I240" s="100">
        <f>Table3[[#This Row],[Circulation of Electronic Materials]]/Table3[[#This Row],[Total Population Served]]</f>
        <v>0.6499203610299974</v>
      </c>
      <c r="J240" s="100">
        <f t="shared" si="23"/>
        <v>11.345168569153172</v>
      </c>
      <c r="K240" s="100">
        <f t="shared" si="24"/>
        <v>18.901923927465724</v>
      </c>
      <c r="L240" s="103" t="s">
        <v>2632</v>
      </c>
      <c r="M240" s="77">
        <v>9793</v>
      </c>
      <c r="N240" s="77">
        <v>161156</v>
      </c>
      <c r="O240" s="77">
        <v>170949</v>
      </c>
      <c r="P240" s="77">
        <v>54679</v>
      </c>
      <c r="Q240" s="77">
        <v>17497</v>
      </c>
      <c r="R240" s="100">
        <f t="shared" si="25"/>
        <v>1.1612025484470401</v>
      </c>
      <c r="S240" s="77">
        <v>4156</v>
      </c>
      <c r="T240" s="71">
        <f t="shared" si="29"/>
        <v>0.27581629944252722</v>
      </c>
      <c r="U240" s="77">
        <v>3380</v>
      </c>
      <c r="V240" s="77">
        <v>5311</v>
      </c>
      <c r="W240" s="77">
        <v>77841</v>
      </c>
      <c r="X240" s="78" t="s">
        <v>16</v>
      </c>
      <c r="Y240" s="101">
        <f t="shared" si="26"/>
        <v>5.1659808866471995</v>
      </c>
      <c r="Z240" s="101">
        <f t="shared" si="27"/>
        <v>8.6069217160548437</v>
      </c>
      <c r="AA240" s="77">
        <v>16143</v>
      </c>
      <c r="AB240" s="2" t="s">
        <v>872</v>
      </c>
      <c r="AC240" s="106">
        <v>10000</v>
      </c>
      <c r="AD240" s="77">
        <v>72176</v>
      </c>
      <c r="AE240" s="77">
        <v>9044</v>
      </c>
      <c r="AF240" s="4">
        <v>15068</v>
      </c>
    </row>
    <row r="241" spans="1:32" ht="13.5" thickBot="1" x14ac:dyDescent="0.25">
      <c r="A241" s="2" t="s">
        <v>170</v>
      </c>
      <c r="B241" s="1" t="s">
        <v>169</v>
      </c>
      <c r="C241" s="2" t="s">
        <v>29</v>
      </c>
      <c r="D241" s="4">
        <v>14219</v>
      </c>
      <c r="E241" s="4">
        <v>140833</v>
      </c>
      <c r="F241" s="4">
        <v>24979</v>
      </c>
      <c r="G241" s="4">
        <v>180031</v>
      </c>
      <c r="H241" s="100">
        <f>Table3[[#This Row],[Circulation of Children''s Materials]]/Table3[[#This Row],[Total Population Served]]</f>
        <v>0.61402599645895406</v>
      </c>
      <c r="I241" s="100">
        <f>Table3[[#This Row],[Circulation of Electronic Materials]]/Table3[[#This Row],[Total Population Served]]</f>
        <v>1.0786803126484432</v>
      </c>
      <c r="J241" s="100">
        <f t="shared" si="23"/>
        <v>7.7743662823336352</v>
      </c>
      <c r="K241" s="100">
        <f t="shared" si="24"/>
        <v>19.530375352571056</v>
      </c>
      <c r="L241" s="102">
        <v>0</v>
      </c>
      <c r="M241" s="4">
        <v>24979</v>
      </c>
      <c r="N241" s="4">
        <v>155052</v>
      </c>
      <c r="O241" s="4">
        <v>180031</v>
      </c>
      <c r="P241" s="4">
        <v>53754</v>
      </c>
      <c r="Q241" s="4">
        <v>24758</v>
      </c>
      <c r="R241" s="100">
        <f t="shared" si="25"/>
        <v>1.0691367621021721</v>
      </c>
      <c r="S241" s="4">
        <v>24000</v>
      </c>
      <c r="T241" s="71">
        <f t="shared" si="29"/>
        <v>1.0364036792330613</v>
      </c>
      <c r="U241" s="4">
        <v>2710</v>
      </c>
      <c r="V241" s="4">
        <v>4264</v>
      </c>
      <c r="W241" s="4">
        <v>82928</v>
      </c>
      <c r="X241" s="77">
        <v>39000</v>
      </c>
      <c r="Y241" s="101">
        <f t="shared" si="26"/>
        <v>3.5811201796433045</v>
      </c>
      <c r="Z241" s="101">
        <f t="shared" si="27"/>
        <v>8.9963115643306573</v>
      </c>
      <c r="AA241" s="4">
        <v>11000</v>
      </c>
      <c r="AB241" s="2" t="s">
        <v>872</v>
      </c>
      <c r="AC241" s="106">
        <v>11000</v>
      </c>
      <c r="AD241" s="4">
        <v>78512</v>
      </c>
      <c r="AE241" s="4">
        <v>9218</v>
      </c>
      <c r="AF241" s="4">
        <v>23157</v>
      </c>
    </row>
    <row r="242" spans="1:32" ht="13.5" thickBot="1" x14ac:dyDescent="0.25">
      <c r="A242" s="2" t="s">
        <v>174</v>
      </c>
      <c r="B242" s="1" t="s">
        <v>173</v>
      </c>
      <c r="C242" s="2" t="s">
        <v>29</v>
      </c>
      <c r="D242" s="77">
        <v>40234</v>
      </c>
      <c r="E242" s="77">
        <v>95210</v>
      </c>
      <c r="F242" s="77">
        <v>6957</v>
      </c>
      <c r="G242" s="77">
        <v>142401</v>
      </c>
      <c r="H242" s="100">
        <f>Table3[[#This Row],[Circulation of Children''s Materials]]/Table3[[#This Row],[Total Population Served]]</f>
        <v>2.8957823520944292</v>
      </c>
      <c r="I242" s="100">
        <f>Table3[[#This Row],[Circulation of Electronic Materials]]/Table3[[#This Row],[Total Population Served]]</f>
        <v>0.50071973513746937</v>
      </c>
      <c r="J242" s="100">
        <f t="shared" si="23"/>
        <v>10.249100331078163</v>
      </c>
      <c r="K242" s="100">
        <f t="shared" si="24"/>
        <v>31.686915887850468</v>
      </c>
      <c r="L242" s="103" t="s">
        <v>2632</v>
      </c>
      <c r="M242" s="77">
        <v>6957</v>
      </c>
      <c r="N242" s="77">
        <v>135444</v>
      </c>
      <c r="O242" s="77">
        <v>142401</v>
      </c>
      <c r="P242" s="77">
        <v>64927</v>
      </c>
      <c r="Q242" s="77">
        <v>17309</v>
      </c>
      <c r="R242" s="100">
        <f t="shared" si="25"/>
        <v>1.245789549445804</v>
      </c>
      <c r="S242" s="105" t="s">
        <v>2632</v>
      </c>
      <c r="T242" s="110">
        <v>0</v>
      </c>
      <c r="U242" s="77">
        <v>6321</v>
      </c>
      <c r="V242" s="77">
        <v>7697</v>
      </c>
      <c r="W242" s="77">
        <v>95293</v>
      </c>
      <c r="X242" s="77">
        <v>30652</v>
      </c>
      <c r="Y242" s="101">
        <f t="shared" si="26"/>
        <v>6.8585720454872607</v>
      </c>
      <c r="Z242" s="101">
        <f t="shared" si="27"/>
        <v>21.204494882064974</v>
      </c>
      <c r="AA242" s="77">
        <v>8362</v>
      </c>
      <c r="AB242" s="2" t="s">
        <v>872</v>
      </c>
      <c r="AC242" s="107" t="s">
        <v>2632</v>
      </c>
      <c r="AD242" s="77">
        <v>82236</v>
      </c>
      <c r="AE242" s="77">
        <v>4494</v>
      </c>
      <c r="AF242" s="4">
        <v>13894</v>
      </c>
    </row>
    <row r="243" spans="1:32" ht="13.5" thickBot="1" x14ac:dyDescent="0.25">
      <c r="A243" s="2" t="s">
        <v>176</v>
      </c>
      <c r="B243" s="1" t="s">
        <v>175</v>
      </c>
      <c r="C243" s="2" t="s">
        <v>29</v>
      </c>
      <c r="D243" s="77">
        <v>121392</v>
      </c>
      <c r="E243" s="77">
        <v>154498</v>
      </c>
      <c r="F243" s="77">
        <v>22222</v>
      </c>
      <c r="G243" s="77">
        <v>298112</v>
      </c>
      <c r="H243" s="100">
        <f>Table3[[#This Row],[Circulation of Children''s Materials]]/Table3[[#This Row],[Total Population Served]]</f>
        <v>8.0874083944037309</v>
      </c>
      <c r="I243" s="100">
        <f>Table3[[#This Row],[Circulation of Electronic Materials]]/Table3[[#This Row],[Total Population Served]]</f>
        <v>1.4804796802131912</v>
      </c>
      <c r="J243" s="100">
        <f t="shared" si="23"/>
        <v>19.860892738174549</v>
      </c>
      <c r="K243" s="100">
        <f t="shared" si="24"/>
        <v>35.409431048818149</v>
      </c>
      <c r="L243" s="102">
        <v>2468</v>
      </c>
      <c r="M243" s="77">
        <v>24690</v>
      </c>
      <c r="N243" s="77">
        <v>275890</v>
      </c>
      <c r="O243" s="77">
        <v>300580</v>
      </c>
      <c r="P243" s="77">
        <v>65389</v>
      </c>
      <c r="Q243" s="77">
        <v>52880</v>
      </c>
      <c r="R243" s="100">
        <f t="shared" si="25"/>
        <v>3.5229846768820785</v>
      </c>
      <c r="S243" s="77">
        <v>25384</v>
      </c>
      <c r="T243" s="71">
        <f t="shared" ref="T243:T274" si="30">S243/AF243</f>
        <v>1.691139240506329</v>
      </c>
      <c r="U243" s="77">
        <v>22441</v>
      </c>
      <c r="V243" s="77">
        <v>55230</v>
      </c>
      <c r="W243" s="77">
        <v>203684</v>
      </c>
      <c r="X243" s="77">
        <v>68949</v>
      </c>
      <c r="Y243" s="101">
        <f t="shared" si="26"/>
        <v>13.569886742171885</v>
      </c>
      <c r="Z243" s="101">
        <f t="shared" si="27"/>
        <v>24.193372134457775</v>
      </c>
      <c r="AA243" s="77">
        <v>15493</v>
      </c>
      <c r="AB243" s="2" t="s">
        <v>872</v>
      </c>
      <c r="AC243" s="106">
        <v>71539</v>
      </c>
      <c r="AD243" s="77">
        <v>118269</v>
      </c>
      <c r="AE243" s="77">
        <v>8419</v>
      </c>
      <c r="AF243" s="4">
        <v>15010</v>
      </c>
    </row>
    <row r="244" spans="1:32" ht="13.5" thickBot="1" x14ac:dyDescent="0.25">
      <c r="A244" s="2" t="s">
        <v>190</v>
      </c>
      <c r="B244" s="1" t="s">
        <v>189</v>
      </c>
      <c r="C244" s="2" t="s">
        <v>29</v>
      </c>
      <c r="D244" s="4">
        <v>20953</v>
      </c>
      <c r="E244" s="4">
        <v>60132</v>
      </c>
      <c r="F244" s="4">
        <v>5138</v>
      </c>
      <c r="G244" s="4">
        <v>86223</v>
      </c>
      <c r="H244" s="100">
        <f>Table3[[#This Row],[Circulation of Children''s Materials]]/Table3[[#This Row],[Total Population Served]]</f>
        <v>1.6140040055461409</v>
      </c>
      <c r="I244" s="100">
        <f>Table3[[#This Row],[Circulation of Electronic Materials]]/Table3[[#This Row],[Total Population Served]]</f>
        <v>0.39577877060545369</v>
      </c>
      <c r="J244" s="100">
        <f t="shared" si="23"/>
        <v>6.6417347095979045</v>
      </c>
      <c r="K244" s="100">
        <f t="shared" si="24"/>
        <v>6.819281872825055</v>
      </c>
      <c r="L244" s="102">
        <v>5537</v>
      </c>
      <c r="M244" s="4">
        <v>10675</v>
      </c>
      <c r="N244" s="4">
        <v>81085</v>
      </c>
      <c r="O244" s="4">
        <v>91760</v>
      </c>
      <c r="P244" s="4">
        <v>66032</v>
      </c>
      <c r="Q244" s="4">
        <v>17594</v>
      </c>
      <c r="R244" s="100">
        <f t="shared" si="25"/>
        <v>1.3552611307964875</v>
      </c>
      <c r="S244" s="4">
        <v>3338</v>
      </c>
      <c r="T244" s="71">
        <f t="shared" si="30"/>
        <v>0.2571252503466338</v>
      </c>
      <c r="U244" s="4">
        <v>1259</v>
      </c>
      <c r="V244" s="4">
        <v>2079</v>
      </c>
      <c r="W244" s="4">
        <v>49985</v>
      </c>
      <c r="X244" s="77">
        <v>9554</v>
      </c>
      <c r="Y244" s="101">
        <f t="shared" si="26"/>
        <v>3.8503312278539514</v>
      </c>
      <c r="Z244" s="101">
        <f t="shared" si="27"/>
        <v>3.9532584625118634</v>
      </c>
      <c r="AA244" s="4">
        <v>14727</v>
      </c>
      <c r="AB244" s="2" t="s">
        <v>872</v>
      </c>
      <c r="AC244" s="106">
        <v>10330</v>
      </c>
      <c r="AD244" s="4">
        <v>83626</v>
      </c>
      <c r="AE244" s="4">
        <v>12644</v>
      </c>
      <c r="AF244" s="4">
        <v>12982</v>
      </c>
    </row>
    <row r="245" spans="1:32" ht="13.5" thickBot="1" x14ac:dyDescent="0.25">
      <c r="A245" s="2" t="s">
        <v>200</v>
      </c>
      <c r="B245" s="1" t="s">
        <v>199</v>
      </c>
      <c r="C245" s="2" t="s">
        <v>29</v>
      </c>
      <c r="D245" s="77">
        <v>54593</v>
      </c>
      <c r="E245" s="77">
        <v>52275</v>
      </c>
      <c r="F245" s="77">
        <v>4877</v>
      </c>
      <c r="G245" s="77">
        <v>111745</v>
      </c>
      <c r="H245" s="100">
        <f>Table3[[#This Row],[Circulation of Children''s Materials]]/Table3[[#This Row],[Total Population Served]]</f>
        <v>3.675306314797361</v>
      </c>
      <c r="I245" s="100">
        <f>Table3[[#This Row],[Circulation of Electronic Materials]]/Table3[[#This Row],[Total Population Served]]</f>
        <v>0.32832906961087921</v>
      </c>
      <c r="J245" s="100">
        <f t="shared" si="23"/>
        <v>7.5228894573852161</v>
      </c>
      <c r="K245" s="100">
        <f t="shared" si="24"/>
        <v>48.083046471600689</v>
      </c>
      <c r="L245" s="102">
        <v>767</v>
      </c>
      <c r="M245" s="77">
        <v>5644</v>
      </c>
      <c r="N245" s="77">
        <v>106868</v>
      </c>
      <c r="O245" s="77">
        <v>112512</v>
      </c>
      <c r="P245" s="77">
        <v>100698</v>
      </c>
      <c r="Q245" s="77">
        <v>1431</v>
      </c>
      <c r="R245" s="100">
        <f t="shared" si="25"/>
        <v>9.6337686818365423E-2</v>
      </c>
      <c r="S245" s="77">
        <v>14735</v>
      </c>
      <c r="T245" s="71">
        <f t="shared" si="30"/>
        <v>0.99198868991517442</v>
      </c>
      <c r="U245" s="77">
        <v>326</v>
      </c>
      <c r="V245" s="77">
        <v>625</v>
      </c>
      <c r="W245" s="77">
        <v>54983</v>
      </c>
      <c r="X245" s="77">
        <v>86544</v>
      </c>
      <c r="Y245" s="101">
        <f t="shared" si="26"/>
        <v>3.7015618688568734</v>
      </c>
      <c r="Z245" s="101">
        <f t="shared" si="27"/>
        <v>23.658777969018931</v>
      </c>
      <c r="AA245" s="77">
        <v>9372</v>
      </c>
      <c r="AB245" s="2" t="s">
        <v>872</v>
      </c>
      <c r="AC245" s="106">
        <v>2399</v>
      </c>
      <c r="AD245" s="77">
        <v>102129</v>
      </c>
      <c r="AE245" s="77">
        <v>2324</v>
      </c>
      <c r="AF245" s="4">
        <v>14854</v>
      </c>
    </row>
    <row r="246" spans="1:32" ht="13.5" thickBot="1" x14ac:dyDescent="0.25">
      <c r="A246" s="2" t="s">
        <v>206</v>
      </c>
      <c r="B246" s="1" t="s">
        <v>205</v>
      </c>
      <c r="C246" s="2" t="s">
        <v>29</v>
      </c>
      <c r="D246" s="4">
        <v>9195</v>
      </c>
      <c r="E246" s="4">
        <v>38367</v>
      </c>
      <c r="F246" s="4">
        <v>3540</v>
      </c>
      <c r="G246" s="4">
        <v>51102</v>
      </c>
      <c r="H246" s="100">
        <f>Table3[[#This Row],[Circulation of Children''s Materials]]/Table3[[#This Row],[Total Population Served]]</f>
        <v>0.65333238595992615</v>
      </c>
      <c r="I246" s="100">
        <f>Table3[[#This Row],[Circulation of Electronic Materials]]/Table3[[#This Row],[Total Population Served]]</f>
        <v>0.25152763961915586</v>
      </c>
      <c r="J246" s="100">
        <f t="shared" si="23"/>
        <v>3.6309506892141536</v>
      </c>
      <c r="K246" s="100">
        <f t="shared" si="24"/>
        <v>7.4254577157802961</v>
      </c>
      <c r="L246" s="102">
        <v>9176</v>
      </c>
      <c r="M246" s="4">
        <v>12716</v>
      </c>
      <c r="N246" s="4">
        <v>47562</v>
      </c>
      <c r="O246" s="4">
        <v>60278</v>
      </c>
      <c r="P246" s="4">
        <v>57214</v>
      </c>
      <c r="Q246" s="4">
        <v>12758</v>
      </c>
      <c r="R246" s="100">
        <f t="shared" si="25"/>
        <v>0.90649424470655104</v>
      </c>
      <c r="S246" s="4">
        <v>2829</v>
      </c>
      <c r="T246" s="71">
        <f t="shared" si="30"/>
        <v>0.20100895267869831</v>
      </c>
      <c r="U246" s="4">
        <v>3891</v>
      </c>
      <c r="V246" s="4">
        <v>4434</v>
      </c>
      <c r="W246" s="4">
        <v>66196</v>
      </c>
      <c r="X246" s="77">
        <v>23433</v>
      </c>
      <c r="Y246" s="101">
        <f t="shared" si="26"/>
        <v>4.7034247548671306</v>
      </c>
      <c r="Z246" s="101">
        <f t="shared" si="27"/>
        <v>9.6187154896832308</v>
      </c>
      <c r="AA246" s="4">
        <v>16665</v>
      </c>
      <c r="AB246" s="2" t="s">
        <v>872</v>
      </c>
      <c r="AC246" s="106">
        <v>15230</v>
      </c>
      <c r="AD246" s="4">
        <v>69972</v>
      </c>
      <c r="AE246" s="4">
        <v>6882</v>
      </c>
      <c r="AF246" s="4">
        <v>14074</v>
      </c>
    </row>
    <row r="247" spans="1:32" ht="13.5" thickBot="1" x14ac:dyDescent="0.25">
      <c r="A247" s="2" t="s">
        <v>235</v>
      </c>
      <c r="B247" s="1" t="s">
        <v>234</v>
      </c>
      <c r="C247" s="2" t="s">
        <v>29</v>
      </c>
      <c r="D247" s="4">
        <v>65752</v>
      </c>
      <c r="E247" s="4">
        <v>68461</v>
      </c>
      <c r="F247" s="4">
        <v>17485</v>
      </c>
      <c r="G247" s="4">
        <v>151698</v>
      </c>
      <c r="H247" s="100">
        <f>Table3[[#This Row],[Circulation of Children''s Materials]]/Table3[[#This Row],[Total Population Served]]</f>
        <v>3.2008567812287021</v>
      </c>
      <c r="I247" s="100">
        <f>Table3[[#This Row],[Circulation of Electronic Materials]]/Table3[[#This Row],[Total Population Served]]</f>
        <v>0.85118294226462854</v>
      </c>
      <c r="J247" s="100">
        <f t="shared" si="23"/>
        <v>7.384772660889884</v>
      </c>
      <c r="K247" s="100">
        <f t="shared" si="24"/>
        <v>13.601542185958936</v>
      </c>
      <c r="L247" s="102">
        <v>346</v>
      </c>
      <c r="M247" s="4">
        <v>17831</v>
      </c>
      <c r="N247" s="4">
        <v>134213</v>
      </c>
      <c r="O247" s="4">
        <v>152044</v>
      </c>
      <c r="P247" s="4">
        <v>36981</v>
      </c>
      <c r="Q247" s="4">
        <v>16044</v>
      </c>
      <c r="R247" s="100">
        <f t="shared" si="25"/>
        <v>0.78103397916463835</v>
      </c>
      <c r="S247" s="77">
        <v>8888</v>
      </c>
      <c r="T247" s="71">
        <f t="shared" si="30"/>
        <v>0.43267452049459643</v>
      </c>
      <c r="U247" s="77">
        <v>3669</v>
      </c>
      <c r="V247" s="4">
        <v>5823</v>
      </c>
      <c r="W247" s="4">
        <v>61320</v>
      </c>
      <c r="X247" s="77">
        <v>45531</v>
      </c>
      <c r="Y247" s="101">
        <f t="shared" si="26"/>
        <v>2.9851036900009738</v>
      </c>
      <c r="Z247" s="101">
        <f t="shared" si="27"/>
        <v>5.4980722675513318</v>
      </c>
      <c r="AA247" s="77">
        <v>6822</v>
      </c>
      <c r="AB247" s="2" t="s">
        <v>872</v>
      </c>
      <c r="AC247" s="106">
        <v>6381</v>
      </c>
      <c r="AD247" s="4">
        <v>53025</v>
      </c>
      <c r="AE247" s="4">
        <v>11153</v>
      </c>
      <c r="AF247" s="4">
        <v>20542</v>
      </c>
    </row>
    <row r="248" spans="1:32" ht="13.5" thickBot="1" x14ac:dyDescent="0.25">
      <c r="A248" s="2" t="s">
        <v>237</v>
      </c>
      <c r="B248" s="1" t="s">
        <v>236</v>
      </c>
      <c r="C248" s="2" t="s">
        <v>29</v>
      </c>
      <c r="D248" s="77">
        <v>182167</v>
      </c>
      <c r="E248" s="77">
        <v>98190</v>
      </c>
      <c r="F248" s="77">
        <v>32859</v>
      </c>
      <c r="G248" s="77">
        <v>313216</v>
      </c>
      <c r="H248" s="100">
        <f>Table3[[#This Row],[Circulation of Children''s Materials]]/Table3[[#This Row],[Total Population Served]]</f>
        <v>9.2985044152927365</v>
      </c>
      <c r="I248" s="100">
        <f>Table3[[#This Row],[Circulation of Electronic Materials]]/Table3[[#This Row],[Total Population Served]]</f>
        <v>1.6772497575417284</v>
      </c>
      <c r="J248" s="100">
        <f t="shared" si="23"/>
        <v>15.987749476800571</v>
      </c>
      <c r="K248" s="100">
        <f t="shared" si="24"/>
        <v>26.44288729421697</v>
      </c>
      <c r="L248" s="102">
        <v>18644</v>
      </c>
      <c r="M248" s="77">
        <v>51503</v>
      </c>
      <c r="N248" s="77">
        <v>280357</v>
      </c>
      <c r="O248" s="77">
        <v>331860</v>
      </c>
      <c r="P248" s="77">
        <v>111249</v>
      </c>
      <c r="Q248" s="77">
        <v>72597</v>
      </c>
      <c r="R248" s="100">
        <f t="shared" si="25"/>
        <v>3.7056301362870707</v>
      </c>
      <c r="S248" s="77">
        <v>33578</v>
      </c>
      <c r="T248" s="71">
        <f t="shared" si="30"/>
        <v>1.7139502832933491</v>
      </c>
      <c r="U248" s="77">
        <v>31949</v>
      </c>
      <c r="V248" s="77">
        <v>40421</v>
      </c>
      <c r="W248" s="77">
        <v>174620</v>
      </c>
      <c r="X248" s="77">
        <v>99341</v>
      </c>
      <c r="Y248" s="101">
        <f t="shared" si="26"/>
        <v>8.9132765045173805</v>
      </c>
      <c r="Z248" s="101">
        <f t="shared" si="27"/>
        <v>14.742085268045589</v>
      </c>
      <c r="AA248" s="77">
        <v>32167</v>
      </c>
      <c r="AB248" s="2" t="s">
        <v>872</v>
      </c>
      <c r="AC248" s="106">
        <v>14983</v>
      </c>
      <c r="AD248" s="77">
        <v>183846</v>
      </c>
      <c r="AE248" s="77">
        <v>11845</v>
      </c>
      <c r="AF248" s="4">
        <v>19591</v>
      </c>
    </row>
    <row r="249" spans="1:32" ht="13.5" thickBot="1" x14ac:dyDescent="0.25">
      <c r="A249" s="2" t="s">
        <v>245</v>
      </c>
      <c r="B249" s="1" t="s">
        <v>244</v>
      </c>
      <c r="C249" s="2" t="s">
        <v>29</v>
      </c>
      <c r="D249" s="4">
        <v>9369</v>
      </c>
      <c r="E249" s="4">
        <v>26335</v>
      </c>
      <c r="F249" s="4">
        <v>3415</v>
      </c>
      <c r="G249" s="4">
        <v>39119</v>
      </c>
      <c r="H249" s="100">
        <f>Table3[[#This Row],[Circulation of Children''s Materials]]/Table3[[#This Row],[Total Population Served]]</f>
        <v>0.70411844280775593</v>
      </c>
      <c r="I249" s="100">
        <f>Table3[[#This Row],[Circulation of Electronic Materials]]/Table3[[#This Row],[Total Population Served]]</f>
        <v>0.25665113482639412</v>
      </c>
      <c r="J249" s="100">
        <f t="shared" si="23"/>
        <v>2.9399519013978654</v>
      </c>
      <c r="K249" s="100">
        <f t="shared" si="24"/>
        <v>3.5207452074520744</v>
      </c>
      <c r="L249" s="102">
        <v>0</v>
      </c>
      <c r="M249" s="4">
        <v>3415</v>
      </c>
      <c r="N249" s="4">
        <v>35704</v>
      </c>
      <c r="O249" s="4">
        <v>39119</v>
      </c>
      <c r="P249" s="4">
        <v>30363</v>
      </c>
      <c r="Q249" s="4">
        <v>17497</v>
      </c>
      <c r="R249" s="100">
        <f t="shared" si="25"/>
        <v>1.3149706899143243</v>
      </c>
      <c r="S249" s="4">
        <v>2444</v>
      </c>
      <c r="T249" s="71">
        <f t="shared" si="30"/>
        <v>0.18367653690064634</v>
      </c>
      <c r="U249" s="4">
        <v>2672</v>
      </c>
      <c r="V249" s="4">
        <v>2827</v>
      </c>
      <c r="W249" s="4">
        <v>56653</v>
      </c>
      <c r="X249" s="77">
        <v>17074</v>
      </c>
      <c r="Y249" s="101">
        <f t="shared" si="26"/>
        <v>4.2577032917480837</v>
      </c>
      <c r="Z249" s="101">
        <f t="shared" si="27"/>
        <v>5.0988209882098818</v>
      </c>
      <c r="AA249" s="4">
        <v>18659</v>
      </c>
      <c r="AB249" s="2" t="s">
        <v>872</v>
      </c>
      <c r="AC249" s="106">
        <v>3356</v>
      </c>
      <c r="AD249" s="4">
        <v>47860</v>
      </c>
      <c r="AE249" s="4">
        <v>11111</v>
      </c>
      <c r="AF249" s="4">
        <v>13306</v>
      </c>
    </row>
    <row r="250" spans="1:32" ht="13.5" thickBot="1" x14ac:dyDescent="0.25">
      <c r="A250" s="2" t="s">
        <v>255</v>
      </c>
      <c r="B250" s="1" t="s">
        <v>254</v>
      </c>
      <c r="C250" s="2" t="s">
        <v>29</v>
      </c>
      <c r="D250" s="77">
        <v>8263</v>
      </c>
      <c r="E250" s="77">
        <v>12399</v>
      </c>
      <c r="F250" s="77">
        <v>5594</v>
      </c>
      <c r="G250" s="77">
        <v>26256</v>
      </c>
      <c r="H250" s="100">
        <f>Table3[[#This Row],[Circulation of Children''s Materials]]/Table3[[#This Row],[Total Population Served]]</f>
        <v>0.65217048145224943</v>
      </c>
      <c r="I250" s="100">
        <f>Table3[[#This Row],[Circulation of Electronic Materials]]/Table3[[#This Row],[Total Population Served]]</f>
        <v>0.4415153906866614</v>
      </c>
      <c r="J250" s="100">
        <f t="shared" si="23"/>
        <v>2.0722967640094714</v>
      </c>
      <c r="K250" s="100">
        <f t="shared" si="24"/>
        <v>10.489812225329604</v>
      </c>
      <c r="L250" s="102">
        <v>557</v>
      </c>
      <c r="M250" s="77">
        <v>6151</v>
      </c>
      <c r="N250" s="77">
        <v>20662</v>
      </c>
      <c r="O250" s="77">
        <v>26813</v>
      </c>
      <c r="P250" s="77">
        <v>14197</v>
      </c>
      <c r="Q250" s="77">
        <v>1014908</v>
      </c>
      <c r="R250" s="100">
        <f t="shared" si="25"/>
        <v>80.103235990528802</v>
      </c>
      <c r="S250" s="77">
        <v>7344</v>
      </c>
      <c r="T250" s="71">
        <f t="shared" si="30"/>
        <v>0.5796369376479874</v>
      </c>
      <c r="U250" s="77">
        <v>1492</v>
      </c>
      <c r="V250" s="77">
        <v>2401</v>
      </c>
      <c r="W250" s="77">
        <v>31854</v>
      </c>
      <c r="X250" s="77">
        <v>39869</v>
      </c>
      <c r="Y250" s="101">
        <f t="shared" si="26"/>
        <v>2.5141278610891868</v>
      </c>
      <c r="Z250" s="101">
        <f t="shared" si="27"/>
        <v>12.726328405912904</v>
      </c>
      <c r="AA250" s="77">
        <v>5984</v>
      </c>
      <c r="AB250" s="2" t="s">
        <v>872</v>
      </c>
      <c r="AC250" s="106">
        <v>5204</v>
      </c>
      <c r="AD250" s="77">
        <v>1029105</v>
      </c>
      <c r="AE250" s="77">
        <v>2503</v>
      </c>
      <c r="AF250" s="4">
        <v>12670</v>
      </c>
    </row>
    <row r="251" spans="1:32" ht="13.5" thickBot="1" x14ac:dyDescent="0.25">
      <c r="A251" s="2" t="s">
        <v>271</v>
      </c>
      <c r="B251" s="1" t="s">
        <v>270</v>
      </c>
      <c r="C251" s="2" t="s">
        <v>29</v>
      </c>
      <c r="D251" s="4">
        <v>23842</v>
      </c>
      <c r="E251" s="4">
        <v>55702</v>
      </c>
      <c r="F251" s="4">
        <v>8755</v>
      </c>
      <c r="G251" s="4">
        <v>88299</v>
      </c>
      <c r="H251" s="100">
        <f>Table3[[#This Row],[Circulation of Children''s Materials]]/Table3[[#This Row],[Total Population Served]]</f>
        <v>0.9230352303523035</v>
      </c>
      <c r="I251" s="100">
        <f>Table3[[#This Row],[Circulation of Electronic Materials]]/Table3[[#This Row],[Total Population Served]]</f>
        <v>0.33894696089818038</v>
      </c>
      <c r="J251" s="100">
        <f t="shared" si="23"/>
        <v>3.418466898954704</v>
      </c>
      <c r="K251" s="100">
        <f t="shared" si="24"/>
        <v>8.9926672777268557</v>
      </c>
      <c r="L251" s="102">
        <v>15063</v>
      </c>
      <c r="M251" s="4">
        <v>23818</v>
      </c>
      <c r="N251" s="4">
        <v>79544</v>
      </c>
      <c r="O251" s="4">
        <v>103362</v>
      </c>
      <c r="P251" s="4">
        <v>91193</v>
      </c>
      <c r="Q251" s="4">
        <v>12179</v>
      </c>
      <c r="R251" s="100">
        <f t="shared" si="25"/>
        <v>0.47150600077429344</v>
      </c>
      <c r="S251" s="4">
        <v>6900</v>
      </c>
      <c r="T251" s="71">
        <f t="shared" si="30"/>
        <v>0.26713124274099886</v>
      </c>
      <c r="U251" s="4">
        <v>3798</v>
      </c>
      <c r="V251" s="4">
        <v>3763</v>
      </c>
      <c r="W251" s="4">
        <v>78002</v>
      </c>
      <c r="X251" s="77">
        <v>31544</v>
      </c>
      <c r="Y251" s="101">
        <f t="shared" si="26"/>
        <v>3.0198219125048396</v>
      </c>
      <c r="Z251" s="101">
        <f t="shared" si="27"/>
        <v>7.9439861493023729</v>
      </c>
      <c r="AA251" s="4">
        <v>13190</v>
      </c>
      <c r="AB251" s="2" t="s">
        <v>872</v>
      </c>
      <c r="AC251" s="106">
        <v>9632</v>
      </c>
      <c r="AD251" s="4">
        <v>103372</v>
      </c>
      <c r="AE251" s="4">
        <v>9819</v>
      </c>
      <c r="AF251" s="4">
        <v>25830</v>
      </c>
    </row>
    <row r="252" spans="1:32" ht="13.5" thickBot="1" x14ac:dyDescent="0.25">
      <c r="A252" s="2" t="s">
        <v>279</v>
      </c>
      <c r="B252" s="1" t="s">
        <v>278</v>
      </c>
      <c r="C252" s="2" t="s">
        <v>29</v>
      </c>
      <c r="D252" s="77">
        <v>18295</v>
      </c>
      <c r="E252" s="77">
        <v>27383</v>
      </c>
      <c r="F252" s="77">
        <v>2497</v>
      </c>
      <c r="G252" s="77">
        <v>48175</v>
      </c>
      <c r="H252" s="100">
        <f>Table3[[#This Row],[Circulation of Children''s Materials]]/Table3[[#This Row],[Total Population Served]]</f>
        <v>1.2856640899508081</v>
      </c>
      <c r="I252" s="100">
        <f>Table3[[#This Row],[Circulation of Electronic Materials]]/Table3[[#This Row],[Total Population Served]]</f>
        <v>0.17547434996486297</v>
      </c>
      <c r="J252" s="100">
        <f t="shared" si="23"/>
        <v>3.3854532677442024</v>
      </c>
      <c r="K252" s="100">
        <f t="shared" si="24"/>
        <v>18.415519877675841</v>
      </c>
      <c r="L252" s="102">
        <v>389</v>
      </c>
      <c r="M252" s="77">
        <v>2886</v>
      </c>
      <c r="N252" s="77">
        <v>45678</v>
      </c>
      <c r="O252" s="77">
        <v>48564</v>
      </c>
      <c r="P252" s="77">
        <v>45164</v>
      </c>
      <c r="Q252" s="77">
        <v>10735</v>
      </c>
      <c r="R252" s="100">
        <f t="shared" si="25"/>
        <v>0.75439212930428667</v>
      </c>
      <c r="S252" s="77">
        <v>3955</v>
      </c>
      <c r="T252" s="71">
        <f t="shared" si="30"/>
        <v>0.27793394237526353</v>
      </c>
      <c r="U252" s="77">
        <v>4974</v>
      </c>
      <c r="V252" s="77">
        <v>2318</v>
      </c>
      <c r="W252" s="77">
        <v>68452</v>
      </c>
      <c r="X252" s="77">
        <v>47067</v>
      </c>
      <c r="Y252" s="101">
        <f t="shared" si="26"/>
        <v>4.8104005621925507</v>
      </c>
      <c r="Z252" s="101">
        <f t="shared" si="27"/>
        <v>26.166666666666668</v>
      </c>
      <c r="AA252" s="77">
        <v>14560</v>
      </c>
      <c r="AB252" s="2" t="s">
        <v>872</v>
      </c>
      <c r="AC252" s="106">
        <v>11180</v>
      </c>
      <c r="AD252" s="77">
        <v>55899</v>
      </c>
      <c r="AE252" s="77">
        <v>2616</v>
      </c>
      <c r="AF252" s="4">
        <v>14230</v>
      </c>
    </row>
    <row r="253" spans="1:32" ht="13.5" thickBot="1" x14ac:dyDescent="0.25">
      <c r="A253" s="2" t="s">
        <v>281</v>
      </c>
      <c r="B253" s="1" t="s">
        <v>280</v>
      </c>
      <c r="C253" s="2" t="s">
        <v>29</v>
      </c>
      <c r="D253" s="4">
        <v>45455</v>
      </c>
      <c r="E253" s="4">
        <v>96855</v>
      </c>
      <c r="F253" s="4">
        <v>14934</v>
      </c>
      <c r="G253" s="4">
        <v>157244</v>
      </c>
      <c r="H253" s="100">
        <f>Table3[[#This Row],[Circulation of Children''s Materials]]/Table3[[#This Row],[Total Population Served]]</f>
        <v>2.2841708542713568</v>
      </c>
      <c r="I253" s="100">
        <f>Table3[[#This Row],[Circulation of Electronic Materials]]/Table3[[#This Row],[Total Population Served]]</f>
        <v>0.75045226130653264</v>
      </c>
      <c r="J253" s="100">
        <f t="shared" si="23"/>
        <v>7.9017085427135676</v>
      </c>
      <c r="K253" s="100">
        <f t="shared" si="24"/>
        <v>20.785723727693323</v>
      </c>
      <c r="L253" s="102">
        <v>2609</v>
      </c>
      <c r="M253" s="4">
        <v>17543</v>
      </c>
      <c r="N253" s="4">
        <v>142310</v>
      </c>
      <c r="O253" s="4">
        <v>159853</v>
      </c>
      <c r="P253" s="4">
        <v>70327</v>
      </c>
      <c r="Q253" s="4">
        <v>36052</v>
      </c>
      <c r="R253" s="100">
        <f t="shared" si="25"/>
        <v>1.8116582914572865</v>
      </c>
      <c r="S253" s="4">
        <v>28664</v>
      </c>
      <c r="T253" s="71">
        <f t="shared" si="30"/>
        <v>1.4404020100502513</v>
      </c>
      <c r="U253" s="4">
        <v>27188</v>
      </c>
      <c r="V253" s="4">
        <v>21533</v>
      </c>
      <c r="W253" s="4">
        <v>143798</v>
      </c>
      <c r="X253" s="77">
        <v>67712</v>
      </c>
      <c r="Y253" s="101">
        <f t="shared" si="26"/>
        <v>7.2260301507537692</v>
      </c>
      <c r="Z253" s="101">
        <f t="shared" si="27"/>
        <v>19.008327825512229</v>
      </c>
      <c r="AA253" s="4">
        <v>25864</v>
      </c>
      <c r="AB253" s="2" t="s">
        <v>872</v>
      </c>
      <c r="AC253" s="106">
        <v>20000</v>
      </c>
      <c r="AD253" s="4">
        <v>106379</v>
      </c>
      <c r="AE253" s="4">
        <v>7565</v>
      </c>
      <c r="AF253" s="4">
        <v>19900</v>
      </c>
    </row>
    <row r="254" spans="1:32" ht="13.5" thickBot="1" x14ac:dyDescent="0.25">
      <c r="A254" s="2" t="s">
        <v>285</v>
      </c>
      <c r="B254" s="1" t="s">
        <v>284</v>
      </c>
      <c r="C254" s="2" t="s">
        <v>29</v>
      </c>
      <c r="D254" s="77">
        <v>49019</v>
      </c>
      <c r="E254" s="77">
        <v>75584</v>
      </c>
      <c r="F254" s="77">
        <v>7562</v>
      </c>
      <c r="G254" s="77">
        <v>132165</v>
      </c>
      <c r="H254" s="100">
        <f>Table3[[#This Row],[Circulation of Children''s Materials]]/Table3[[#This Row],[Total Population Served]]</f>
        <v>2.7810620674004314</v>
      </c>
      <c r="I254" s="100">
        <f>Table3[[#This Row],[Circulation of Electronic Materials]]/Table3[[#This Row],[Total Population Served]]</f>
        <v>0.4290253035288778</v>
      </c>
      <c r="J254" s="100">
        <f t="shared" si="23"/>
        <v>7.498297968909565</v>
      </c>
      <c r="K254" s="100">
        <f t="shared" si="24"/>
        <v>11.581230283911673</v>
      </c>
      <c r="L254" s="102">
        <v>21322</v>
      </c>
      <c r="M254" s="77">
        <v>28884</v>
      </c>
      <c r="N254" s="77">
        <v>124603</v>
      </c>
      <c r="O254" s="77">
        <v>153487</v>
      </c>
      <c r="P254" s="77">
        <v>86756</v>
      </c>
      <c r="Q254" s="77">
        <v>22499</v>
      </c>
      <c r="R254" s="100">
        <f t="shared" si="25"/>
        <v>1.2764665834562579</v>
      </c>
      <c r="S254" s="77">
        <v>5401</v>
      </c>
      <c r="T254" s="71">
        <f t="shared" si="30"/>
        <v>0.30642233064790653</v>
      </c>
      <c r="U254" s="77">
        <v>7437</v>
      </c>
      <c r="V254" s="77">
        <v>7216</v>
      </c>
      <c r="W254" s="77">
        <v>91410</v>
      </c>
      <c r="X254" s="77">
        <v>32069</v>
      </c>
      <c r="Y254" s="101">
        <f t="shared" si="26"/>
        <v>5.1860887325541816</v>
      </c>
      <c r="Z254" s="101">
        <f t="shared" si="27"/>
        <v>8.0099894847528912</v>
      </c>
      <c r="AA254" s="77">
        <v>11339</v>
      </c>
      <c r="AB254" s="2" t="s">
        <v>872</v>
      </c>
      <c r="AC254" s="106">
        <v>14148</v>
      </c>
      <c r="AD254" s="77">
        <v>109255</v>
      </c>
      <c r="AE254" s="77">
        <v>11412</v>
      </c>
      <c r="AF254" s="4">
        <v>17626</v>
      </c>
    </row>
    <row r="255" spans="1:32" ht="13.5" thickBot="1" x14ac:dyDescent="0.25">
      <c r="A255" s="2" t="s">
        <v>287</v>
      </c>
      <c r="B255" s="1" t="s">
        <v>286</v>
      </c>
      <c r="C255" s="2" t="s">
        <v>29</v>
      </c>
      <c r="D255" s="77">
        <v>29913</v>
      </c>
      <c r="E255" s="77">
        <v>23997</v>
      </c>
      <c r="F255" s="77">
        <v>2842</v>
      </c>
      <c r="G255" s="77">
        <v>56752</v>
      </c>
      <c r="H255" s="100">
        <f>Table3[[#This Row],[Circulation of Children''s Materials]]/Table3[[#This Row],[Total Population Served]]</f>
        <v>1.6783369803063457</v>
      </c>
      <c r="I255" s="100">
        <f>Table3[[#This Row],[Circulation of Electronic Materials]]/Table3[[#This Row],[Total Population Served]]</f>
        <v>0.15945688155753801</v>
      </c>
      <c r="J255" s="100">
        <f t="shared" si="23"/>
        <v>3.1842001907647424</v>
      </c>
      <c r="K255" s="100">
        <f t="shared" si="24"/>
        <v>15.097632349028997</v>
      </c>
      <c r="L255" s="102">
        <v>21346</v>
      </c>
      <c r="M255" s="77">
        <v>24188</v>
      </c>
      <c r="N255" s="77">
        <v>53910</v>
      </c>
      <c r="O255" s="77">
        <v>78098</v>
      </c>
      <c r="P255" s="77">
        <v>69107</v>
      </c>
      <c r="Q255" s="77">
        <v>0</v>
      </c>
      <c r="R255" s="100">
        <f t="shared" si="25"/>
        <v>0</v>
      </c>
      <c r="S255" s="77">
        <v>8372</v>
      </c>
      <c r="T255" s="71">
        <f t="shared" si="30"/>
        <v>0.46973012399708242</v>
      </c>
      <c r="U255" s="77">
        <v>14055</v>
      </c>
      <c r="V255" s="77">
        <v>9301</v>
      </c>
      <c r="W255" s="77">
        <v>107661</v>
      </c>
      <c r="X255" s="77">
        <v>30060</v>
      </c>
      <c r="Y255" s="101">
        <f t="shared" si="26"/>
        <v>6.0405655613533078</v>
      </c>
      <c r="Z255" s="101">
        <f t="shared" si="27"/>
        <v>28.640861931364725</v>
      </c>
      <c r="AA255" s="77">
        <v>8138</v>
      </c>
      <c r="AB255" s="2" t="s">
        <v>872</v>
      </c>
      <c r="AC255" s="107" t="s">
        <v>2632</v>
      </c>
      <c r="AD255" s="77">
        <v>69107</v>
      </c>
      <c r="AE255" s="77">
        <v>3759</v>
      </c>
      <c r="AF255" s="4">
        <v>17823</v>
      </c>
    </row>
    <row r="256" spans="1:32" ht="13.5" thickBot="1" x14ac:dyDescent="0.25">
      <c r="A256" s="2" t="s">
        <v>295</v>
      </c>
      <c r="B256" s="1" t="s">
        <v>294</v>
      </c>
      <c r="C256" s="2" t="s">
        <v>29</v>
      </c>
      <c r="D256" s="4">
        <v>16500</v>
      </c>
      <c r="E256" s="4">
        <v>15880</v>
      </c>
      <c r="F256" s="4">
        <v>1634</v>
      </c>
      <c r="G256" s="4">
        <v>34014</v>
      </c>
      <c r="H256" s="100">
        <f>Table3[[#This Row],[Circulation of Children''s Materials]]/Table3[[#This Row],[Total Population Served]]</f>
        <v>0.96672134989453951</v>
      </c>
      <c r="I256" s="100">
        <f>Table3[[#This Row],[Circulation of Electronic Materials]]/Table3[[#This Row],[Total Population Served]]</f>
        <v>9.5734708225919854E-2</v>
      </c>
      <c r="J256" s="100">
        <f t="shared" si="23"/>
        <v>1.9928521209280525</v>
      </c>
      <c r="K256" s="100">
        <f t="shared" si="24"/>
        <v>4.7163061564059898</v>
      </c>
      <c r="L256" s="102">
        <v>2529</v>
      </c>
      <c r="M256" s="4">
        <v>4163</v>
      </c>
      <c r="N256" s="4">
        <v>32380</v>
      </c>
      <c r="O256" s="4">
        <v>36543</v>
      </c>
      <c r="P256" s="4">
        <v>40572</v>
      </c>
      <c r="Q256" s="4">
        <v>7644</v>
      </c>
      <c r="R256" s="100">
        <f t="shared" si="25"/>
        <v>0.44785563627841574</v>
      </c>
      <c r="S256" s="4">
        <v>3289</v>
      </c>
      <c r="T256" s="71">
        <f t="shared" si="30"/>
        <v>0.1926997890789782</v>
      </c>
      <c r="U256" s="4">
        <v>1275</v>
      </c>
      <c r="V256" s="4">
        <v>1063</v>
      </c>
      <c r="W256" s="4">
        <v>37673</v>
      </c>
      <c r="X256" s="77">
        <v>24400</v>
      </c>
      <c r="Y256" s="101">
        <f t="shared" si="26"/>
        <v>2.2072299039137566</v>
      </c>
      <c r="Z256" s="101">
        <f t="shared" si="27"/>
        <v>5.2236550194120905</v>
      </c>
      <c r="AA256" s="4">
        <v>3201</v>
      </c>
      <c r="AB256" s="2" t="s">
        <v>872</v>
      </c>
      <c r="AC256" s="106">
        <v>9490</v>
      </c>
      <c r="AD256" s="4">
        <v>48216</v>
      </c>
      <c r="AE256" s="4">
        <v>7212</v>
      </c>
      <c r="AF256" s="4">
        <v>17068</v>
      </c>
    </row>
    <row r="257" spans="1:32" ht="13.5" thickBot="1" x14ac:dyDescent="0.25">
      <c r="A257" s="2" t="s">
        <v>301</v>
      </c>
      <c r="B257" s="1" t="s">
        <v>300</v>
      </c>
      <c r="C257" s="2" t="s">
        <v>29</v>
      </c>
      <c r="D257" s="4">
        <v>26041</v>
      </c>
      <c r="E257" s="4">
        <v>42466</v>
      </c>
      <c r="F257" s="4">
        <v>4114</v>
      </c>
      <c r="G257" s="4">
        <v>72621</v>
      </c>
      <c r="H257" s="100">
        <f>Table3[[#This Row],[Circulation of Children''s Materials]]/Table3[[#This Row],[Total Population Served]]</f>
        <v>1.7984116022099448</v>
      </c>
      <c r="I257" s="100">
        <f>Table3[[#This Row],[Circulation of Electronic Materials]]/Table3[[#This Row],[Total Population Served]]</f>
        <v>0.28411602209944753</v>
      </c>
      <c r="J257" s="100">
        <f t="shared" si="23"/>
        <v>5.0152624309392264</v>
      </c>
      <c r="K257" s="100">
        <f t="shared" si="24"/>
        <v>9.9808960967564602</v>
      </c>
      <c r="L257" s="102">
        <v>1005</v>
      </c>
      <c r="M257" s="4">
        <v>5119</v>
      </c>
      <c r="N257" s="4">
        <v>68507</v>
      </c>
      <c r="O257" s="4">
        <v>73626</v>
      </c>
      <c r="P257" s="4">
        <v>60572</v>
      </c>
      <c r="Q257" s="4">
        <v>12422</v>
      </c>
      <c r="R257" s="100">
        <f t="shared" si="25"/>
        <v>0.85787292817679561</v>
      </c>
      <c r="S257" s="4">
        <v>11406</v>
      </c>
      <c r="T257" s="71">
        <f t="shared" si="30"/>
        <v>0.78770718232044201</v>
      </c>
      <c r="U257" s="4">
        <v>20992</v>
      </c>
      <c r="V257" s="4">
        <v>23661</v>
      </c>
      <c r="W257" s="4">
        <v>48060</v>
      </c>
      <c r="X257" s="77">
        <v>19569</v>
      </c>
      <c r="Y257" s="101">
        <f t="shared" si="26"/>
        <v>3.319060773480663</v>
      </c>
      <c r="Z257" s="101">
        <f t="shared" si="27"/>
        <v>6.6052776250687195</v>
      </c>
      <c r="AA257" s="4">
        <v>9074</v>
      </c>
      <c r="AB257" s="2" t="s">
        <v>872</v>
      </c>
      <c r="AC257" s="106">
        <v>23199</v>
      </c>
      <c r="AD257" s="4">
        <v>72994</v>
      </c>
      <c r="AE257" s="4">
        <v>7276</v>
      </c>
      <c r="AF257" s="4">
        <v>14480</v>
      </c>
    </row>
    <row r="258" spans="1:32" ht="13.5" thickBot="1" x14ac:dyDescent="0.25">
      <c r="A258" s="2" t="s">
        <v>305</v>
      </c>
      <c r="B258" s="1" t="s">
        <v>304</v>
      </c>
      <c r="C258" s="2" t="s">
        <v>29</v>
      </c>
      <c r="D258" s="4">
        <v>89678</v>
      </c>
      <c r="E258" s="4">
        <v>132466</v>
      </c>
      <c r="F258" s="4">
        <v>12000</v>
      </c>
      <c r="G258" s="4">
        <v>234144</v>
      </c>
      <c r="H258" s="100">
        <f>Table3[[#This Row],[Circulation of Children''s Materials]]/Table3[[#This Row],[Total Population Served]]</f>
        <v>6.7295512531892543</v>
      </c>
      <c r="I258" s="100">
        <f>Table3[[#This Row],[Circulation of Electronic Materials]]/Table3[[#This Row],[Total Population Served]]</f>
        <v>0.90049527239981986</v>
      </c>
      <c r="J258" s="100">
        <f t="shared" si="23"/>
        <v>17.570463755065287</v>
      </c>
      <c r="K258" s="100">
        <f t="shared" si="24"/>
        <v>67.671676300578028</v>
      </c>
      <c r="L258" s="102">
        <v>5000</v>
      </c>
      <c r="M258" s="4">
        <v>17000</v>
      </c>
      <c r="N258" s="4">
        <v>222144</v>
      </c>
      <c r="O258" s="4">
        <v>239144</v>
      </c>
      <c r="P258" s="4">
        <v>106963</v>
      </c>
      <c r="Q258" s="4">
        <v>31000</v>
      </c>
      <c r="R258" s="100">
        <f t="shared" si="25"/>
        <v>2.3262794536995348</v>
      </c>
      <c r="S258" s="4">
        <v>7728</v>
      </c>
      <c r="T258" s="71">
        <f t="shared" si="30"/>
        <v>0.579918955425484</v>
      </c>
      <c r="U258" s="4">
        <v>7913</v>
      </c>
      <c r="V258" s="4">
        <v>6267</v>
      </c>
      <c r="W258" s="4">
        <v>133048</v>
      </c>
      <c r="X258" s="77">
        <v>50120</v>
      </c>
      <c r="Y258" s="101">
        <f t="shared" si="26"/>
        <v>9.9840912501876034</v>
      </c>
      <c r="Z258" s="101">
        <f t="shared" si="27"/>
        <v>38.453179190751442</v>
      </c>
      <c r="AA258" s="4">
        <v>20000</v>
      </c>
      <c r="AB258" s="2" t="s">
        <v>872</v>
      </c>
      <c r="AC258" s="106">
        <v>10000</v>
      </c>
      <c r="AD258" s="4">
        <v>137963</v>
      </c>
      <c r="AE258" s="4">
        <v>3460</v>
      </c>
      <c r="AF258" s="4">
        <v>13326</v>
      </c>
    </row>
    <row r="259" spans="1:32" ht="13.5" thickBot="1" x14ac:dyDescent="0.25">
      <c r="A259" s="2" t="s">
        <v>307</v>
      </c>
      <c r="B259" s="1" t="s">
        <v>306</v>
      </c>
      <c r="C259" s="2" t="s">
        <v>29</v>
      </c>
      <c r="D259" s="77">
        <v>11208</v>
      </c>
      <c r="E259" s="77">
        <v>19532</v>
      </c>
      <c r="F259" s="77">
        <v>1570</v>
      </c>
      <c r="G259" s="77">
        <v>32310</v>
      </c>
      <c r="H259" s="100">
        <f>Table3[[#This Row],[Circulation of Children''s Materials]]/Table3[[#This Row],[Total Population Served]]</f>
        <v>0.82423885865568469</v>
      </c>
      <c r="I259" s="100">
        <f>Table3[[#This Row],[Circulation of Electronic Materials]]/Table3[[#This Row],[Total Population Served]]</f>
        <v>0.11545815561111929</v>
      </c>
      <c r="J259" s="100">
        <f t="shared" si="23"/>
        <v>2.3760847183409326</v>
      </c>
      <c r="K259" s="100">
        <f t="shared" si="24"/>
        <v>22.817796610169491</v>
      </c>
      <c r="L259" s="102">
        <v>0</v>
      </c>
      <c r="M259" s="77">
        <v>1570</v>
      </c>
      <c r="N259" s="77">
        <v>30740</v>
      </c>
      <c r="O259" s="77">
        <v>32310</v>
      </c>
      <c r="P259" s="77">
        <v>16471</v>
      </c>
      <c r="Q259" s="77">
        <v>10056</v>
      </c>
      <c r="R259" s="100">
        <f t="shared" si="25"/>
        <v>0.7395205177231946</v>
      </c>
      <c r="S259" s="77">
        <v>2132</v>
      </c>
      <c r="T259" s="71">
        <f t="shared" si="30"/>
        <v>0.15678776290630975</v>
      </c>
      <c r="U259" s="77">
        <v>2617</v>
      </c>
      <c r="V259" s="77">
        <v>3578</v>
      </c>
      <c r="W259" s="77">
        <v>9492</v>
      </c>
      <c r="X259" s="77">
        <v>20785</v>
      </c>
      <c r="Y259" s="101">
        <f t="shared" si="26"/>
        <v>0.69804382997499637</v>
      </c>
      <c r="Z259" s="101">
        <f t="shared" si="27"/>
        <v>6.7033898305084749</v>
      </c>
      <c r="AA259" s="77">
        <v>542</v>
      </c>
      <c r="AB259" s="2" t="s">
        <v>872</v>
      </c>
      <c r="AC259" s="107" t="s">
        <v>2632</v>
      </c>
      <c r="AD259" s="77">
        <v>26527</v>
      </c>
      <c r="AE259" s="77">
        <v>1416</v>
      </c>
      <c r="AF259" s="4">
        <v>13598</v>
      </c>
    </row>
    <row r="260" spans="1:32" ht="13.5" thickBot="1" x14ac:dyDescent="0.25">
      <c r="A260" s="2" t="s">
        <v>325</v>
      </c>
      <c r="B260" s="1" t="s">
        <v>324</v>
      </c>
      <c r="C260" s="2" t="s">
        <v>29</v>
      </c>
      <c r="D260" s="77">
        <v>15237</v>
      </c>
      <c r="E260" s="77">
        <v>73985</v>
      </c>
      <c r="F260" s="77">
        <v>8088</v>
      </c>
      <c r="G260" s="77">
        <v>97310</v>
      </c>
      <c r="H260" s="100">
        <f>Table3[[#This Row],[Circulation of Children''s Materials]]/Table3[[#This Row],[Total Population Served]]</f>
        <v>0.59306398879028488</v>
      </c>
      <c r="I260" s="100">
        <f>Table3[[#This Row],[Circulation of Electronic Materials]]/Table3[[#This Row],[Total Population Served]]</f>
        <v>0.31480616534329753</v>
      </c>
      <c r="J260" s="100">
        <f t="shared" ref="J260:J323" si="31">G260/AF260</f>
        <v>3.7875603300638332</v>
      </c>
      <c r="K260" s="100">
        <f t="shared" ref="K260:K323" si="32">G260/AE260</f>
        <v>20.520877266975958</v>
      </c>
      <c r="L260" s="102">
        <v>0</v>
      </c>
      <c r="M260" s="77">
        <v>8088</v>
      </c>
      <c r="N260" s="77">
        <v>89222</v>
      </c>
      <c r="O260" s="77">
        <v>97310</v>
      </c>
      <c r="P260" s="77">
        <v>72863</v>
      </c>
      <c r="Q260" s="77">
        <v>8088</v>
      </c>
      <c r="R260" s="100">
        <f t="shared" ref="R260:R323" si="33">Q260/AF260</f>
        <v>0.31480616534329753</v>
      </c>
      <c r="S260" s="77">
        <v>5929</v>
      </c>
      <c r="T260" s="71">
        <f t="shared" si="30"/>
        <v>0.23077222481706366</v>
      </c>
      <c r="U260" s="77">
        <v>9983</v>
      </c>
      <c r="V260" s="77">
        <v>9045</v>
      </c>
      <c r="W260" s="77">
        <v>46501</v>
      </c>
      <c r="X260" s="77">
        <v>28714</v>
      </c>
      <c r="Y260" s="101">
        <f t="shared" ref="Y260:Y323" si="34">W260/AF260</f>
        <v>1.8099408376148218</v>
      </c>
      <c r="Z260" s="101">
        <f t="shared" ref="Z260:Z323" si="35">W260/AE260</f>
        <v>9.8061999156474062</v>
      </c>
      <c r="AA260" s="77">
        <v>15965</v>
      </c>
      <c r="AB260" s="2" t="s">
        <v>872</v>
      </c>
      <c r="AC260" s="106">
        <v>39339</v>
      </c>
      <c r="AD260" s="77">
        <v>80951</v>
      </c>
      <c r="AE260" s="77">
        <v>4742</v>
      </c>
      <c r="AF260" s="4">
        <v>25692</v>
      </c>
    </row>
    <row r="261" spans="1:32" ht="13.5" thickBot="1" x14ac:dyDescent="0.25">
      <c r="A261" s="2" t="s">
        <v>333</v>
      </c>
      <c r="B261" s="1" t="s">
        <v>332</v>
      </c>
      <c r="C261" s="2" t="s">
        <v>29</v>
      </c>
      <c r="D261" s="77">
        <v>28953</v>
      </c>
      <c r="E261" s="77">
        <v>52350</v>
      </c>
      <c r="F261" s="77">
        <v>27848</v>
      </c>
      <c r="G261" s="77">
        <v>109151</v>
      </c>
      <c r="H261" s="100">
        <f>Table3[[#This Row],[Circulation of Children''s Materials]]/Table3[[#This Row],[Total Population Served]]</f>
        <v>1.8142114167554357</v>
      </c>
      <c r="I261" s="100">
        <f>Table3[[#This Row],[Circulation of Electronic Materials]]/Table3[[#This Row],[Total Population Served]]</f>
        <v>1.7449714894416943</v>
      </c>
      <c r="J261" s="100">
        <f t="shared" si="31"/>
        <v>6.8394636255404473</v>
      </c>
      <c r="K261" s="100">
        <f t="shared" si="32"/>
        <v>16.588297872340426</v>
      </c>
      <c r="L261" s="102">
        <v>6148</v>
      </c>
      <c r="M261" s="77">
        <v>33996</v>
      </c>
      <c r="N261" s="77">
        <v>81303</v>
      </c>
      <c r="O261" s="77">
        <v>115299</v>
      </c>
      <c r="P261" s="77">
        <v>33972</v>
      </c>
      <c r="Q261" s="77">
        <v>80331</v>
      </c>
      <c r="R261" s="100">
        <f t="shared" si="33"/>
        <v>5.0335860642897421</v>
      </c>
      <c r="S261" s="77">
        <v>6513</v>
      </c>
      <c r="T261" s="71">
        <f t="shared" si="30"/>
        <v>0.40810827746099382</v>
      </c>
      <c r="U261" s="77">
        <v>7252</v>
      </c>
      <c r="V261" s="77">
        <v>6655</v>
      </c>
      <c r="W261" s="77">
        <v>63226</v>
      </c>
      <c r="X261" s="77">
        <v>30057</v>
      </c>
      <c r="Y261" s="101">
        <f t="shared" si="34"/>
        <v>3.9617770537001067</v>
      </c>
      <c r="Z261" s="101">
        <f t="shared" si="35"/>
        <v>9.6088145896656538</v>
      </c>
      <c r="AA261" s="77">
        <v>9066</v>
      </c>
      <c r="AB261" s="2" t="s">
        <v>872</v>
      </c>
      <c r="AC261" s="106">
        <v>17525</v>
      </c>
      <c r="AD261" s="77">
        <v>114303</v>
      </c>
      <c r="AE261" s="77">
        <v>6580</v>
      </c>
      <c r="AF261" s="4">
        <v>15959</v>
      </c>
    </row>
    <row r="262" spans="1:32" ht="13.5" thickBot="1" x14ac:dyDescent="0.25">
      <c r="A262" s="2" t="s">
        <v>343</v>
      </c>
      <c r="B262" s="1" t="s">
        <v>342</v>
      </c>
      <c r="C262" s="2" t="s">
        <v>29</v>
      </c>
      <c r="D262" s="77">
        <v>13741</v>
      </c>
      <c r="E262" s="77">
        <v>65060</v>
      </c>
      <c r="F262" s="77">
        <v>9903</v>
      </c>
      <c r="G262" s="77">
        <v>88704</v>
      </c>
      <c r="H262" s="100">
        <f>Table3[[#This Row],[Circulation of Children''s Materials]]/Table3[[#This Row],[Total Population Served]]</f>
        <v>0.64923222300968575</v>
      </c>
      <c r="I262" s="100">
        <f>Table3[[#This Row],[Circulation of Electronic Materials]]/Table3[[#This Row],[Total Population Served]]</f>
        <v>0.46789510985116939</v>
      </c>
      <c r="J262" s="100">
        <f t="shared" si="31"/>
        <v>4.1910701630049614</v>
      </c>
      <c r="K262" s="100">
        <f t="shared" si="32"/>
        <v>5.2191103789126849</v>
      </c>
      <c r="L262" s="102">
        <v>0</v>
      </c>
      <c r="M262" s="77">
        <v>9903</v>
      </c>
      <c r="N262" s="77">
        <v>78801</v>
      </c>
      <c r="O262" s="77">
        <v>88704</v>
      </c>
      <c r="P262" s="77">
        <v>53523</v>
      </c>
      <c r="Q262" s="77">
        <v>2199</v>
      </c>
      <c r="R262" s="100">
        <f t="shared" si="33"/>
        <v>0.1038979447200567</v>
      </c>
      <c r="S262" s="77">
        <v>293</v>
      </c>
      <c r="T262" s="71">
        <f t="shared" si="30"/>
        <v>1.3843609733049846E-2</v>
      </c>
      <c r="U262" s="77">
        <v>2437</v>
      </c>
      <c r="V262" s="77">
        <v>3978</v>
      </c>
      <c r="W262" s="77">
        <v>57694</v>
      </c>
      <c r="X262" s="77">
        <v>25583</v>
      </c>
      <c r="Y262" s="101">
        <f t="shared" si="34"/>
        <v>2.7259154264115284</v>
      </c>
      <c r="Z262" s="101">
        <f t="shared" si="35"/>
        <v>3.3945634266886326</v>
      </c>
      <c r="AA262" s="77">
        <v>3345</v>
      </c>
      <c r="AB262" s="2" t="s">
        <v>872</v>
      </c>
      <c r="AC262" s="106">
        <v>30622</v>
      </c>
      <c r="AD262" s="77">
        <v>55722</v>
      </c>
      <c r="AE262" s="77">
        <v>16996</v>
      </c>
      <c r="AF262" s="4">
        <v>21165</v>
      </c>
    </row>
    <row r="263" spans="1:32" ht="13.5" thickBot="1" x14ac:dyDescent="0.25">
      <c r="A263" s="2" t="s">
        <v>345</v>
      </c>
      <c r="B263" s="1" t="s">
        <v>344</v>
      </c>
      <c r="C263" s="2" t="s">
        <v>29</v>
      </c>
      <c r="D263" s="4">
        <v>16420</v>
      </c>
      <c r="E263" s="4">
        <v>9911</v>
      </c>
      <c r="F263" s="4">
        <v>0</v>
      </c>
      <c r="G263" s="4">
        <v>26331</v>
      </c>
      <c r="H263" s="100">
        <f>Table3[[#This Row],[Circulation of Children''s Materials]]/Table3[[#This Row],[Total Population Served]]</f>
        <v>0.73228381572492529</v>
      </c>
      <c r="I263" s="100">
        <f>Table3[[#This Row],[Circulation of Electronic Materials]]/Table3[[#This Row],[Total Population Served]]</f>
        <v>0</v>
      </c>
      <c r="J263" s="100">
        <f t="shared" si="31"/>
        <v>1.1742853320251527</v>
      </c>
      <c r="K263" s="100">
        <f t="shared" si="32"/>
        <v>3.3997417688831506</v>
      </c>
      <c r="L263" s="102">
        <v>0</v>
      </c>
      <c r="M263" s="4">
        <v>0</v>
      </c>
      <c r="N263" s="4">
        <v>26331</v>
      </c>
      <c r="O263" s="4">
        <v>26331</v>
      </c>
      <c r="P263" s="4">
        <v>76037</v>
      </c>
      <c r="Q263" s="4">
        <v>0</v>
      </c>
      <c r="R263" s="100">
        <f t="shared" si="33"/>
        <v>0</v>
      </c>
      <c r="S263" s="4">
        <v>26370</v>
      </c>
      <c r="T263" s="71">
        <f t="shared" si="30"/>
        <v>1.1760246175801632</v>
      </c>
      <c r="U263" s="4">
        <v>6092</v>
      </c>
      <c r="V263" s="4">
        <v>6309</v>
      </c>
      <c r="W263" s="4">
        <v>62391</v>
      </c>
      <c r="X263" s="77">
        <v>13364</v>
      </c>
      <c r="Y263" s="101">
        <f t="shared" si="34"/>
        <v>2.7824555144271508</v>
      </c>
      <c r="Z263" s="101">
        <f t="shared" si="35"/>
        <v>8.0556488056810842</v>
      </c>
      <c r="AA263" s="4">
        <v>29641</v>
      </c>
      <c r="AB263" s="2" t="s">
        <v>872</v>
      </c>
      <c r="AC263" s="106">
        <v>7701</v>
      </c>
      <c r="AD263" s="4">
        <v>76037</v>
      </c>
      <c r="AE263" s="4">
        <v>7745</v>
      </c>
      <c r="AF263" s="4">
        <v>22423</v>
      </c>
    </row>
    <row r="264" spans="1:32" ht="13.5" thickBot="1" x14ac:dyDescent="0.25">
      <c r="A264" s="2" t="s">
        <v>351</v>
      </c>
      <c r="B264" s="1" t="s">
        <v>350</v>
      </c>
      <c r="C264" s="2" t="s">
        <v>29</v>
      </c>
      <c r="D264" s="77">
        <v>10312</v>
      </c>
      <c r="E264" s="77">
        <v>18413</v>
      </c>
      <c r="F264" s="77">
        <v>8164</v>
      </c>
      <c r="G264" s="77">
        <v>36889</v>
      </c>
      <c r="H264" s="100">
        <f>Table3[[#This Row],[Circulation of Children''s Materials]]/Table3[[#This Row],[Total Population Served]]</f>
        <v>0.72436077549873557</v>
      </c>
      <c r="I264" s="100">
        <f>Table3[[#This Row],[Circulation of Electronic Materials]]/Table3[[#This Row],[Total Population Served]]</f>
        <v>0.57347569542006183</v>
      </c>
      <c r="J264" s="100">
        <f t="shared" si="31"/>
        <v>2.591247541444226</v>
      </c>
      <c r="K264" s="100">
        <f t="shared" si="32"/>
        <v>4.8730515191545578</v>
      </c>
      <c r="L264" s="102">
        <v>2517</v>
      </c>
      <c r="M264" s="77">
        <v>10681</v>
      </c>
      <c r="N264" s="77">
        <v>28725</v>
      </c>
      <c r="O264" s="77">
        <v>39406</v>
      </c>
      <c r="P264" s="77">
        <v>48400</v>
      </c>
      <c r="Q264" s="77">
        <v>12433</v>
      </c>
      <c r="R264" s="100">
        <f t="shared" si="33"/>
        <v>0.87334925540882269</v>
      </c>
      <c r="S264" s="77">
        <v>9674</v>
      </c>
      <c r="T264" s="71">
        <f t="shared" si="30"/>
        <v>0.67954481595953919</v>
      </c>
      <c r="U264" s="77">
        <v>6607</v>
      </c>
      <c r="V264" s="77">
        <v>4188</v>
      </c>
      <c r="W264" s="77">
        <v>41023</v>
      </c>
      <c r="X264" s="77">
        <v>42415</v>
      </c>
      <c r="Y264" s="101">
        <f t="shared" si="34"/>
        <v>2.8816381005900533</v>
      </c>
      <c r="Z264" s="101">
        <f t="shared" si="35"/>
        <v>5.4191545574636724</v>
      </c>
      <c r="AA264" s="77">
        <v>14537</v>
      </c>
      <c r="AB264" s="2" t="s">
        <v>872</v>
      </c>
      <c r="AC264" s="106">
        <v>15360</v>
      </c>
      <c r="AD264" s="77">
        <v>60833</v>
      </c>
      <c r="AE264" s="77">
        <v>7570</v>
      </c>
      <c r="AF264" s="4">
        <v>14236</v>
      </c>
    </row>
    <row r="265" spans="1:32" ht="13.5" thickBot="1" x14ac:dyDescent="0.25">
      <c r="A265" s="2" t="s">
        <v>353</v>
      </c>
      <c r="B265" s="1" t="s">
        <v>352</v>
      </c>
      <c r="C265" s="2" t="s">
        <v>29</v>
      </c>
      <c r="D265" s="77">
        <v>6367</v>
      </c>
      <c r="E265" s="77">
        <v>24630</v>
      </c>
      <c r="F265" s="77">
        <v>1831</v>
      </c>
      <c r="G265" s="77">
        <v>32828</v>
      </c>
      <c r="H265" s="100">
        <f>Table3[[#This Row],[Circulation of Children''s Materials]]/Table3[[#This Row],[Total Population Served]]</f>
        <v>0.49280185758513934</v>
      </c>
      <c r="I265" s="100">
        <f>Table3[[#This Row],[Circulation of Electronic Materials]]/Table3[[#This Row],[Total Population Served]]</f>
        <v>0.14171826625386996</v>
      </c>
      <c r="J265" s="100">
        <f t="shared" si="31"/>
        <v>2.5408668730650157</v>
      </c>
      <c r="K265" s="100">
        <f t="shared" si="32"/>
        <v>5.9427950760318611</v>
      </c>
      <c r="L265" s="102">
        <v>0</v>
      </c>
      <c r="M265" s="77">
        <v>1831</v>
      </c>
      <c r="N265" s="77">
        <v>30997</v>
      </c>
      <c r="O265" s="77">
        <v>32828</v>
      </c>
      <c r="P265" s="77">
        <v>30193</v>
      </c>
      <c r="Q265" s="77">
        <v>10902</v>
      </c>
      <c r="R265" s="100">
        <f t="shared" si="33"/>
        <v>0.84380804953560373</v>
      </c>
      <c r="S265" s="77">
        <v>2410</v>
      </c>
      <c r="T265" s="71">
        <f t="shared" si="30"/>
        <v>0.18653250773993807</v>
      </c>
      <c r="U265" s="77">
        <v>2598</v>
      </c>
      <c r="V265" s="77">
        <v>3230</v>
      </c>
      <c r="W265" s="77">
        <v>52880</v>
      </c>
      <c r="X265" s="77">
        <v>35853</v>
      </c>
      <c r="Y265" s="101">
        <f t="shared" si="34"/>
        <v>4.0928792569659445</v>
      </c>
      <c r="Z265" s="101">
        <f t="shared" si="35"/>
        <v>9.5727733526430114</v>
      </c>
      <c r="AA265" s="77">
        <v>10225</v>
      </c>
      <c r="AB265" s="2" t="s">
        <v>872</v>
      </c>
      <c r="AC265" s="106">
        <v>9842</v>
      </c>
      <c r="AD265" s="77">
        <v>41095</v>
      </c>
      <c r="AE265" s="77">
        <v>5524</v>
      </c>
      <c r="AF265" s="4">
        <v>12920</v>
      </c>
    </row>
    <row r="266" spans="1:32" ht="13.5" thickBot="1" x14ac:dyDescent="0.25">
      <c r="A266" s="2" t="s">
        <v>355</v>
      </c>
      <c r="B266" s="1" t="s">
        <v>354</v>
      </c>
      <c r="C266" s="2" t="s">
        <v>29</v>
      </c>
      <c r="D266" s="4">
        <v>10608</v>
      </c>
      <c r="E266" s="4">
        <v>26239</v>
      </c>
      <c r="F266" s="4">
        <v>8044</v>
      </c>
      <c r="G266" s="4">
        <v>44891</v>
      </c>
      <c r="H266" s="100">
        <f>Table3[[#This Row],[Circulation of Children''s Materials]]/Table3[[#This Row],[Total Population Served]]</f>
        <v>0.43144751291332817</v>
      </c>
      <c r="I266" s="100">
        <f>Table3[[#This Row],[Circulation of Electronic Materials]]/Table3[[#This Row],[Total Population Served]]</f>
        <v>0.32716476186602678</v>
      </c>
      <c r="J266" s="100">
        <f t="shared" si="31"/>
        <v>1.8258022532232481</v>
      </c>
      <c r="K266" s="100">
        <f t="shared" si="32"/>
        <v>10.377022653721683</v>
      </c>
      <c r="L266" s="102">
        <v>180</v>
      </c>
      <c r="M266" s="4">
        <v>8224</v>
      </c>
      <c r="N266" s="4">
        <v>36847</v>
      </c>
      <c r="O266" s="4">
        <v>45071</v>
      </c>
      <c r="P266" s="4">
        <v>29401</v>
      </c>
      <c r="Q266" s="4">
        <v>9471</v>
      </c>
      <c r="R266" s="100">
        <f t="shared" si="33"/>
        <v>0.38520356285842111</v>
      </c>
      <c r="S266" s="4">
        <v>4453</v>
      </c>
      <c r="T266" s="71">
        <f t="shared" si="30"/>
        <v>0.18111196974010657</v>
      </c>
      <c r="U266" s="4">
        <v>844</v>
      </c>
      <c r="V266" s="4">
        <v>1813</v>
      </c>
      <c r="W266" s="4">
        <v>38286</v>
      </c>
      <c r="X266" s="77">
        <v>38651</v>
      </c>
      <c r="Y266" s="101">
        <f t="shared" si="34"/>
        <v>1.5571643551470289</v>
      </c>
      <c r="Z266" s="101">
        <f t="shared" si="35"/>
        <v>8.8502080443828017</v>
      </c>
      <c r="AA266" s="4">
        <v>4246</v>
      </c>
      <c r="AB266" s="2" t="s">
        <v>872</v>
      </c>
      <c r="AC266" s="107" t="s">
        <v>2632</v>
      </c>
      <c r="AD266" s="4">
        <v>38872</v>
      </c>
      <c r="AE266" s="4">
        <v>4326</v>
      </c>
      <c r="AF266" s="4">
        <v>24587</v>
      </c>
    </row>
    <row r="267" spans="1:32" ht="13.5" thickBot="1" x14ac:dyDescent="0.25">
      <c r="A267" s="2" t="s">
        <v>361</v>
      </c>
      <c r="B267" s="1" t="s">
        <v>360</v>
      </c>
      <c r="C267" s="2" t="s">
        <v>29</v>
      </c>
      <c r="D267" s="77">
        <v>24332</v>
      </c>
      <c r="E267" s="77">
        <v>42664</v>
      </c>
      <c r="F267" s="77">
        <v>13505</v>
      </c>
      <c r="G267" s="77">
        <v>80501</v>
      </c>
      <c r="H267" s="100">
        <f>Table3[[#This Row],[Circulation of Children''s Materials]]/Table3[[#This Row],[Total Population Served]]</f>
        <v>1.8387364921030755</v>
      </c>
      <c r="I267" s="100">
        <f>Table3[[#This Row],[Circulation of Electronic Materials]]/Table3[[#This Row],[Total Population Served]]</f>
        <v>1.0205546739212574</v>
      </c>
      <c r="J267" s="100">
        <f t="shared" si="31"/>
        <v>6.0833522254968635</v>
      </c>
      <c r="K267" s="100">
        <f t="shared" si="32"/>
        <v>16.75010403662089</v>
      </c>
      <c r="L267" s="102">
        <v>0</v>
      </c>
      <c r="M267" s="77">
        <v>13505</v>
      </c>
      <c r="N267" s="77">
        <v>66996</v>
      </c>
      <c r="O267" s="77">
        <v>80501</v>
      </c>
      <c r="P267" s="77">
        <v>41075</v>
      </c>
      <c r="Q267" s="77">
        <v>34440</v>
      </c>
      <c r="R267" s="100">
        <f t="shared" si="33"/>
        <v>2.6025844479709814</v>
      </c>
      <c r="S267" s="77">
        <v>12145</v>
      </c>
      <c r="T267" s="71">
        <f t="shared" si="30"/>
        <v>0.91778130431497018</v>
      </c>
      <c r="U267" s="77">
        <v>4250</v>
      </c>
      <c r="V267" s="77">
        <v>4817</v>
      </c>
      <c r="W267" s="77">
        <v>96417</v>
      </c>
      <c r="X267" s="77">
        <v>39481</v>
      </c>
      <c r="Y267" s="101">
        <f t="shared" si="34"/>
        <v>7.2861029245069142</v>
      </c>
      <c r="Z267" s="101">
        <f t="shared" si="35"/>
        <v>20.061797752808989</v>
      </c>
      <c r="AA267" s="77">
        <v>9794</v>
      </c>
      <c r="AB267" s="2" t="s">
        <v>872</v>
      </c>
      <c r="AC267" s="106">
        <v>30268</v>
      </c>
      <c r="AD267" s="77">
        <v>75515</v>
      </c>
      <c r="AE267" s="77">
        <v>4806</v>
      </c>
      <c r="AF267" s="4">
        <v>13233</v>
      </c>
    </row>
    <row r="268" spans="1:32" ht="13.5" thickBot="1" x14ac:dyDescent="0.25">
      <c r="A268" s="2" t="s">
        <v>363</v>
      </c>
      <c r="B268" s="1" t="s">
        <v>362</v>
      </c>
      <c r="C268" s="2" t="s">
        <v>29</v>
      </c>
      <c r="D268" s="4">
        <v>18888</v>
      </c>
      <c r="E268" s="4">
        <v>38390</v>
      </c>
      <c r="F268" s="4">
        <v>3817</v>
      </c>
      <c r="G268" s="4">
        <v>61095</v>
      </c>
      <c r="H268" s="100">
        <f>Table3[[#This Row],[Circulation of Children''s Materials]]/Table3[[#This Row],[Total Population Served]]</f>
        <v>1.1501644135915237</v>
      </c>
      <c r="I268" s="100">
        <f>Table3[[#This Row],[Circulation of Electronic Materials]]/Table3[[#This Row],[Total Population Served]]</f>
        <v>0.23243210327609304</v>
      </c>
      <c r="J268" s="100">
        <f t="shared" si="31"/>
        <v>3.7203142126415782</v>
      </c>
      <c r="K268" s="100">
        <f t="shared" si="32"/>
        <v>11.946617129448573</v>
      </c>
      <c r="L268" s="102">
        <v>4035</v>
      </c>
      <c r="M268" s="4">
        <v>7852</v>
      </c>
      <c r="N268" s="4">
        <v>57278</v>
      </c>
      <c r="O268" s="4">
        <v>65130</v>
      </c>
      <c r="P268" s="4">
        <v>79415</v>
      </c>
      <c r="Q268" s="4">
        <v>21348</v>
      </c>
      <c r="R268" s="100">
        <f t="shared" si="33"/>
        <v>1.2999634636463282</v>
      </c>
      <c r="S268" s="4">
        <v>7293</v>
      </c>
      <c r="T268" s="71">
        <f t="shared" si="30"/>
        <v>0.44409937888198758</v>
      </c>
      <c r="U268" s="4">
        <v>8638</v>
      </c>
      <c r="V268" s="4">
        <v>5936</v>
      </c>
      <c r="W268" s="4">
        <v>129320</v>
      </c>
      <c r="X268" s="77">
        <v>5386</v>
      </c>
      <c r="Y268" s="101">
        <f t="shared" si="34"/>
        <v>7.8748020947509438</v>
      </c>
      <c r="Z268" s="101">
        <f t="shared" si="35"/>
        <v>25.287446226046146</v>
      </c>
      <c r="AA268" s="4">
        <v>21069</v>
      </c>
      <c r="AB268" s="2" t="s">
        <v>872</v>
      </c>
      <c r="AC268" s="106">
        <v>3862</v>
      </c>
      <c r="AD268" s="4">
        <v>100763</v>
      </c>
      <c r="AE268" s="4">
        <v>5114</v>
      </c>
      <c r="AF268" s="4">
        <v>16422</v>
      </c>
    </row>
    <row r="269" spans="1:32" ht="13.5" thickBot="1" x14ac:dyDescent="0.25">
      <c r="A269" s="2" t="s">
        <v>371</v>
      </c>
      <c r="B269" s="1" t="s">
        <v>370</v>
      </c>
      <c r="C269" s="2" t="s">
        <v>29</v>
      </c>
      <c r="D269" s="77">
        <v>53658</v>
      </c>
      <c r="E269" s="77">
        <v>93594</v>
      </c>
      <c r="F269" s="77">
        <v>17622</v>
      </c>
      <c r="G269" s="77">
        <v>164874</v>
      </c>
      <c r="H269" s="100">
        <f>Table3[[#This Row],[Circulation of Children''s Materials]]/Table3[[#This Row],[Total Population Served]]</f>
        <v>2.7943964170398918</v>
      </c>
      <c r="I269" s="100">
        <f>Table3[[#This Row],[Circulation of Electronic Materials]]/Table3[[#This Row],[Total Population Served]]</f>
        <v>0.91771690448911569</v>
      </c>
      <c r="J269" s="100">
        <f t="shared" si="31"/>
        <v>8.5862930944693261</v>
      </c>
      <c r="K269" s="100">
        <f t="shared" si="32"/>
        <v>21.811615293028179</v>
      </c>
      <c r="L269" s="102">
        <v>13010</v>
      </c>
      <c r="M269" s="77">
        <v>30632</v>
      </c>
      <c r="N269" s="77">
        <v>147252</v>
      </c>
      <c r="O269" s="77">
        <v>177884</v>
      </c>
      <c r="P269" s="77">
        <v>86801</v>
      </c>
      <c r="Q269" s="77">
        <v>44192</v>
      </c>
      <c r="R269" s="100">
        <f t="shared" si="33"/>
        <v>2.3014269346943026</v>
      </c>
      <c r="S269" s="77">
        <v>19523</v>
      </c>
      <c r="T269" s="71">
        <f t="shared" si="30"/>
        <v>1.0167170086449329</v>
      </c>
      <c r="U269" s="77">
        <v>15279</v>
      </c>
      <c r="V269" s="77">
        <v>11312</v>
      </c>
      <c r="W269" s="77">
        <v>82979</v>
      </c>
      <c r="X269" s="77">
        <v>0</v>
      </c>
      <c r="Y269" s="101">
        <f t="shared" si="34"/>
        <v>4.3213727736694096</v>
      </c>
      <c r="Z269" s="101">
        <f t="shared" si="35"/>
        <v>10.977510252678925</v>
      </c>
      <c r="AA269" s="77">
        <v>21551</v>
      </c>
      <c r="AB269" s="2" t="s">
        <v>872</v>
      </c>
      <c r="AC269" s="106">
        <v>7762</v>
      </c>
      <c r="AD269" s="77">
        <v>130993</v>
      </c>
      <c r="AE269" s="77">
        <v>7559</v>
      </c>
      <c r="AF269" s="4">
        <v>19202</v>
      </c>
    </row>
    <row r="270" spans="1:32" ht="13.5" thickBot="1" x14ac:dyDescent="0.25">
      <c r="A270" s="2" t="s">
        <v>375</v>
      </c>
      <c r="B270" s="1" t="s">
        <v>374</v>
      </c>
      <c r="C270" s="2" t="s">
        <v>29</v>
      </c>
      <c r="D270" s="77">
        <v>7404</v>
      </c>
      <c r="E270" s="77">
        <v>40032</v>
      </c>
      <c r="F270" s="77">
        <v>8777</v>
      </c>
      <c r="G270" s="77">
        <v>56213</v>
      </c>
      <c r="H270" s="100">
        <f>Table3[[#This Row],[Circulation of Children''s Materials]]/Table3[[#This Row],[Total Population Served]]</f>
        <v>0.32068607068607069</v>
      </c>
      <c r="I270" s="100">
        <f>Table3[[#This Row],[Circulation of Electronic Materials]]/Table3[[#This Row],[Total Population Served]]</f>
        <v>0.38015419265419265</v>
      </c>
      <c r="J270" s="100">
        <f t="shared" si="31"/>
        <v>2.4347279972279972</v>
      </c>
      <c r="K270" s="100">
        <f t="shared" si="32"/>
        <v>14.738594651284741</v>
      </c>
      <c r="L270" s="102">
        <v>0</v>
      </c>
      <c r="M270" s="77">
        <v>8777</v>
      </c>
      <c r="N270" s="77">
        <v>47436</v>
      </c>
      <c r="O270" s="77">
        <v>56213</v>
      </c>
      <c r="P270" s="77">
        <v>36269</v>
      </c>
      <c r="Q270" s="77">
        <v>13349</v>
      </c>
      <c r="R270" s="100">
        <f t="shared" si="33"/>
        <v>0.57817914067914067</v>
      </c>
      <c r="S270" s="77">
        <v>1812</v>
      </c>
      <c r="T270" s="71">
        <f t="shared" si="30"/>
        <v>7.8482328482328487E-2</v>
      </c>
      <c r="U270" s="77">
        <v>4216</v>
      </c>
      <c r="V270" s="77">
        <v>3968</v>
      </c>
      <c r="W270" s="77">
        <v>62624</v>
      </c>
      <c r="X270" s="77">
        <v>18873</v>
      </c>
      <c r="Y270" s="101">
        <f t="shared" si="34"/>
        <v>2.7124047124047124</v>
      </c>
      <c r="Z270" s="101">
        <f t="shared" si="35"/>
        <v>16.419507079181962</v>
      </c>
      <c r="AA270" s="77">
        <v>9952</v>
      </c>
      <c r="AB270" s="2" t="s">
        <v>872</v>
      </c>
      <c r="AC270" s="106">
        <v>660</v>
      </c>
      <c r="AD270" s="77">
        <v>49618</v>
      </c>
      <c r="AE270" s="77">
        <v>3814</v>
      </c>
      <c r="AF270" s="4">
        <v>23088</v>
      </c>
    </row>
    <row r="271" spans="1:32" ht="13.5" thickBot="1" x14ac:dyDescent="0.25">
      <c r="A271" s="2" t="s">
        <v>383</v>
      </c>
      <c r="B271" s="1" t="s">
        <v>382</v>
      </c>
      <c r="C271" s="2" t="s">
        <v>29</v>
      </c>
      <c r="D271" s="4">
        <v>7151</v>
      </c>
      <c r="E271" s="4">
        <v>43289</v>
      </c>
      <c r="F271" s="4">
        <v>5365</v>
      </c>
      <c r="G271" s="4">
        <v>55805</v>
      </c>
      <c r="H271" s="100">
        <f>Table3[[#This Row],[Circulation of Children''s Materials]]/Table3[[#This Row],[Total Population Served]]</f>
        <v>0.46671452812948699</v>
      </c>
      <c r="I271" s="100">
        <f>Table3[[#This Row],[Circulation of Electronic Materials]]/Table3[[#This Row],[Total Population Served]]</f>
        <v>0.35015011095157289</v>
      </c>
      <c r="J271" s="100">
        <f t="shared" si="31"/>
        <v>3.6421485445764259</v>
      </c>
      <c r="K271" s="100">
        <f t="shared" si="32"/>
        <v>8.3452968446238973</v>
      </c>
      <c r="L271" s="103" t="s">
        <v>2632</v>
      </c>
      <c r="M271" s="4">
        <v>5365</v>
      </c>
      <c r="N271" s="4">
        <v>50440</v>
      </c>
      <c r="O271" s="4">
        <v>55805</v>
      </c>
      <c r="P271" s="4">
        <v>35435</v>
      </c>
      <c r="Q271" s="4">
        <v>8073</v>
      </c>
      <c r="R271" s="100">
        <f t="shared" si="33"/>
        <v>0.526889440020885</v>
      </c>
      <c r="S271" s="4">
        <v>2192</v>
      </c>
      <c r="T271" s="71">
        <f t="shared" si="30"/>
        <v>0.14306226341208719</v>
      </c>
      <c r="U271" s="4">
        <v>2400</v>
      </c>
      <c r="V271" s="4">
        <v>2406</v>
      </c>
      <c r="W271" s="4">
        <v>52000</v>
      </c>
      <c r="X271" s="77">
        <v>53991</v>
      </c>
      <c r="Y271" s="101">
        <f t="shared" si="34"/>
        <v>3.3938128181699518</v>
      </c>
      <c r="Z271" s="101">
        <f t="shared" si="35"/>
        <v>7.7762823388664577</v>
      </c>
      <c r="AA271" s="4">
        <v>11764</v>
      </c>
      <c r="AB271" s="2" t="s">
        <v>872</v>
      </c>
      <c r="AC271" s="106">
        <v>22814</v>
      </c>
      <c r="AD271" s="4">
        <v>43508</v>
      </c>
      <c r="AE271" s="4">
        <v>6687</v>
      </c>
      <c r="AF271" s="4">
        <v>15322</v>
      </c>
    </row>
    <row r="272" spans="1:32" ht="13.5" thickBot="1" x14ac:dyDescent="0.25">
      <c r="A272" s="2" t="s">
        <v>385</v>
      </c>
      <c r="B272" s="1" t="s">
        <v>384</v>
      </c>
      <c r="C272" s="2" t="s">
        <v>29</v>
      </c>
      <c r="D272" s="77">
        <v>106737</v>
      </c>
      <c r="E272" s="77">
        <v>113931</v>
      </c>
      <c r="F272" s="77">
        <v>17722</v>
      </c>
      <c r="G272" s="77">
        <v>238390</v>
      </c>
      <c r="H272" s="100">
        <f>Table3[[#This Row],[Circulation of Children''s Materials]]/Table3[[#This Row],[Total Population Served]]</f>
        <v>4.8264526339588514</v>
      </c>
      <c r="I272" s="100">
        <f>Table3[[#This Row],[Circulation of Electronic Materials]]/Table3[[#This Row],[Total Population Served]]</f>
        <v>0.80135654533122314</v>
      </c>
      <c r="J272" s="100">
        <f t="shared" si="31"/>
        <v>10.779561383676239</v>
      </c>
      <c r="K272" s="100">
        <f t="shared" si="32"/>
        <v>34.449421965317917</v>
      </c>
      <c r="L272" s="102">
        <v>2558</v>
      </c>
      <c r="M272" s="77">
        <v>20280</v>
      </c>
      <c r="N272" s="77">
        <v>220668</v>
      </c>
      <c r="O272" s="77">
        <v>240948</v>
      </c>
      <c r="P272" s="77">
        <v>82674</v>
      </c>
      <c r="Q272" s="77">
        <v>20474</v>
      </c>
      <c r="R272" s="100">
        <f t="shared" si="33"/>
        <v>0.92579697038209363</v>
      </c>
      <c r="S272" s="77">
        <v>6914</v>
      </c>
      <c r="T272" s="71">
        <f t="shared" si="30"/>
        <v>0.31263848066922906</v>
      </c>
      <c r="U272" s="77">
        <v>10134</v>
      </c>
      <c r="V272" s="77">
        <v>9929</v>
      </c>
      <c r="W272" s="77">
        <v>93815</v>
      </c>
      <c r="X272" s="77">
        <v>5581</v>
      </c>
      <c r="Y272" s="101">
        <f t="shared" si="34"/>
        <v>4.2421433416233327</v>
      </c>
      <c r="Z272" s="101">
        <f t="shared" si="35"/>
        <v>13.557080924855491</v>
      </c>
      <c r="AA272" s="77">
        <v>6045</v>
      </c>
      <c r="AB272" s="2" t="s">
        <v>872</v>
      </c>
      <c r="AC272" s="106">
        <v>31812</v>
      </c>
      <c r="AD272" s="77">
        <v>103148</v>
      </c>
      <c r="AE272" s="77">
        <v>6920</v>
      </c>
      <c r="AF272" s="4">
        <v>22115</v>
      </c>
    </row>
    <row r="273" spans="1:32" ht="13.5" thickBot="1" x14ac:dyDescent="0.25">
      <c r="A273" s="2" t="s">
        <v>399</v>
      </c>
      <c r="B273" s="1" t="s">
        <v>398</v>
      </c>
      <c r="C273" s="2" t="s">
        <v>29</v>
      </c>
      <c r="D273" s="77">
        <v>24787</v>
      </c>
      <c r="E273" s="77">
        <v>39687</v>
      </c>
      <c r="F273" s="77">
        <v>8938</v>
      </c>
      <c r="G273" s="77">
        <v>73412</v>
      </c>
      <c r="H273" s="100">
        <f>Table3[[#This Row],[Circulation of Children''s Materials]]/Table3[[#This Row],[Total Population Served]]</f>
        <v>1.1333272369804763</v>
      </c>
      <c r="I273" s="100">
        <f>Table3[[#This Row],[Circulation of Electronic Materials]]/Table3[[#This Row],[Total Population Served]]</f>
        <v>0.40866901376251658</v>
      </c>
      <c r="J273" s="100">
        <f t="shared" si="31"/>
        <v>3.3565909194824197</v>
      </c>
      <c r="K273" s="100">
        <f t="shared" si="32"/>
        <v>10.048179578428689</v>
      </c>
      <c r="L273" s="102">
        <v>0</v>
      </c>
      <c r="M273" s="77">
        <v>8938</v>
      </c>
      <c r="N273" s="77">
        <v>64474</v>
      </c>
      <c r="O273" s="77">
        <v>73412</v>
      </c>
      <c r="P273" s="77">
        <v>34431</v>
      </c>
      <c r="Q273" s="77">
        <v>10288</v>
      </c>
      <c r="R273" s="100">
        <f t="shared" si="33"/>
        <v>0.47039458643866305</v>
      </c>
      <c r="S273" s="77">
        <v>46263</v>
      </c>
      <c r="T273" s="71">
        <f t="shared" si="30"/>
        <v>2.1152667916419001</v>
      </c>
      <c r="U273" s="77">
        <v>4779</v>
      </c>
      <c r="V273" s="77">
        <v>6096</v>
      </c>
      <c r="W273" s="77">
        <v>52780</v>
      </c>
      <c r="X273" s="77">
        <v>0</v>
      </c>
      <c r="Y273" s="101">
        <f t="shared" si="34"/>
        <v>2.4132412784051942</v>
      </c>
      <c r="Z273" s="101">
        <f t="shared" si="35"/>
        <v>7.2241992882562274</v>
      </c>
      <c r="AA273" s="77">
        <v>5622</v>
      </c>
      <c r="AB273" s="2" t="s">
        <v>872</v>
      </c>
      <c r="AC273" s="106">
        <v>6965</v>
      </c>
      <c r="AD273" s="77">
        <v>44719</v>
      </c>
      <c r="AE273" s="77">
        <v>7306</v>
      </c>
      <c r="AF273" s="4">
        <v>21871</v>
      </c>
    </row>
    <row r="274" spans="1:32" ht="13.5" thickBot="1" x14ac:dyDescent="0.25">
      <c r="A274" s="2" t="s">
        <v>405</v>
      </c>
      <c r="B274" s="1" t="s">
        <v>404</v>
      </c>
      <c r="C274" s="2" t="s">
        <v>29</v>
      </c>
      <c r="D274" s="4">
        <v>16512</v>
      </c>
      <c r="E274" s="4">
        <v>29199</v>
      </c>
      <c r="F274" s="4">
        <v>4912</v>
      </c>
      <c r="G274" s="4">
        <v>50623</v>
      </c>
      <c r="H274" s="100">
        <f>Table3[[#This Row],[Circulation of Children''s Materials]]/Table3[[#This Row],[Total Population Served]]</f>
        <v>1.2141176470588235</v>
      </c>
      <c r="I274" s="100">
        <f>Table3[[#This Row],[Circulation of Electronic Materials]]/Table3[[#This Row],[Total Population Served]]</f>
        <v>0.36117647058823532</v>
      </c>
      <c r="J274" s="100">
        <f t="shared" si="31"/>
        <v>3.7222794117647058</v>
      </c>
      <c r="K274" s="100">
        <f t="shared" si="32"/>
        <v>12.010201660735468</v>
      </c>
      <c r="L274" s="103" t="s">
        <v>2632</v>
      </c>
      <c r="M274" s="4">
        <v>4912</v>
      </c>
      <c r="N274" s="4">
        <v>45711</v>
      </c>
      <c r="O274" s="4">
        <v>50623</v>
      </c>
      <c r="P274" s="4">
        <v>48799</v>
      </c>
      <c r="Q274" s="4">
        <v>11427</v>
      </c>
      <c r="R274" s="100">
        <f t="shared" si="33"/>
        <v>0.84022058823529411</v>
      </c>
      <c r="S274" s="77">
        <v>7436</v>
      </c>
      <c r="T274" s="71">
        <f t="shared" si="30"/>
        <v>0.54676470588235293</v>
      </c>
      <c r="U274" s="77">
        <v>2333</v>
      </c>
      <c r="V274" s="4">
        <v>5791</v>
      </c>
      <c r="W274" s="4">
        <v>36188</v>
      </c>
      <c r="X274" s="78" t="s">
        <v>16</v>
      </c>
      <c r="Y274" s="101">
        <f t="shared" si="34"/>
        <v>2.6608823529411763</v>
      </c>
      <c r="Z274" s="101">
        <f t="shared" si="35"/>
        <v>8.5855278766310796</v>
      </c>
      <c r="AA274" s="77">
        <v>6795</v>
      </c>
      <c r="AB274" s="2" t="s">
        <v>872</v>
      </c>
      <c r="AC274" s="106">
        <v>4252</v>
      </c>
      <c r="AD274" s="4">
        <v>60226</v>
      </c>
      <c r="AE274" s="4">
        <v>4215</v>
      </c>
      <c r="AF274" s="4">
        <v>13600</v>
      </c>
    </row>
    <row r="275" spans="1:32" ht="13.5" thickBot="1" x14ac:dyDescent="0.25">
      <c r="A275" s="2" t="s">
        <v>419</v>
      </c>
      <c r="B275" s="1" t="s">
        <v>418</v>
      </c>
      <c r="C275" s="2" t="s">
        <v>29</v>
      </c>
      <c r="D275" s="77">
        <v>10480</v>
      </c>
      <c r="E275" s="77">
        <v>22315</v>
      </c>
      <c r="F275" s="77">
        <v>5953</v>
      </c>
      <c r="G275" s="77">
        <v>38748</v>
      </c>
      <c r="H275" s="100">
        <f>Table3[[#This Row],[Circulation of Children''s Materials]]/Table3[[#This Row],[Total Population Served]]</f>
        <v>0.61097184166035101</v>
      </c>
      <c r="I275" s="100">
        <f>Table3[[#This Row],[Circulation of Electronic Materials]]/Table3[[#This Row],[Total Population Served]]</f>
        <v>0.34705299364542647</v>
      </c>
      <c r="J275" s="100">
        <f t="shared" si="31"/>
        <v>2.258963446627412</v>
      </c>
      <c r="K275" s="100">
        <f t="shared" si="32"/>
        <v>9.4208606856309256</v>
      </c>
      <c r="L275" s="102">
        <v>0</v>
      </c>
      <c r="M275" s="77">
        <v>5953</v>
      </c>
      <c r="N275" s="77">
        <v>32795</v>
      </c>
      <c r="O275" s="77">
        <v>38748</v>
      </c>
      <c r="P275" s="77">
        <v>35881</v>
      </c>
      <c r="Q275" s="77">
        <v>1862</v>
      </c>
      <c r="R275" s="100">
        <f t="shared" si="33"/>
        <v>0.10855243980644785</v>
      </c>
      <c r="S275" s="77">
        <v>3000</v>
      </c>
      <c r="T275" s="71">
        <f t="shared" ref="T275:T306" si="36">S275/AF275</f>
        <v>0.17489651955926078</v>
      </c>
      <c r="U275" s="77">
        <v>2046</v>
      </c>
      <c r="V275" s="77">
        <v>2143</v>
      </c>
      <c r="W275" s="77">
        <v>31556</v>
      </c>
      <c r="X275" s="77">
        <v>9687</v>
      </c>
      <c r="Y275" s="101">
        <f t="shared" si="34"/>
        <v>1.8396781904040109</v>
      </c>
      <c r="Z275" s="101">
        <f t="shared" si="35"/>
        <v>7.6722586919523463</v>
      </c>
      <c r="AA275" s="77">
        <v>8632</v>
      </c>
      <c r="AB275" s="2" t="s">
        <v>872</v>
      </c>
      <c r="AC275" s="106">
        <v>6326</v>
      </c>
      <c r="AD275" s="77">
        <v>37743</v>
      </c>
      <c r="AE275" s="77">
        <v>4113</v>
      </c>
      <c r="AF275" s="4">
        <v>17153</v>
      </c>
    </row>
    <row r="276" spans="1:32" ht="13.5" thickBot="1" x14ac:dyDescent="0.25">
      <c r="A276" s="2" t="s">
        <v>437</v>
      </c>
      <c r="B276" s="1" t="s">
        <v>436</v>
      </c>
      <c r="C276" s="2" t="s">
        <v>29</v>
      </c>
      <c r="D276" s="4">
        <v>2568</v>
      </c>
      <c r="E276" s="4">
        <v>2317</v>
      </c>
      <c r="F276" s="4">
        <v>954</v>
      </c>
      <c r="G276" s="4">
        <v>5839</v>
      </c>
      <c r="H276" s="100">
        <f>Table3[[#This Row],[Circulation of Children''s Materials]]/Table3[[#This Row],[Total Population Served]]</f>
        <v>0.10122590563285901</v>
      </c>
      <c r="I276" s="100">
        <f>Table3[[#This Row],[Circulation of Electronic Materials]]/Table3[[#This Row],[Total Population Served]]</f>
        <v>3.7604950924356499E-2</v>
      </c>
      <c r="J276" s="100">
        <f t="shared" si="31"/>
        <v>0.23016279711458867</v>
      </c>
      <c r="K276" s="100">
        <f t="shared" si="32"/>
        <v>0.84111207144915012</v>
      </c>
      <c r="L276" s="103" t="s">
        <v>2632</v>
      </c>
      <c r="M276" s="4">
        <v>954</v>
      </c>
      <c r="N276" s="4">
        <v>4885</v>
      </c>
      <c r="O276" s="4">
        <v>5839</v>
      </c>
      <c r="P276" s="4">
        <v>35397</v>
      </c>
      <c r="Q276" s="4">
        <v>19233</v>
      </c>
      <c r="R276" s="100">
        <f t="shared" si="33"/>
        <v>0.75813000118254559</v>
      </c>
      <c r="S276" s="4">
        <v>7029</v>
      </c>
      <c r="T276" s="71">
        <f t="shared" si="36"/>
        <v>0.27707044030115496</v>
      </c>
      <c r="U276" s="4">
        <v>1985</v>
      </c>
      <c r="V276" s="4">
        <v>2924</v>
      </c>
      <c r="W276" s="4">
        <v>9896</v>
      </c>
      <c r="X276" s="77">
        <v>0</v>
      </c>
      <c r="Y276" s="101">
        <f t="shared" si="34"/>
        <v>0.39008238401198314</v>
      </c>
      <c r="Z276" s="101">
        <f t="shared" si="35"/>
        <v>1.425525785076347</v>
      </c>
      <c r="AA276" s="4">
        <v>12982</v>
      </c>
      <c r="AB276" s="2" t="s">
        <v>872</v>
      </c>
      <c r="AC276" s="108" t="s">
        <v>2632</v>
      </c>
      <c r="AD276" s="4">
        <v>54630</v>
      </c>
      <c r="AE276" s="4">
        <v>6942</v>
      </c>
      <c r="AF276" s="4">
        <v>25369</v>
      </c>
    </row>
    <row r="277" spans="1:32" ht="13.5" thickBot="1" x14ac:dyDescent="0.25">
      <c r="A277" s="2" t="s">
        <v>453</v>
      </c>
      <c r="B277" s="1" t="s">
        <v>452</v>
      </c>
      <c r="C277" s="2" t="s">
        <v>29</v>
      </c>
      <c r="D277" s="4">
        <v>112357</v>
      </c>
      <c r="E277" s="4">
        <v>89167</v>
      </c>
      <c r="F277" s="4">
        <v>175158</v>
      </c>
      <c r="G277" s="4">
        <v>376682</v>
      </c>
      <c r="H277" s="100">
        <f>Table3[[#This Row],[Circulation of Children''s Materials]]/Table3[[#This Row],[Total Population Served]]</f>
        <v>5.0479378201096239</v>
      </c>
      <c r="I277" s="100">
        <f>Table3[[#This Row],[Circulation of Electronic Materials]]/Table3[[#This Row],[Total Population Served]]</f>
        <v>7.8694402012759461</v>
      </c>
      <c r="J277" s="100">
        <f t="shared" si="31"/>
        <v>16.923443256357263</v>
      </c>
      <c r="K277" s="100">
        <f t="shared" si="32"/>
        <v>56.053869047619045</v>
      </c>
      <c r="L277" s="102">
        <v>104726</v>
      </c>
      <c r="M277" s="4">
        <v>279884</v>
      </c>
      <c r="N277" s="4">
        <v>201524</v>
      </c>
      <c r="O277" s="4">
        <v>481408</v>
      </c>
      <c r="P277" s="4">
        <v>93539</v>
      </c>
      <c r="Q277" s="4">
        <v>59685</v>
      </c>
      <c r="R277" s="100">
        <f t="shared" si="33"/>
        <v>2.681507772486297</v>
      </c>
      <c r="S277" s="77">
        <v>3151</v>
      </c>
      <c r="T277" s="71">
        <f t="shared" si="36"/>
        <v>0.14156707700602031</v>
      </c>
      <c r="U277" s="77">
        <v>1451</v>
      </c>
      <c r="V277" s="4">
        <v>2994</v>
      </c>
      <c r="W277" s="4">
        <v>115000</v>
      </c>
      <c r="X277" s="77">
        <v>154697</v>
      </c>
      <c r="Y277" s="101">
        <f t="shared" si="34"/>
        <v>5.1666816425554858</v>
      </c>
      <c r="Z277" s="101">
        <f t="shared" si="35"/>
        <v>17.113095238095237</v>
      </c>
      <c r="AA277" s="77">
        <v>23180</v>
      </c>
      <c r="AB277" s="2" t="s">
        <v>872</v>
      </c>
      <c r="AC277" s="106">
        <v>26000</v>
      </c>
      <c r="AD277" s="4">
        <v>153224</v>
      </c>
      <c r="AE277" s="4">
        <v>6720</v>
      </c>
      <c r="AF277" s="4">
        <v>22258</v>
      </c>
    </row>
    <row r="278" spans="1:32" ht="13.5" thickBot="1" x14ac:dyDescent="0.25">
      <c r="A278" s="2" t="s">
        <v>467</v>
      </c>
      <c r="B278" s="1" t="s">
        <v>466</v>
      </c>
      <c r="C278" s="2" t="s">
        <v>29</v>
      </c>
      <c r="D278" s="77">
        <v>35630</v>
      </c>
      <c r="E278" s="77">
        <v>46663</v>
      </c>
      <c r="F278" s="77">
        <v>13088</v>
      </c>
      <c r="G278" s="77">
        <v>95381</v>
      </c>
      <c r="H278" s="100">
        <f>Table3[[#This Row],[Circulation of Children''s Materials]]/Table3[[#This Row],[Total Population Served]]</f>
        <v>2.4496390512203505</v>
      </c>
      <c r="I278" s="100">
        <f>Table3[[#This Row],[Circulation of Electronic Materials]]/Table3[[#This Row],[Total Population Served]]</f>
        <v>0.89982811962873843</v>
      </c>
      <c r="J278" s="100">
        <f t="shared" si="31"/>
        <v>6.5576486765211417</v>
      </c>
      <c r="K278" s="100">
        <f t="shared" si="32"/>
        <v>16.470557762044553</v>
      </c>
      <c r="L278" s="102">
        <v>19758</v>
      </c>
      <c r="M278" s="77">
        <v>32846</v>
      </c>
      <c r="N278" s="77">
        <v>82293</v>
      </c>
      <c r="O278" s="77">
        <v>115139</v>
      </c>
      <c r="P278" s="77">
        <v>48720</v>
      </c>
      <c r="Q278" s="77">
        <v>16111</v>
      </c>
      <c r="R278" s="100">
        <f t="shared" si="33"/>
        <v>1.1076658645582675</v>
      </c>
      <c r="S278" s="77">
        <v>9295</v>
      </c>
      <c r="T278" s="71">
        <f t="shared" si="36"/>
        <v>0.639051220350636</v>
      </c>
      <c r="U278" s="77">
        <v>9002</v>
      </c>
      <c r="V278" s="77">
        <v>11020</v>
      </c>
      <c r="W278" s="77">
        <v>33177</v>
      </c>
      <c r="X278" s="77">
        <v>50820</v>
      </c>
      <c r="Y278" s="101">
        <f t="shared" si="34"/>
        <v>2.280990030938467</v>
      </c>
      <c r="Z278" s="101">
        <f t="shared" si="35"/>
        <v>5.7290623381108619</v>
      </c>
      <c r="AA278" s="77">
        <v>6650</v>
      </c>
      <c r="AB278" s="2" t="s">
        <v>872</v>
      </c>
      <c r="AC278" s="106">
        <v>802</v>
      </c>
      <c r="AD278" s="77">
        <v>64831</v>
      </c>
      <c r="AE278" s="77">
        <v>5791</v>
      </c>
      <c r="AF278" s="4">
        <v>14545</v>
      </c>
    </row>
    <row r="279" spans="1:32" ht="13.5" thickBot="1" x14ac:dyDescent="0.25">
      <c r="A279" s="2" t="s">
        <v>474</v>
      </c>
      <c r="B279" s="1" t="s">
        <v>473</v>
      </c>
      <c r="C279" s="2" t="s">
        <v>29</v>
      </c>
      <c r="D279" s="77">
        <v>23527</v>
      </c>
      <c r="E279" s="77">
        <v>27232</v>
      </c>
      <c r="F279" s="77">
        <v>5561</v>
      </c>
      <c r="G279" s="77">
        <v>56320</v>
      </c>
      <c r="H279" s="100">
        <f>Table3[[#This Row],[Circulation of Children''s Materials]]/Table3[[#This Row],[Total Population Served]]</f>
        <v>1.7489592625631876</v>
      </c>
      <c r="I279" s="100">
        <f>Table3[[#This Row],[Circulation of Electronic Materials]]/Table3[[#This Row],[Total Population Served]]</f>
        <v>0.4133957775795421</v>
      </c>
      <c r="J279" s="100">
        <f t="shared" si="31"/>
        <v>4.1867380315194769</v>
      </c>
      <c r="K279" s="100">
        <f t="shared" si="32"/>
        <v>11.35483870967742</v>
      </c>
      <c r="L279" s="102">
        <v>9281</v>
      </c>
      <c r="M279" s="77">
        <v>14842</v>
      </c>
      <c r="N279" s="77">
        <v>50759</v>
      </c>
      <c r="O279" s="77">
        <v>65601</v>
      </c>
      <c r="P279" s="77">
        <v>44422</v>
      </c>
      <c r="Q279" s="77">
        <v>12290</v>
      </c>
      <c r="R279" s="100">
        <f t="shared" si="33"/>
        <v>0.91361879274457325</v>
      </c>
      <c r="S279" s="77">
        <v>3983</v>
      </c>
      <c r="T279" s="71">
        <f t="shared" si="36"/>
        <v>0.29608980077311925</v>
      </c>
      <c r="U279" s="77">
        <v>5913</v>
      </c>
      <c r="V279" s="77">
        <v>8229</v>
      </c>
      <c r="W279" s="77">
        <v>67295</v>
      </c>
      <c r="X279" s="77">
        <v>41437</v>
      </c>
      <c r="Y279" s="101">
        <f t="shared" si="34"/>
        <v>5.0026018435920312</v>
      </c>
      <c r="Z279" s="101">
        <f t="shared" si="35"/>
        <v>13.567540322580646</v>
      </c>
      <c r="AA279" s="77">
        <v>6034</v>
      </c>
      <c r="AB279" s="2" t="s">
        <v>872</v>
      </c>
      <c r="AC279" s="106">
        <v>16787</v>
      </c>
      <c r="AD279" s="77">
        <v>56712</v>
      </c>
      <c r="AE279" s="77">
        <v>4960</v>
      </c>
      <c r="AF279" s="4">
        <v>13452</v>
      </c>
    </row>
    <row r="280" spans="1:32" ht="13.5" thickBot="1" x14ac:dyDescent="0.25">
      <c r="A280" s="2" t="s">
        <v>488</v>
      </c>
      <c r="B280" s="1" t="s">
        <v>487</v>
      </c>
      <c r="C280" s="2" t="s">
        <v>29</v>
      </c>
      <c r="D280" s="77">
        <v>27023</v>
      </c>
      <c r="E280" s="77">
        <v>95023</v>
      </c>
      <c r="F280" s="77">
        <v>16667</v>
      </c>
      <c r="G280" s="77">
        <v>138713</v>
      </c>
      <c r="H280" s="100">
        <f>Table3[[#This Row],[Circulation of Children''s Materials]]/Table3[[#This Row],[Total Population Served]]</f>
        <v>1.1751685148945423</v>
      </c>
      <c r="I280" s="100">
        <f>Table3[[#This Row],[Circulation of Electronic Materials]]/Table3[[#This Row],[Total Population Served]]</f>
        <v>0.72480974124809738</v>
      </c>
      <c r="J280" s="100">
        <f t="shared" si="31"/>
        <v>6.0323113720373991</v>
      </c>
      <c r="K280" s="100">
        <f t="shared" si="32"/>
        <v>12.69219507731723</v>
      </c>
      <c r="L280" s="102">
        <v>26152</v>
      </c>
      <c r="M280" s="77">
        <v>42819</v>
      </c>
      <c r="N280" s="77">
        <v>122046</v>
      </c>
      <c r="O280" s="77">
        <v>164865</v>
      </c>
      <c r="P280" s="77">
        <v>114360</v>
      </c>
      <c r="Q280" s="77">
        <v>39844</v>
      </c>
      <c r="R280" s="100">
        <f t="shared" si="33"/>
        <v>1.7327245053272451</v>
      </c>
      <c r="S280" s="77">
        <v>2749</v>
      </c>
      <c r="T280" s="71">
        <f t="shared" si="36"/>
        <v>0.11954772776690585</v>
      </c>
      <c r="U280" s="77">
        <v>5169</v>
      </c>
      <c r="V280" s="77">
        <v>6885</v>
      </c>
      <c r="W280" s="77">
        <v>83686</v>
      </c>
      <c r="X280" s="77">
        <v>45308</v>
      </c>
      <c r="Y280" s="101">
        <f t="shared" si="34"/>
        <v>3.6393128941074147</v>
      </c>
      <c r="Z280" s="101">
        <f t="shared" si="35"/>
        <v>7.657242199652301</v>
      </c>
      <c r="AA280" s="77">
        <v>13608</v>
      </c>
      <c r="AB280" s="2" t="s">
        <v>872</v>
      </c>
      <c r="AC280" s="106">
        <v>21515</v>
      </c>
      <c r="AD280" s="77">
        <v>154204</v>
      </c>
      <c r="AE280" s="77">
        <v>10929</v>
      </c>
      <c r="AF280" s="4">
        <v>22995</v>
      </c>
    </row>
    <row r="281" spans="1:32" ht="13.5" thickBot="1" x14ac:dyDescent="0.25">
      <c r="A281" s="2" t="s">
        <v>498</v>
      </c>
      <c r="B281" s="1" t="s">
        <v>497</v>
      </c>
      <c r="C281" s="2" t="s">
        <v>29</v>
      </c>
      <c r="D281" s="77">
        <v>37610</v>
      </c>
      <c r="E281" s="77">
        <v>77666</v>
      </c>
      <c r="F281" s="77">
        <v>9395</v>
      </c>
      <c r="G281" s="77">
        <v>124671</v>
      </c>
      <c r="H281" s="100">
        <f>Table3[[#This Row],[Circulation of Children''s Materials]]/Table3[[#This Row],[Total Population Served]]</f>
        <v>2.5160556596200161</v>
      </c>
      <c r="I281" s="100">
        <f>Table3[[#This Row],[Circulation of Electronic Materials]]/Table3[[#This Row],[Total Population Served]]</f>
        <v>0.62851217554187855</v>
      </c>
      <c r="J281" s="100">
        <f t="shared" si="31"/>
        <v>8.34031308536259</v>
      </c>
      <c r="K281" s="100">
        <f t="shared" si="32"/>
        <v>18.253440702781845</v>
      </c>
      <c r="L281" s="102">
        <v>0</v>
      </c>
      <c r="M281" s="77">
        <v>9395</v>
      </c>
      <c r="N281" s="77">
        <v>115276</v>
      </c>
      <c r="O281" s="77">
        <v>124671</v>
      </c>
      <c r="P281" s="77">
        <v>57859</v>
      </c>
      <c r="Q281" s="77">
        <v>11768</v>
      </c>
      <c r="R281" s="100">
        <f t="shared" si="33"/>
        <v>0.78726251003478731</v>
      </c>
      <c r="S281" s="77">
        <v>32816</v>
      </c>
      <c r="T281" s="71">
        <f t="shared" si="36"/>
        <v>2.1953438587101952</v>
      </c>
      <c r="U281" s="77">
        <v>6148</v>
      </c>
      <c r="V281" s="77">
        <v>5380</v>
      </c>
      <c r="W281" s="77">
        <v>131440</v>
      </c>
      <c r="X281" s="77">
        <v>57212</v>
      </c>
      <c r="Y281" s="101">
        <f t="shared" si="34"/>
        <v>8.7931495852287931</v>
      </c>
      <c r="Z281" s="101">
        <f t="shared" si="35"/>
        <v>19.244509516837482</v>
      </c>
      <c r="AA281" s="77">
        <v>45420</v>
      </c>
      <c r="AB281" s="2" t="s">
        <v>872</v>
      </c>
      <c r="AC281" s="106">
        <v>15000</v>
      </c>
      <c r="AD281" s="77">
        <v>69627</v>
      </c>
      <c r="AE281" s="77">
        <v>6830</v>
      </c>
      <c r="AF281" s="4">
        <v>14948</v>
      </c>
    </row>
    <row r="282" spans="1:32" ht="13.5" thickBot="1" x14ac:dyDescent="0.25">
      <c r="A282" s="2" t="s">
        <v>502</v>
      </c>
      <c r="B282" s="1" t="s">
        <v>501</v>
      </c>
      <c r="C282" s="2" t="s">
        <v>29</v>
      </c>
      <c r="D282" s="77">
        <v>43916</v>
      </c>
      <c r="E282" s="77">
        <v>67486</v>
      </c>
      <c r="F282" s="77">
        <v>14635</v>
      </c>
      <c r="G282" s="77">
        <v>126037</v>
      </c>
      <c r="H282" s="100">
        <f>Table3[[#This Row],[Circulation of Children''s Materials]]/Table3[[#This Row],[Total Population Served]]</f>
        <v>2.3876474745827219</v>
      </c>
      <c r="I282" s="100">
        <f>Table3[[#This Row],[Circulation of Electronic Materials]]/Table3[[#This Row],[Total Population Served]]</f>
        <v>0.79568314032512366</v>
      </c>
      <c r="J282" s="100">
        <f t="shared" si="31"/>
        <v>6.852443864513674</v>
      </c>
      <c r="K282" s="100">
        <f t="shared" si="32"/>
        <v>21.193374810828988</v>
      </c>
      <c r="L282" s="102">
        <v>7606</v>
      </c>
      <c r="M282" s="77">
        <v>22241</v>
      </c>
      <c r="N282" s="77">
        <v>111402</v>
      </c>
      <c r="O282" s="77">
        <v>133643</v>
      </c>
      <c r="P282" s="77">
        <v>99560</v>
      </c>
      <c r="Q282" s="77">
        <v>2264</v>
      </c>
      <c r="R282" s="100">
        <f t="shared" si="33"/>
        <v>0.12309030609470994</v>
      </c>
      <c r="S282" s="77">
        <v>25522</v>
      </c>
      <c r="T282" s="71">
        <f t="shared" si="36"/>
        <v>1.3875931060729625</v>
      </c>
      <c r="U282" s="77">
        <v>4257</v>
      </c>
      <c r="V282" s="77">
        <v>4455</v>
      </c>
      <c r="W282" s="77">
        <v>98066</v>
      </c>
      <c r="X282" s="77">
        <v>140618</v>
      </c>
      <c r="Y282" s="101">
        <f t="shared" si="34"/>
        <v>5.3317022780405585</v>
      </c>
      <c r="Z282" s="101">
        <f t="shared" si="35"/>
        <v>16.489994955439716</v>
      </c>
      <c r="AA282" s="77">
        <v>12395</v>
      </c>
      <c r="AB282" s="2" t="s">
        <v>872</v>
      </c>
      <c r="AC282" s="106">
        <v>15000</v>
      </c>
      <c r="AD282" s="77">
        <v>101824</v>
      </c>
      <c r="AE282" s="77">
        <v>5947</v>
      </c>
      <c r="AF282" s="4">
        <v>18393</v>
      </c>
    </row>
    <row r="283" spans="1:32" ht="13.5" thickBot="1" x14ac:dyDescent="0.25">
      <c r="A283" s="2" t="s">
        <v>514</v>
      </c>
      <c r="B283" s="1" t="s">
        <v>513</v>
      </c>
      <c r="C283" s="2" t="s">
        <v>29</v>
      </c>
      <c r="D283" s="4">
        <v>36381</v>
      </c>
      <c r="E283" s="4">
        <v>49423</v>
      </c>
      <c r="F283" s="4">
        <v>2200</v>
      </c>
      <c r="G283" s="4">
        <v>88004</v>
      </c>
      <c r="H283" s="100">
        <f>Table3[[#This Row],[Circulation of Children''s Materials]]/Table3[[#This Row],[Total Population Served]]</f>
        <v>2.5292686318131259</v>
      </c>
      <c r="I283" s="100">
        <f>Table3[[#This Row],[Circulation of Electronic Materials]]/Table3[[#This Row],[Total Population Served]]</f>
        <v>0.15294771968854282</v>
      </c>
      <c r="J283" s="100">
        <f t="shared" si="31"/>
        <v>6.1181868743047829</v>
      </c>
      <c r="K283" s="100">
        <f t="shared" si="32"/>
        <v>21.740118577075098</v>
      </c>
      <c r="L283" s="102">
        <v>220</v>
      </c>
      <c r="M283" s="4">
        <v>2420</v>
      </c>
      <c r="N283" s="4">
        <v>85804</v>
      </c>
      <c r="O283" s="4">
        <v>88224</v>
      </c>
      <c r="P283" s="4">
        <v>53999</v>
      </c>
      <c r="Q283" s="4">
        <v>9042</v>
      </c>
      <c r="R283" s="100">
        <f t="shared" si="33"/>
        <v>0.62861512791991103</v>
      </c>
      <c r="S283" s="4">
        <v>4825</v>
      </c>
      <c r="T283" s="71">
        <f t="shared" si="36"/>
        <v>0.33544215795328142</v>
      </c>
      <c r="U283" s="4">
        <v>2298</v>
      </c>
      <c r="V283" s="4">
        <v>3497</v>
      </c>
      <c r="W283" s="4">
        <v>43909</v>
      </c>
      <c r="X283" s="77">
        <v>20397</v>
      </c>
      <c r="Y283" s="101">
        <f t="shared" si="34"/>
        <v>3.0526279199110125</v>
      </c>
      <c r="Z283" s="101">
        <f t="shared" si="35"/>
        <v>10.847084980237154</v>
      </c>
      <c r="AA283" s="4">
        <v>6116</v>
      </c>
      <c r="AB283" s="2" t="s">
        <v>872</v>
      </c>
      <c r="AC283" s="106">
        <v>6966</v>
      </c>
      <c r="AD283" s="4">
        <v>63041</v>
      </c>
      <c r="AE283" s="4">
        <v>4048</v>
      </c>
      <c r="AF283" s="4">
        <v>14384</v>
      </c>
    </row>
    <row r="284" spans="1:32" ht="13.5" thickBot="1" x14ac:dyDescent="0.25">
      <c r="A284" s="2" t="s">
        <v>518</v>
      </c>
      <c r="B284" s="1" t="s">
        <v>517</v>
      </c>
      <c r="C284" s="2" t="s">
        <v>29</v>
      </c>
      <c r="D284" s="4">
        <v>38341</v>
      </c>
      <c r="E284" s="4">
        <v>38058</v>
      </c>
      <c r="F284" s="4">
        <v>5940</v>
      </c>
      <c r="G284" s="4">
        <v>82339</v>
      </c>
      <c r="H284" s="100">
        <f>Table3[[#This Row],[Circulation of Children''s Materials]]/Table3[[#This Row],[Total Population Served]]</f>
        <v>2.1895380046827708</v>
      </c>
      <c r="I284" s="100">
        <f>Table3[[#This Row],[Circulation of Electronic Materials]]/Table3[[#This Row],[Total Population Served]]</f>
        <v>0.33921535035120781</v>
      </c>
      <c r="J284" s="100">
        <f t="shared" si="31"/>
        <v>4.7021300896579294</v>
      </c>
      <c r="K284" s="100">
        <f t="shared" si="32"/>
        <v>13.691220485533755</v>
      </c>
      <c r="L284" s="102">
        <v>0</v>
      </c>
      <c r="M284" s="4">
        <v>5940</v>
      </c>
      <c r="N284" s="4">
        <v>76399</v>
      </c>
      <c r="O284" s="4">
        <v>82339</v>
      </c>
      <c r="P284" s="4">
        <v>36691</v>
      </c>
      <c r="Q284" s="4">
        <v>15912</v>
      </c>
      <c r="R284" s="100">
        <f t="shared" si="33"/>
        <v>0.90868596881959907</v>
      </c>
      <c r="S284" s="4">
        <v>5731</v>
      </c>
      <c r="T284" s="71">
        <f t="shared" si="36"/>
        <v>0.32727999543144309</v>
      </c>
      <c r="U284" s="4">
        <v>4164</v>
      </c>
      <c r="V284" s="4">
        <v>4918</v>
      </c>
      <c r="W284" s="4">
        <v>43981</v>
      </c>
      <c r="X284" s="77">
        <v>31566</v>
      </c>
      <c r="Y284" s="101">
        <f t="shared" si="34"/>
        <v>2.5116212666324027</v>
      </c>
      <c r="Z284" s="101">
        <f t="shared" si="35"/>
        <v>7.3131027602261387</v>
      </c>
      <c r="AA284" s="4">
        <v>8857</v>
      </c>
      <c r="AB284" s="2" t="s">
        <v>872</v>
      </c>
      <c r="AC284" s="106">
        <v>10085</v>
      </c>
      <c r="AD284" s="4">
        <v>52603</v>
      </c>
      <c r="AE284" s="4">
        <v>6014</v>
      </c>
      <c r="AF284" s="4">
        <v>17511</v>
      </c>
    </row>
    <row r="285" spans="1:32" ht="13.5" thickBot="1" x14ac:dyDescent="0.25">
      <c r="A285" s="2" t="s">
        <v>520</v>
      </c>
      <c r="B285" s="1" t="s">
        <v>519</v>
      </c>
      <c r="C285" s="2" t="s">
        <v>29</v>
      </c>
      <c r="D285" s="4">
        <v>108904</v>
      </c>
      <c r="E285" s="4">
        <v>73370</v>
      </c>
      <c r="F285" s="4">
        <v>10644</v>
      </c>
      <c r="G285" s="4">
        <v>192918</v>
      </c>
      <c r="H285" s="100">
        <f>Table3[[#This Row],[Circulation of Children''s Materials]]/Table3[[#This Row],[Total Population Served]]</f>
        <v>6.9206914082358919</v>
      </c>
      <c r="I285" s="100">
        <f>Table3[[#This Row],[Circulation of Electronic Materials]]/Table3[[#This Row],[Total Population Served]]</f>
        <v>0.6764107778342654</v>
      </c>
      <c r="J285" s="100">
        <f t="shared" si="31"/>
        <v>12.259659379766141</v>
      </c>
      <c r="K285" s="100">
        <f t="shared" si="32"/>
        <v>27.995646495428819</v>
      </c>
      <c r="L285" s="102">
        <v>0</v>
      </c>
      <c r="M285" s="4">
        <v>10644</v>
      </c>
      <c r="N285" s="4">
        <v>182274</v>
      </c>
      <c r="O285" s="4">
        <v>192918</v>
      </c>
      <c r="P285" s="4">
        <v>81025</v>
      </c>
      <c r="Q285" s="4">
        <v>20841</v>
      </c>
      <c r="R285" s="100">
        <f t="shared" si="33"/>
        <v>1.3244153533299441</v>
      </c>
      <c r="S285" s="4">
        <v>19617</v>
      </c>
      <c r="T285" s="71">
        <f t="shared" si="36"/>
        <v>1.2466319267920691</v>
      </c>
      <c r="U285" s="4">
        <v>16240</v>
      </c>
      <c r="V285" s="4">
        <v>16701</v>
      </c>
      <c r="W285" s="4">
        <v>130314</v>
      </c>
      <c r="X285" s="77">
        <v>115315</v>
      </c>
      <c r="Y285" s="101">
        <f t="shared" si="34"/>
        <v>8.2812658871377725</v>
      </c>
      <c r="Z285" s="101">
        <f t="shared" si="35"/>
        <v>18.910753156290813</v>
      </c>
      <c r="AA285" s="4">
        <v>12000</v>
      </c>
      <c r="AB285" s="2" t="s">
        <v>872</v>
      </c>
      <c r="AC285" s="106">
        <v>8954</v>
      </c>
      <c r="AD285" s="4">
        <v>101866</v>
      </c>
      <c r="AE285" s="4">
        <v>6891</v>
      </c>
      <c r="AF285" s="4">
        <v>15736</v>
      </c>
    </row>
    <row r="286" spans="1:32" ht="13.5" thickBot="1" x14ac:dyDescent="0.25">
      <c r="A286" s="2" t="s">
        <v>524</v>
      </c>
      <c r="B286" s="1" t="s">
        <v>523</v>
      </c>
      <c r="C286" s="2" t="s">
        <v>29</v>
      </c>
      <c r="D286" s="77">
        <v>7680</v>
      </c>
      <c r="E286" s="77">
        <v>17433</v>
      </c>
      <c r="F286" s="77">
        <v>2900</v>
      </c>
      <c r="G286" s="77">
        <v>28013</v>
      </c>
      <c r="H286" s="100">
        <f>Table3[[#This Row],[Circulation of Children''s Materials]]/Table3[[#This Row],[Total Population Served]]</f>
        <v>0.58639383064824002</v>
      </c>
      <c r="I286" s="100">
        <f>Table3[[#This Row],[Circulation of Electronic Materials]]/Table3[[#This Row],[Total Population Served]]</f>
        <v>0.22142475376040316</v>
      </c>
      <c r="J286" s="100">
        <f t="shared" si="31"/>
        <v>2.1388867679621288</v>
      </c>
      <c r="K286" s="100">
        <f t="shared" si="32"/>
        <v>6.416170407695831</v>
      </c>
      <c r="L286" s="102">
        <v>2875</v>
      </c>
      <c r="M286" s="77">
        <v>5775</v>
      </c>
      <c r="N286" s="77">
        <v>25113</v>
      </c>
      <c r="O286" s="77">
        <v>30888</v>
      </c>
      <c r="P286" s="77">
        <v>32015</v>
      </c>
      <c r="Q286" s="77">
        <v>17276</v>
      </c>
      <c r="R286" s="100">
        <f t="shared" si="33"/>
        <v>1.3190807055050775</v>
      </c>
      <c r="S286" s="77">
        <v>2300</v>
      </c>
      <c r="T286" s="71">
        <f t="shared" si="36"/>
        <v>0.17561273574100938</v>
      </c>
      <c r="U286" s="77">
        <v>850</v>
      </c>
      <c r="V286" s="77">
        <v>1120</v>
      </c>
      <c r="W286" s="77">
        <v>44650</v>
      </c>
      <c r="X286" s="77">
        <v>23300</v>
      </c>
      <c r="Y286" s="101">
        <f t="shared" si="34"/>
        <v>3.4091776742765521</v>
      </c>
      <c r="Z286" s="101">
        <f t="shared" si="35"/>
        <v>10.226752175904718</v>
      </c>
      <c r="AA286" s="77">
        <v>4567</v>
      </c>
      <c r="AB286" s="2" t="s">
        <v>872</v>
      </c>
      <c r="AC286" s="106">
        <v>6200</v>
      </c>
      <c r="AD286" s="77">
        <v>49291</v>
      </c>
      <c r="AE286" s="77">
        <v>4366</v>
      </c>
      <c r="AF286" s="4">
        <v>13097</v>
      </c>
    </row>
    <row r="287" spans="1:32" ht="13.5" thickBot="1" x14ac:dyDescent="0.25">
      <c r="A287" s="2" t="s">
        <v>534</v>
      </c>
      <c r="B287" s="1" t="s">
        <v>533</v>
      </c>
      <c r="C287" s="2" t="s">
        <v>29</v>
      </c>
      <c r="D287" s="77">
        <v>19649</v>
      </c>
      <c r="E287" s="77">
        <v>58184</v>
      </c>
      <c r="F287" s="77">
        <v>6767</v>
      </c>
      <c r="G287" s="77">
        <v>84600</v>
      </c>
      <c r="H287" s="100">
        <f>Table3[[#This Row],[Circulation of Children''s Materials]]/Table3[[#This Row],[Total Population Served]]</f>
        <v>0.85964912280701755</v>
      </c>
      <c r="I287" s="100">
        <f>Table3[[#This Row],[Circulation of Electronic Materials]]/Table3[[#This Row],[Total Population Served]]</f>
        <v>0.2960581003631273</v>
      </c>
      <c r="J287" s="100">
        <f t="shared" si="31"/>
        <v>3.7012731329570809</v>
      </c>
      <c r="K287" s="100">
        <f t="shared" si="32"/>
        <v>18.951612903225808</v>
      </c>
      <c r="L287" s="103" t="s">
        <v>2632</v>
      </c>
      <c r="M287" s="77">
        <v>6767</v>
      </c>
      <c r="N287" s="77">
        <v>77833</v>
      </c>
      <c r="O287" s="77">
        <v>84600</v>
      </c>
      <c r="P287" s="77">
        <v>123306</v>
      </c>
      <c r="Q287" s="77">
        <v>18200</v>
      </c>
      <c r="R287" s="100">
        <f t="shared" si="33"/>
        <v>0.79625497659360367</v>
      </c>
      <c r="S287" s="77">
        <v>3196</v>
      </c>
      <c r="T287" s="71">
        <f t="shared" si="36"/>
        <v>0.13982587391171195</v>
      </c>
      <c r="U287" s="77">
        <v>10204</v>
      </c>
      <c r="V287" s="77">
        <v>5710</v>
      </c>
      <c r="W287" s="77">
        <v>112103</v>
      </c>
      <c r="X287" s="77">
        <v>53851</v>
      </c>
      <c r="Y287" s="101">
        <f t="shared" si="34"/>
        <v>4.9045369033556456</v>
      </c>
      <c r="Z287" s="101">
        <f t="shared" si="35"/>
        <v>25.112679211469533</v>
      </c>
      <c r="AA287" s="77">
        <v>11373</v>
      </c>
      <c r="AB287" s="2" t="s">
        <v>872</v>
      </c>
      <c r="AC287" s="106">
        <v>32939</v>
      </c>
      <c r="AD287" s="77">
        <v>141506</v>
      </c>
      <c r="AE287" s="77">
        <v>4464</v>
      </c>
      <c r="AF287" s="4">
        <v>22857</v>
      </c>
    </row>
    <row r="288" spans="1:32" ht="13.5" thickBot="1" x14ac:dyDescent="0.25">
      <c r="A288" s="2" t="s">
        <v>548</v>
      </c>
      <c r="B288" s="1" t="s">
        <v>547</v>
      </c>
      <c r="C288" s="2" t="s">
        <v>29</v>
      </c>
      <c r="D288" s="77">
        <v>49254</v>
      </c>
      <c r="E288" s="77">
        <v>85285</v>
      </c>
      <c r="F288" s="77">
        <v>13184</v>
      </c>
      <c r="G288" s="77">
        <v>147723</v>
      </c>
      <c r="H288" s="100">
        <f>Table3[[#This Row],[Circulation of Children''s Materials]]/Table3[[#This Row],[Total Population Served]]</f>
        <v>1.9175426302265826</v>
      </c>
      <c r="I288" s="100">
        <f>Table3[[#This Row],[Circulation of Electronic Materials]]/Table3[[#This Row],[Total Population Served]]</f>
        <v>0.51327571439694775</v>
      </c>
      <c r="J288" s="100">
        <f t="shared" si="31"/>
        <v>5.7511095538425598</v>
      </c>
      <c r="K288" s="100">
        <f t="shared" si="32"/>
        <v>7.6991191952884765</v>
      </c>
      <c r="L288" s="102">
        <v>2</v>
      </c>
      <c r="M288" s="77">
        <v>13186</v>
      </c>
      <c r="N288" s="77">
        <v>134539</v>
      </c>
      <c r="O288" s="77">
        <v>147725</v>
      </c>
      <c r="P288" s="77">
        <v>80892</v>
      </c>
      <c r="Q288" s="77">
        <v>13619</v>
      </c>
      <c r="R288" s="100">
        <f t="shared" si="33"/>
        <v>0.53021100988865533</v>
      </c>
      <c r="S288" s="77">
        <v>29625</v>
      </c>
      <c r="T288" s="71">
        <f t="shared" si="36"/>
        <v>1.1533520205559449</v>
      </c>
      <c r="U288" s="77">
        <v>7171</v>
      </c>
      <c r="V288" s="77">
        <v>7588</v>
      </c>
      <c r="W288" s="77">
        <v>130958</v>
      </c>
      <c r="X288" s="77">
        <v>0</v>
      </c>
      <c r="Y288" s="101">
        <f t="shared" si="34"/>
        <v>5.098419372420774</v>
      </c>
      <c r="Z288" s="101">
        <f t="shared" si="35"/>
        <v>6.8253504977328401</v>
      </c>
      <c r="AA288" s="77">
        <v>30234</v>
      </c>
      <c r="AB288" s="2" t="s">
        <v>872</v>
      </c>
      <c r="AC288" s="107" t="s">
        <v>2632</v>
      </c>
      <c r="AD288" s="77">
        <v>94511</v>
      </c>
      <c r="AE288" s="77">
        <v>19187</v>
      </c>
      <c r="AF288" s="4">
        <v>25686</v>
      </c>
    </row>
    <row r="289" spans="1:32" ht="13.5" thickBot="1" x14ac:dyDescent="0.25">
      <c r="A289" s="2" t="s">
        <v>564</v>
      </c>
      <c r="B289" s="1" t="s">
        <v>563</v>
      </c>
      <c r="C289" s="2" t="s">
        <v>29</v>
      </c>
      <c r="D289" s="77">
        <v>11005</v>
      </c>
      <c r="E289" s="77">
        <v>59509</v>
      </c>
      <c r="F289" s="77">
        <v>3309</v>
      </c>
      <c r="G289" s="77">
        <v>73823</v>
      </c>
      <c r="H289" s="100">
        <f>Table3[[#This Row],[Circulation of Children''s Materials]]/Table3[[#This Row],[Total Population Served]]</f>
        <v>0.87612451237958766</v>
      </c>
      <c r="I289" s="100">
        <f>Table3[[#This Row],[Circulation of Electronic Materials]]/Table3[[#This Row],[Total Population Served]]</f>
        <v>0.26343443993312632</v>
      </c>
      <c r="J289" s="100">
        <f t="shared" si="31"/>
        <v>5.8771594618262881</v>
      </c>
      <c r="K289" s="100">
        <f t="shared" si="32"/>
        <v>17.535154394299287</v>
      </c>
      <c r="L289" s="102">
        <v>0</v>
      </c>
      <c r="M289" s="77">
        <v>3309</v>
      </c>
      <c r="N289" s="77">
        <v>70514</v>
      </c>
      <c r="O289" s="77">
        <v>73823</v>
      </c>
      <c r="P289" s="77">
        <v>83569</v>
      </c>
      <c r="Q289" s="77">
        <v>14691</v>
      </c>
      <c r="R289" s="100">
        <f t="shared" si="33"/>
        <v>1.1695724862670169</v>
      </c>
      <c r="S289" s="77">
        <v>9523</v>
      </c>
      <c r="T289" s="71">
        <f t="shared" si="36"/>
        <v>0.75814027545577578</v>
      </c>
      <c r="U289" s="77">
        <v>1723</v>
      </c>
      <c r="V289" s="77">
        <v>2844</v>
      </c>
      <c r="W289" s="77">
        <v>17797</v>
      </c>
      <c r="X289" s="77">
        <v>60888</v>
      </c>
      <c r="Y289" s="101">
        <f t="shared" si="34"/>
        <v>1.4168457925324416</v>
      </c>
      <c r="Z289" s="101">
        <f t="shared" si="35"/>
        <v>4.2273159144893109</v>
      </c>
      <c r="AA289" s="77">
        <v>9391</v>
      </c>
      <c r="AB289" s="2" t="s">
        <v>872</v>
      </c>
      <c r="AC289" s="106">
        <v>3567</v>
      </c>
      <c r="AD289" s="77">
        <v>98260</v>
      </c>
      <c r="AE289" s="77">
        <v>4210</v>
      </c>
      <c r="AF289" s="4">
        <v>12561</v>
      </c>
    </row>
    <row r="290" spans="1:32" ht="13.5" thickBot="1" x14ac:dyDescent="0.25">
      <c r="A290" s="2" t="s">
        <v>574</v>
      </c>
      <c r="B290" s="1" t="s">
        <v>573</v>
      </c>
      <c r="C290" s="2" t="s">
        <v>29</v>
      </c>
      <c r="D290" s="77">
        <v>40285</v>
      </c>
      <c r="E290" s="77">
        <v>80569</v>
      </c>
      <c r="F290" s="77">
        <v>44761</v>
      </c>
      <c r="G290" s="77">
        <v>165615</v>
      </c>
      <c r="H290" s="100">
        <f>Table3[[#This Row],[Circulation of Children''s Materials]]/Table3[[#This Row],[Total Population Served]]</f>
        <v>1.6671494785631518</v>
      </c>
      <c r="I290" s="100">
        <f>Table3[[#This Row],[Circulation of Electronic Materials]]/Table3[[#This Row],[Total Population Served]]</f>
        <v>1.852383711306075</v>
      </c>
      <c r="J290" s="100">
        <f t="shared" si="31"/>
        <v>6.8537907631186892</v>
      </c>
      <c r="K290" s="100">
        <f t="shared" si="32"/>
        <v>8.129141510823148</v>
      </c>
      <c r="L290" s="102">
        <v>154781</v>
      </c>
      <c r="M290" s="77">
        <v>199542</v>
      </c>
      <c r="N290" s="77">
        <v>120854</v>
      </c>
      <c r="O290" s="77">
        <v>320396</v>
      </c>
      <c r="P290" s="77">
        <v>92229</v>
      </c>
      <c r="Q290" s="77">
        <v>19973</v>
      </c>
      <c r="R290" s="100">
        <f t="shared" si="33"/>
        <v>0.82656017215692767</v>
      </c>
      <c r="S290" s="77">
        <v>9204</v>
      </c>
      <c r="T290" s="71">
        <f t="shared" si="36"/>
        <v>0.38089720244992553</v>
      </c>
      <c r="U290" s="77">
        <v>4768</v>
      </c>
      <c r="V290" s="77">
        <v>5694</v>
      </c>
      <c r="W290" s="77">
        <v>104270</v>
      </c>
      <c r="X290" s="77">
        <v>117381</v>
      </c>
      <c r="Y290" s="101">
        <f t="shared" si="34"/>
        <v>4.3150968382718089</v>
      </c>
      <c r="Z290" s="101">
        <f t="shared" si="35"/>
        <v>5.1180483973887005</v>
      </c>
      <c r="AA290" s="77">
        <v>22392</v>
      </c>
      <c r="AB290" s="2" t="s">
        <v>872</v>
      </c>
      <c r="AC290" s="106">
        <v>32083</v>
      </c>
      <c r="AD290" s="77">
        <v>112202</v>
      </c>
      <c r="AE290" s="77">
        <v>20373</v>
      </c>
      <c r="AF290" s="4">
        <v>24164</v>
      </c>
    </row>
    <row r="291" spans="1:32" ht="13.5" thickBot="1" x14ac:dyDescent="0.25">
      <c r="A291" s="2" t="s">
        <v>576</v>
      </c>
      <c r="B291" s="1" t="s">
        <v>575</v>
      </c>
      <c r="C291" s="2" t="s">
        <v>29</v>
      </c>
      <c r="D291" s="4">
        <v>42147</v>
      </c>
      <c r="E291" s="4">
        <v>27303</v>
      </c>
      <c r="F291" s="4">
        <v>85403</v>
      </c>
      <c r="G291" s="4">
        <v>154853</v>
      </c>
      <c r="H291" s="100">
        <f>Table3[[#This Row],[Circulation of Children''s Materials]]/Table3[[#This Row],[Total Population Served]]</f>
        <v>2.961841180604357</v>
      </c>
      <c r="I291" s="100">
        <f>Table3[[#This Row],[Circulation of Electronic Materials]]/Table3[[#This Row],[Total Population Served]]</f>
        <v>6.0016163035839778</v>
      </c>
      <c r="J291" s="100">
        <f t="shared" si="31"/>
        <v>10.882150386507378</v>
      </c>
      <c r="K291" s="100">
        <f t="shared" si="32"/>
        <v>10.248378557246856</v>
      </c>
      <c r="L291" s="102">
        <v>8667</v>
      </c>
      <c r="M291" s="4">
        <v>94070</v>
      </c>
      <c r="N291" s="4">
        <v>69450</v>
      </c>
      <c r="O291" s="4">
        <v>163520</v>
      </c>
      <c r="P291" s="4">
        <v>46077</v>
      </c>
      <c r="Q291" s="4">
        <v>631440</v>
      </c>
      <c r="R291" s="100">
        <f t="shared" si="33"/>
        <v>44.373858046380889</v>
      </c>
      <c r="S291" s="4">
        <v>3432</v>
      </c>
      <c r="T291" s="71">
        <f t="shared" si="36"/>
        <v>0.24118060435699226</v>
      </c>
      <c r="U291" s="4">
        <v>2085</v>
      </c>
      <c r="V291" s="4">
        <v>3240</v>
      </c>
      <c r="W291" s="4">
        <v>66605</v>
      </c>
      <c r="X291" s="77">
        <v>31833</v>
      </c>
      <c r="Y291" s="101">
        <f t="shared" si="34"/>
        <v>4.6806043569922702</v>
      </c>
      <c r="Z291" s="101">
        <f t="shared" si="35"/>
        <v>4.4080079417604239</v>
      </c>
      <c r="AA291" s="4">
        <v>15119</v>
      </c>
      <c r="AB291" s="2" t="s">
        <v>872</v>
      </c>
      <c r="AC291" s="106">
        <v>12437</v>
      </c>
      <c r="AD291" s="4">
        <v>677517</v>
      </c>
      <c r="AE291" s="4">
        <v>15110</v>
      </c>
      <c r="AF291" s="4">
        <v>14230</v>
      </c>
    </row>
    <row r="292" spans="1:32" ht="13.5" thickBot="1" x14ac:dyDescent="0.25">
      <c r="A292" s="2" t="s">
        <v>580</v>
      </c>
      <c r="B292" s="1" t="s">
        <v>579</v>
      </c>
      <c r="C292" s="2" t="s">
        <v>29</v>
      </c>
      <c r="D292" s="4">
        <v>65091</v>
      </c>
      <c r="E292" s="4">
        <v>130973</v>
      </c>
      <c r="F292" s="4">
        <v>18465</v>
      </c>
      <c r="G292" s="4">
        <v>214529</v>
      </c>
      <c r="H292" s="100">
        <f>Table3[[#This Row],[Circulation of Children''s Materials]]/Table3[[#This Row],[Total Population Served]]</f>
        <v>3.1711487869044137</v>
      </c>
      <c r="I292" s="100">
        <f>Table3[[#This Row],[Circulation of Electronic Materials]]/Table3[[#This Row],[Total Population Served]]</f>
        <v>0.89959076293481444</v>
      </c>
      <c r="J292" s="100">
        <f t="shared" si="31"/>
        <v>10.451573613953036</v>
      </c>
      <c r="K292" s="100">
        <f t="shared" si="32"/>
        <v>21.221584726481353</v>
      </c>
      <c r="L292" s="102">
        <v>35214</v>
      </c>
      <c r="M292" s="4">
        <v>53679</v>
      </c>
      <c r="N292" s="4">
        <v>196064</v>
      </c>
      <c r="O292" s="4">
        <v>249743</v>
      </c>
      <c r="P292" s="4">
        <v>83070</v>
      </c>
      <c r="Q292" s="4">
        <v>21911</v>
      </c>
      <c r="R292" s="100">
        <f t="shared" si="33"/>
        <v>1.0674753970573907</v>
      </c>
      <c r="S292" s="77">
        <v>24230</v>
      </c>
      <c r="T292" s="71">
        <f t="shared" si="36"/>
        <v>1.1804540582675631</v>
      </c>
      <c r="U292" s="77">
        <v>18297</v>
      </c>
      <c r="V292" s="4">
        <v>18962</v>
      </c>
      <c r="W292" s="4">
        <v>203580</v>
      </c>
      <c r="X292" s="78" t="s">
        <v>16</v>
      </c>
      <c r="Y292" s="101">
        <f t="shared" si="34"/>
        <v>9.9181525869628757</v>
      </c>
      <c r="Z292" s="101">
        <f t="shared" si="35"/>
        <v>20.138490454050846</v>
      </c>
      <c r="AA292" s="77">
        <v>11039</v>
      </c>
      <c r="AB292" s="2" t="s">
        <v>872</v>
      </c>
      <c r="AC292" s="106">
        <v>7379</v>
      </c>
      <c r="AD292" s="4">
        <v>104981</v>
      </c>
      <c r="AE292" s="4">
        <v>10109</v>
      </c>
      <c r="AF292" s="4">
        <v>20526</v>
      </c>
    </row>
    <row r="293" spans="1:32" ht="13.5" thickBot="1" x14ac:dyDescent="0.25">
      <c r="A293" s="2" t="s">
        <v>588</v>
      </c>
      <c r="B293" s="1" t="s">
        <v>587</v>
      </c>
      <c r="C293" s="2" t="s">
        <v>29</v>
      </c>
      <c r="D293" s="77">
        <v>0</v>
      </c>
      <c r="E293" s="77">
        <v>77685</v>
      </c>
      <c r="F293" s="77">
        <v>7637</v>
      </c>
      <c r="G293" s="77">
        <v>85322</v>
      </c>
      <c r="H293" s="100">
        <f>Table3[[#This Row],[Circulation of Children''s Materials]]/Table3[[#This Row],[Total Population Served]]</f>
        <v>0</v>
      </c>
      <c r="I293" s="100">
        <f>Table3[[#This Row],[Circulation of Electronic Materials]]/Table3[[#This Row],[Total Population Served]]</f>
        <v>0.56241254878857061</v>
      </c>
      <c r="J293" s="100">
        <f t="shared" si="31"/>
        <v>6.2833787465940052</v>
      </c>
      <c r="K293" s="100">
        <f t="shared" si="32"/>
        <v>8.1757378305864314</v>
      </c>
      <c r="L293" s="102">
        <v>0</v>
      </c>
      <c r="M293" s="77">
        <v>7637</v>
      </c>
      <c r="N293" s="77">
        <v>77685</v>
      </c>
      <c r="O293" s="77">
        <v>85322</v>
      </c>
      <c r="P293" s="77">
        <v>49121</v>
      </c>
      <c r="Q293" s="77">
        <v>16925</v>
      </c>
      <c r="R293" s="100">
        <f t="shared" si="33"/>
        <v>1.2464098976360556</v>
      </c>
      <c r="S293" s="77">
        <v>3966</v>
      </c>
      <c r="T293" s="71">
        <f t="shared" si="36"/>
        <v>0.29206863539288608</v>
      </c>
      <c r="U293" s="77">
        <v>926</v>
      </c>
      <c r="V293" s="77">
        <v>1553</v>
      </c>
      <c r="W293" s="77">
        <v>81183</v>
      </c>
      <c r="X293" s="77">
        <v>0</v>
      </c>
      <c r="Y293" s="101">
        <f t="shared" si="34"/>
        <v>5.9785698505044556</v>
      </c>
      <c r="Z293" s="101">
        <f t="shared" si="35"/>
        <v>7.7791299348409355</v>
      </c>
      <c r="AA293" s="77">
        <v>12051</v>
      </c>
      <c r="AB293" s="2" t="s">
        <v>872</v>
      </c>
      <c r="AC293" s="107" t="s">
        <v>2632</v>
      </c>
      <c r="AD293" s="77">
        <v>66046</v>
      </c>
      <c r="AE293" s="77">
        <v>10436</v>
      </c>
      <c r="AF293" s="4">
        <v>13579</v>
      </c>
    </row>
    <row r="294" spans="1:32" ht="13.5" thickBot="1" x14ac:dyDescent="0.25">
      <c r="A294" s="2" t="s">
        <v>600</v>
      </c>
      <c r="B294" s="1" t="s">
        <v>599</v>
      </c>
      <c r="C294" s="2" t="s">
        <v>29</v>
      </c>
      <c r="D294" s="77">
        <v>50243</v>
      </c>
      <c r="E294" s="77">
        <v>82082</v>
      </c>
      <c r="F294" s="77">
        <v>15513</v>
      </c>
      <c r="G294" s="77">
        <v>147838</v>
      </c>
      <c r="H294" s="100">
        <f>Table3[[#This Row],[Circulation of Children''s Materials]]/Table3[[#This Row],[Total Population Served]]</f>
        <v>3.0069423663893708</v>
      </c>
      <c r="I294" s="100">
        <f>Table3[[#This Row],[Circulation of Electronic Materials]]/Table3[[#This Row],[Total Population Served]]</f>
        <v>0.92842180860614043</v>
      </c>
      <c r="J294" s="100">
        <f t="shared" si="31"/>
        <v>8.847806571308876</v>
      </c>
      <c r="K294" s="100">
        <f t="shared" si="32"/>
        <v>21.68348489293048</v>
      </c>
      <c r="L294" s="102">
        <v>8356</v>
      </c>
      <c r="M294" s="77">
        <v>23869</v>
      </c>
      <c r="N294" s="77">
        <v>132325</v>
      </c>
      <c r="O294" s="77">
        <v>156194</v>
      </c>
      <c r="P294" s="77">
        <v>65302</v>
      </c>
      <c r="Q294" s="77">
        <v>16089</v>
      </c>
      <c r="R294" s="100">
        <f t="shared" si="33"/>
        <v>0.96289424860853434</v>
      </c>
      <c r="S294" s="77">
        <v>11685</v>
      </c>
      <c r="T294" s="71">
        <f t="shared" si="36"/>
        <v>0.6993237177568975</v>
      </c>
      <c r="U294" s="77">
        <v>10081</v>
      </c>
      <c r="V294" s="77">
        <v>15517</v>
      </c>
      <c r="W294" s="77">
        <v>99573</v>
      </c>
      <c r="X294" s="77">
        <v>102000</v>
      </c>
      <c r="Y294" s="101">
        <f t="shared" si="34"/>
        <v>5.9592435214555026</v>
      </c>
      <c r="Z294" s="101">
        <f t="shared" si="35"/>
        <v>14.604429451452038</v>
      </c>
      <c r="AA294" s="77">
        <v>12477</v>
      </c>
      <c r="AB294" s="2" t="s">
        <v>872</v>
      </c>
      <c r="AC294" s="106">
        <v>15391</v>
      </c>
      <c r="AD294" s="77">
        <v>81391</v>
      </c>
      <c r="AE294" s="77">
        <v>6818</v>
      </c>
      <c r="AF294" s="4">
        <v>16709</v>
      </c>
    </row>
    <row r="295" spans="1:32" ht="13.5" thickBot="1" x14ac:dyDescent="0.25">
      <c r="A295" s="2" t="s">
        <v>616</v>
      </c>
      <c r="B295" s="1" t="s">
        <v>615</v>
      </c>
      <c r="C295" s="2" t="s">
        <v>29</v>
      </c>
      <c r="D295" s="77">
        <v>65364</v>
      </c>
      <c r="E295" s="77">
        <v>50460</v>
      </c>
      <c r="F295" s="77">
        <v>12921</v>
      </c>
      <c r="G295" s="77">
        <v>128745</v>
      </c>
      <c r="H295" s="100">
        <f>Table3[[#This Row],[Circulation of Children''s Materials]]/Table3[[#This Row],[Total Population Served]]</f>
        <v>5.1073605250820444</v>
      </c>
      <c r="I295" s="100">
        <f>Table3[[#This Row],[Circulation of Electronic Materials]]/Table3[[#This Row],[Total Population Served]]</f>
        <v>1.0096108766994842</v>
      </c>
      <c r="J295" s="100">
        <f t="shared" si="31"/>
        <v>10.059774964838256</v>
      </c>
      <c r="K295" s="100">
        <f t="shared" si="32"/>
        <v>22.262666436105828</v>
      </c>
      <c r="L295" s="103" t="s">
        <v>2632</v>
      </c>
      <c r="M295" s="77">
        <v>12921</v>
      </c>
      <c r="N295" s="77">
        <v>115824</v>
      </c>
      <c r="O295" s="77">
        <v>128745</v>
      </c>
      <c r="P295" s="77">
        <v>53368</v>
      </c>
      <c r="Q295" s="77">
        <v>12179</v>
      </c>
      <c r="R295" s="100">
        <f t="shared" si="33"/>
        <v>0.95163306766682298</v>
      </c>
      <c r="S295" s="77">
        <v>4750</v>
      </c>
      <c r="T295" s="71">
        <f t="shared" si="36"/>
        <v>0.37115174245975935</v>
      </c>
      <c r="U295" s="77">
        <v>7849</v>
      </c>
      <c r="V295" s="77">
        <v>7639</v>
      </c>
      <c r="W295" s="77">
        <v>88872</v>
      </c>
      <c r="X295" s="77">
        <v>33711</v>
      </c>
      <c r="Y295" s="101">
        <f t="shared" si="34"/>
        <v>6.9442100328176277</v>
      </c>
      <c r="Z295" s="101">
        <f t="shared" si="35"/>
        <v>15.367802178799931</v>
      </c>
      <c r="AA295" s="77">
        <v>11263</v>
      </c>
      <c r="AB295" s="2" t="s">
        <v>872</v>
      </c>
      <c r="AC295" s="106">
        <v>13137</v>
      </c>
      <c r="AD295" s="77">
        <v>65547</v>
      </c>
      <c r="AE295" s="77">
        <v>5783</v>
      </c>
      <c r="AF295" s="4">
        <v>12798</v>
      </c>
    </row>
    <row r="296" spans="1:32" ht="13.5" thickBot="1" x14ac:dyDescent="0.25">
      <c r="A296" s="2" t="s">
        <v>618</v>
      </c>
      <c r="B296" s="1" t="s">
        <v>617</v>
      </c>
      <c r="C296" s="2" t="s">
        <v>29</v>
      </c>
      <c r="D296" s="4">
        <v>31267</v>
      </c>
      <c r="E296" s="4">
        <v>34081</v>
      </c>
      <c r="F296" s="4">
        <v>8957</v>
      </c>
      <c r="G296" s="4">
        <v>74305</v>
      </c>
      <c r="H296" s="100">
        <f>Table3[[#This Row],[Circulation of Children''s Materials]]/Table3[[#This Row],[Total Population Served]]</f>
        <v>2.2474841863139736</v>
      </c>
      <c r="I296" s="100">
        <f>Table3[[#This Row],[Circulation of Electronic Materials]]/Table3[[#This Row],[Total Population Served]]</f>
        <v>0.64383266244968373</v>
      </c>
      <c r="J296" s="100">
        <f t="shared" si="31"/>
        <v>5.3410724554341575</v>
      </c>
      <c r="K296" s="100">
        <f t="shared" si="32"/>
        <v>5.2114602328517323</v>
      </c>
      <c r="L296" s="102">
        <v>6812</v>
      </c>
      <c r="M296" s="4">
        <v>15769</v>
      </c>
      <c r="N296" s="4">
        <v>65348</v>
      </c>
      <c r="O296" s="4">
        <v>81117</v>
      </c>
      <c r="P296" s="4">
        <v>41684</v>
      </c>
      <c r="Q296" s="4">
        <v>17724</v>
      </c>
      <c r="R296" s="100">
        <f t="shared" si="33"/>
        <v>1.2740080506037952</v>
      </c>
      <c r="S296" s="4">
        <v>6638</v>
      </c>
      <c r="T296" s="71">
        <f t="shared" si="36"/>
        <v>0.47714203565267393</v>
      </c>
      <c r="U296" s="4">
        <v>2111</v>
      </c>
      <c r="V296" s="4">
        <v>3227</v>
      </c>
      <c r="W296" s="4">
        <v>65301</v>
      </c>
      <c r="X296" s="77">
        <v>24657</v>
      </c>
      <c r="Y296" s="101">
        <f t="shared" si="34"/>
        <v>4.6938614146060953</v>
      </c>
      <c r="Z296" s="101">
        <f t="shared" si="35"/>
        <v>4.5799551129190625</v>
      </c>
      <c r="AA296" s="4">
        <v>6958</v>
      </c>
      <c r="AB296" s="2" t="s">
        <v>872</v>
      </c>
      <c r="AC296" s="106">
        <v>4458</v>
      </c>
      <c r="AD296" s="4">
        <v>59408</v>
      </c>
      <c r="AE296" s="4">
        <v>14258</v>
      </c>
      <c r="AF296" s="4">
        <v>13912</v>
      </c>
    </row>
    <row r="297" spans="1:32" ht="13.5" thickBot="1" x14ac:dyDescent="0.25">
      <c r="A297" s="2" t="s">
        <v>622</v>
      </c>
      <c r="B297" s="1" t="s">
        <v>621</v>
      </c>
      <c r="C297" s="2" t="s">
        <v>29</v>
      </c>
      <c r="D297" s="4">
        <v>14597</v>
      </c>
      <c r="E297" s="4">
        <v>52970</v>
      </c>
      <c r="F297" s="4">
        <v>11871</v>
      </c>
      <c r="G297" s="4">
        <v>79438</v>
      </c>
      <c r="H297" s="100">
        <f>Table3[[#This Row],[Circulation of Children''s Materials]]/Table3[[#This Row],[Total Population Served]]</f>
        <v>0.98111305282968142</v>
      </c>
      <c r="I297" s="100">
        <f>Table3[[#This Row],[Circulation of Electronic Materials]]/Table3[[#This Row],[Total Population Served]]</f>
        <v>0.79788950127705338</v>
      </c>
      <c r="J297" s="100">
        <f t="shared" si="31"/>
        <v>5.3392929157144779</v>
      </c>
      <c r="K297" s="100">
        <f t="shared" si="32"/>
        <v>12.439398684622612</v>
      </c>
      <c r="L297" s="102">
        <v>10938</v>
      </c>
      <c r="M297" s="4">
        <v>22809</v>
      </c>
      <c r="N297" s="4">
        <v>67567</v>
      </c>
      <c r="O297" s="4">
        <v>90376</v>
      </c>
      <c r="P297" s="4">
        <v>65934</v>
      </c>
      <c r="Q297" s="4">
        <v>18328</v>
      </c>
      <c r="R297" s="100">
        <f t="shared" si="33"/>
        <v>1.2318860061836268</v>
      </c>
      <c r="S297" s="4">
        <v>4520</v>
      </c>
      <c r="T297" s="71">
        <f t="shared" si="36"/>
        <v>0.303804274768114</v>
      </c>
      <c r="U297" s="4">
        <v>9947</v>
      </c>
      <c r="V297" s="4">
        <v>9357</v>
      </c>
      <c r="W297" s="4">
        <v>100587</v>
      </c>
      <c r="X297" s="77">
        <v>50726</v>
      </c>
      <c r="Y297" s="101">
        <f t="shared" si="34"/>
        <v>6.7607877402876735</v>
      </c>
      <c r="Z297" s="101">
        <f t="shared" si="35"/>
        <v>15.751174444096462</v>
      </c>
      <c r="AA297" s="4">
        <v>7499</v>
      </c>
      <c r="AB297" s="2" t="s">
        <v>872</v>
      </c>
      <c r="AC297" s="106">
        <v>7937</v>
      </c>
      <c r="AD297" s="4">
        <v>84262</v>
      </c>
      <c r="AE297" s="4">
        <v>6386</v>
      </c>
      <c r="AF297" s="4">
        <v>14878</v>
      </c>
    </row>
    <row r="298" spans="1:32" ht="13.5" thickBot="1" x14ac:dyDescent="0.25">
      <c r="A298" s="2" t="s">
        <v>658</v>
      </c>
      <c r="B298" s="1" t="s">
        <v>657</v>
      </c>
      <c r="C298" s="2" t="s">
        <v>29</v>
      </c>
      <c r="D298" s="77">
        <v>22147</v>
      </c>
      <c r="E298" s="77">
        <v>21468</v>
      </c>
      <c r="F298" s="77">
        <v>2720</v>
      </c>
      <c r="G298" s="77">
        <v>46335</v>
      </c>
      <c r="H298" s="100">
        <f>Table3[[#This Row],[Circulation of Children''s Materials]]/Table3[[#This Row],[Total Population Served]]</f>
        <v>1.7737465961877303</v>
      </c>
      <c r="I298" s="100">
        <f>Table3[[#This Row],[Circulation of Electronic Materials]]/Table3[[#This Row],[Total Population Served]]</f>
        <v>0.2178439852634951</v>
      </c>
      <c r="J298" s="100">
        <f t="shared" si="31"/>
        <v>3.7109562710235462</v>
      </c>
      <c r="K298" s="100">
        <f t="shared" si="32"/>
        <v>16.39596602972399</v>
      </c>
      <c r="L298" s="102">
        <v>0</v>
      </c>
      <c r="M298" s="77">
        <v>2720</v>
      </c>
      <c r="N298" s="77">
        <v>43615</v>
      </c>
      <c r="O298" s="77">
        <v>46335</v>
      </c>
      <c r="P298" s="77">
        <v>64603</v>
      </c>
      <c r="Q298" s="77">
        <v>16000</v>
      </c>
      <c r="R298" s="100">
        <f t="shared" si="33"/>
        <v>1.2814352074323243</v>
      </c>
      <c r="S298" s="77">
        <v>3285</v>
      </c>
      <c r="T298" s="71">
        <f t="shared" si="36"/>
        <v>0.26309466602594905</v>
      </c>
      <c r="U298" s="77">
        <v>11388</v>
      </c>
      <c r="V298" s="77">
        <v>6426</v>
      </c>
      <c r="W298" s="77">
        <v>25398</v>
      </c>
      <c r="X298" s="77">
        <v>4125</v>
      </c>
      <c r="Y298" s="101">
        <f t="shared" si="34"/>
        <v>2.0341182123978858</v>
      </c>
      <c r="Z298" s="101">
        <f t="shared" si="35"/>
        <v>8.9872611464968148</v>
      </c>
      <c r="AA298" s="77">
        <v>3536</v>
      </c>
      <c r="AB298" s="2" t="s">
        <v>872</v>
      </c>
      <c r="AC298" s="106">
        <v>2677</v>
      </c>
      <c r="AD298" s="77">
        <v>80603</v>
      </c>
      <c r="AE298" s="77">
        <v>2826</v>
      </c>
      <c r="AF298" s="4">
        <v>12486</v>
      </c>
    </row>
    <row r="299" spans="1:32" ht="13.5" thickBot="1" x14ac:dyDescent="0.25">
      <c r="A299" s="2" t="s">
        <v>686</v>
      </c>
      <c r="B299" s="1" t="s">
        <v>685</v>
      </c>
      <c r="C299" s="2" t="s">
        <v>29</v>
      </c>
      <c r="D299" s="4">
        <v>101238</v>
      </c>
      <c r="E299" s="4">
        <v>111882</v>
      </c>
      <c r="F299" s="4">
        <v>37882</v>
      </c>
      <c r="G299" s="4">
        <v>251002</v>
      </c>
      <c r="H299" s="100">
        <f>Table3[[#This Row],[Circulation of Children''s Materials]]/Table3[[#This Row],[Total Population Served]]</f>
        <v>6.0429773771861752</v>
      </c>
      <c r="I299" s="100">
        <f>Table3[[#This Row],[Circulation of Electronic Materials]]/Table3[[#This Row],[Total Population Served]]</f>
        <v>2.2612069480093115</v>
      </c>
      <c r="J299" s="100">
        <f t="shared" si="31"/>
        <v>14.982510595117292</v>
      </c>
      <c r="K299" s="100">
        <f t="shared" si="32"/>
        <v>26.642819233627005</v>
      </c>
      <c r="L299" s="102">
        <v>52158</v>
      </c>
      <c r="M299" s="4">
        <v>90040</v>
      </c>
      <c r="N299" s="4">
        <v>213120</v>
      </c>
      <c r="O299" s="4">
        <v>303160</v>
      </c>
      <c r="P299" s="4">
        <v>80645</v>
      </c>
      <c r="Q299" s="4">
        <v>75410</v>
      </c>
      <c r="R299" s="100">
        <f t="shared" si="33"/>
        <v>4.5012833522354203</v>
      </c>
      <c r="S299" s="4">
        <v>19370</v>
      </c>
      <c r="T299" s="71">
        <f t="shared" si="36"/>
        <v>1.1562108279114189</v>
      </c>
      <c r="U299" s="4">
        <v>18219</v>
      </c>
      <c r="V299" s="4">
        <v>25452</v>
      </c>
      <c r="W299" s="4">
        <v>170429</v>
      </c>
      <c r="X299" s="77">
        <v>58473</v>
      </c>
      <c r="Y299" s="101">
        <f t="shared" si="34"/>
        <v>10.173043633976004</v>
      </c>
      <c r="Z299" s="101">
        <f t="shared" si="35"/>
        <v>18.090330113576055</v>
      </c>
      <c r="AA299" s="4">
        <v>58116</v>
      </c>
      <c r="AB299" s="2" t="s">
        <v>872</v>
      </c>
      <c r="AC299" s="106">
        <v>42622</v>
      </c>
      <c r="AD299" s="4">
        <v>156055</v>
      </c>
      <c r="AE299" s="4">
        <v>9421</v>
      </c>
      <c r="AF299" s="4">
        <v>16753</v>
      </c>
    </row>
    <row r="300" spans="1:32" ht="13.5" thickBot="1" x14ac:dyDescent="0.25">
      <c r="A300" s="2" t="s">
        <v>728</v>
      </c>
      <c r="B300" s="1" t="s">
        <v>727</v>
      </c>
      <c r="C300" s="2" t="s">
        <v>29</v>
      </c>
      <c r="D300" s="4">
        <v>100971</v>
      </c>
      <c r="E300" s="4">
        <v>104771</v>
      </c>
      <c r="F300" s="4">
        <v>27951</v>
      </c>
      <c r="G300" s="4">
        <v>233693</v>
      </c>
      <c r="H300" s="100">
        <f>Table3[[#This Row],[Circulation of Children''s Materials]]/Table3[[#This Row],[Total Population Served]]</f>
        <v>5.5296276013143482</v>
      </c>
      <c r="I300" s="100">
        <f>Table3[[#This Row],[Circulation of Electronic Materials]]/Table3[[#This Row],[Total Population Served]]</f>
        <v>1.530722891566265</v>
      </c>
      <c r="J300" s="100">
        <f t="shared" si="31"/>
        <v>12.798083242059146</v>
      </c>
      <c r="K300" s="100">
        <f t="shared" si="32"/>
        <v>31.209001068376068</v>
      </c>
      <c r="L300" s="102">
        <v>2402</v>
      </c>
      <c r="M300" s="4">
        <v>30353</v>
      </c>
      <c r="N300" s="4">
        <v>205742</v>
      </c>
      <c r="O300" s="4">
        <v>236095</v>
      </c>
      <c r="P300" s="4">
        <v>92580</v>
      </c>
      <c r="Q300" s="4">
        <v>63480</v>
      </c>
      <c r="R300" s="100">
        <f t="shared" si="33"/>
        <v>3.4764512595837895</v>
      </c>
      <c r="S300" s="4">
        <v>9620</v>
      </c>
      <c r="T300" s="71">
        <f t="shared" si="36"/>
        <v>0.52683461117196062</v>
      </c>
      <c r="U300" s="4">
        <v>9391</v>
      </c>
      <c r="V300" s="4">
        <v>6249</v>
      </c>
      <c r="W300" s="4">
        <v>160409</v>
      </c>
      <c r="X300" s="77">
        <v>49943</v>
      </c>
      <c r="Y300" s="101">
        <f t="shared" si="34"/>
        <v>8.784720700985762</v>
      </c>
      <c r="Z300" s="101">
        <f t="shared" si="35"/>
        <v>21.422142094017094</v>
      </c>
      <c r="AA300" s="4">
        <v>14862</v>
      </c>
      <c r="AB300" s="2" t="s">
        <v>872</v>
      </c>
      <c r="AC300" s="106">
        <v>7900</v>
      </c>
      <c r="AD300" s="4">
        <v>156060</v>
      </c>
      <c r="AE300" s="4">
        <v>7488</v>
      </c>
      <c r="AF300" s="4">
        <v>18260</v>
      </c>
    </row>
    <row r="301" spans="1:32" ht="13.5" thickBot="1" x14ac:dyDescent="0.25">
      <c r="A301" s="2" t="s">
        <v>730</v>
      </c>
      <c r="B301" s="1" t="s">
        <v>729</v>
      </c>
      <c r="C301" s="2" t="s">
        <v>29</v>
      </c>
      <c r="D301" s="4">
        <v>29701</v>
      </c>
      <c r="E301" s="4">
        <v>47898</v>
      </c>
      <c r="F301" s="4">
        <v>8983</v>
      </c>
      <c r="G301" s="4">
        <v>86582</v>
      </c>
      <c r="H301" s="100">
        <f>Table3[[#This Row],[Circulation of Children''s Materials]]/Table3[[#This Row],[Total Population Served]]</f>
        <v>2.1306312769010045</v>
      </c>
      <c r="I301" s="100">
        <f>Table3[[#This Row],[Circulation of Electronic Materials]]/Table3[[#This Row],[Total Population Served]]</f>
        <v>0.64440459110473458</v>
      </c>
      <c r="J301" s="100">
        <f t="shared" si="31"/>
        <v>6.2110473457675752</v>
      </c>
      <c r="K301" s="100">
        <f t="shared" si="32"/>
        <v>21.737886015566158</v>
      </c>
      <c r="L301" s="102">
        <v>2302</v>
      </c>
      <c r="M301" s="4">
        <v>11285</v>
      </c>
      <c r="N301" s="4">
        <v>77599</v>
      </c>
      <c r="O301" s="4">
        <v>88884</v>
      </c>
      <c r="P301" s="4">
        <v>78339</v>
      </c>
      <c r="Q301" s="4">
        <v>58306</v>
      </c>
      <c r="R301" s="100">
        <f t="shared" si="33"/>
        <v>4.1826398852223816</v>
      </c>
      <c r="S301" s="4">
        <v>1753</v>
      </c>
      <c r="T301" s="71">
        <f t="shared" si="36"/>
        <v>0.12575322812051651</v>
      </c>
      <c r="U301" s="4">
        <v>16667</v>
      </c>
      <c r="V301" s="4">
        <v>8012</v>
      </c>
      <c r="W301" s="4">
        <v>41518</v>
      </c>
      <c r="X301" s="77">
        <v>44065</v>
      </c>
      <c r="Y301" s="101">
        <f t="shared" si="34"/>
        <v>2.9783357245337161</v>
      </c>
      <c r="Z301" s="101">
        <f t="shared" si="35"/>
        <v>10.423801154908361</v>
      </c>
      <c r="AA301" s="4">
        <v>2343</v>
      </c>
      <c r="AB301" s="2" t="s">
        <v>872</v>
      </c>
      <c r="AC301" s="106">
        <v>14167</v>
      </c>
      <c r="AD301" s="4">
        <v>136645</v>
      </c>
      <c r="AE301" s="4">
        <v>3983</v>
      </c>
      <c r="AF301" s="4">
        <v>13940</v>
      </c>
    </row>
    <row r="302" spans="1:32" ht="13.5" thickBot="1" x14ac:dyDescent="0.25">
      <c r="A302" s="2" t="s">
        <v>736</v>
      </c>
      <c r="B302" s="1" t="s">
        <v>735</v>
      </c>
      <c r="C302" s="2" t="s">
        <v>29</v>
      </c>
      <c r="D302" s="77">
        <v>18809</v>
      </c>
      <c r="E302" s="77">
        <v>29895</v>
      </c>
      <c r="F302" s="77">
        <v>3794</v>
      </c>
      <c r="G302" s="77">
        <v>52498</v>
      </c>
      <c r="H302" s="100">
        <f>Table3[[#This Row],[Circulation of Children''s Materials]]/Table3[[#This Row],[Total Population Served]]</f>
        <v>1.0486145955287953</v>
      </c>
      <c r="I302" s="100">
        <f>Table3[[#This Row],[Circulation of Electronic Materials]]/Table3[[#This Row],[Total Population Served]]</f>
        <v>0.21151809109661593</v>
      </c>
      <c r="J302" s="100">
        <f t="shared" si="31"/>
        <v>2.9267993532920777</v>
      </c>
      <c r="K302" s="100">
        <f t="shared" si="32"/>
        <v>12.457997152349312</v>
      </c>
      <c r="L302" s="102">
        <v>1052</v>
      </c>
      <c r="M302" s="77">
        <v>4846</v>
      </c>
      <c r="N302" s="77">
        <v>48704</v>
      </c>
      <c r="O302" s="77">
        <v>53550</v>
      </c>
      <c r="P302" s="77">
        <v>52348</v>
      </c>
      <c r="Q302" s="77">
        <v>14752</v>
      </c>
      <c r="R302" s="100">
        <f t="shared" si="33"/>
        <v>0.82243407481741648</v>
      </c>
      <c r="S302" s="77">
        <v>5099</v>
      </c>
      <c r="T302" s="71">
        <f t="shared" si="36"/>
        <v>0.28427273234097117</v>
      </c>
      <c r="U302" s="77">
        <v>1593</v>
      </c>
      <c r="V302" s="77">
        <v>2273</v>
      </c>
      <c r="W302" s="77">
        <v>58892</v>
      </c>
      <c r="X302" s="77">
        <v>11686</v>
      </c>
      <c r="Y302" s="101">
        <f t="shared" si="34"/>
        <v>3.2832692200479454</v>
      </c>
      <c r="Z302" s="101">
        <f t="shared" si="35"/>
        <v>13.975320360702421</v>
      </c>
      <c r="AA302" s="77">
        <v>10930</v>
      </c>
      <c r="AB302" s="2" t="s">
        <v>872</v>
      </c>
      <c r="AC302" s="106">
        <v>2295</v>
      </c>
      <c r="AD302" s="77">
        <v>67100</v>
      </c>
      <c r="AE302" s="77">
        <v>4214</v>
      </c>
      <c r="AF302" s="4">
        <v>17937</v>
      </c>
    </row>
    <row r="303" spans="1:32" ht="13.5" thickBot="1" x14ac:dyDescent="0.25">
      <c r="A303" s="2" t="s">
        <v>755</v>
      </c>
      <c r="B303" s="1" t="s">
        <v>754</v>
      </c>
      <c r="C303" s="2" t="s">
        <v>29</v>
      </c>
      <c r="D303" s="4">
        <v>21697</v>
      </c>
      <c r="E303" s="4">
        <v>40020</v>
      </c>
      <c r="F303" s="4">
        <v>12618</v>
      </c>
      <c r="G303" s="4">
        <v>74335</v>
      </c>
      <c r="H303" s="100">
        <f>Table3[[#This Row],[Circulation of Children''s Materials]]/Table3[[#This Row],[Total Population Served]]</f>
        <v>1.1964817469945959</v>
      </c>
      <c r="I303" s="100">
        <f>Table3[[#This Row],[Circulation of Electronic Materials]]/Table3[[#This Row],[Total Population Served]]</f>
        <v>0.69582000661740373</v>
      </c>
      <c r="J303" s="100">
        <f t="shared" si="31"/>
        <v>4.0992059115473696</v>
      </c>
      <c r="K303" s="100">
        <f t="shared" si="32"/>
        <v>9.7399109014675052</v>
      </c>
      <c r="L303" s="102">
        <v>11033</v>
      </c>
      <c r="M303" s="4">
        <v>23651</v>
      </c>
      <c r="N303" s="4">
        <v>61717</v>
      </c>
      <c r="O303" s="4">
        <v>85368</v>
      </c>
      <c r="P303" s="4">
        <v>48200</v>
      </c>
      <c r="Q303" s="4">
        <v>385920</v>
      </c>
      <c r="R303" s="100">
        <f t="shared" si="33"/>
        <v>21.281570530495202</v>
      </c>
      <c r="S303" s="4">
        <v>16048</v>
      </c>
      <c r="T303" s="71">
        <f t="shared" si="36"/>
        <v>0.88496746443145469</v>
      </c>
      <c r="U303" s="4">
        <v>5830</v>
      </c>
      <c r="V303" s="4">
        <v>6425</v>
      </c>
      <c r="W303" s="4">
        <v>162249</v>
      </c>
      <c r="X303" s="77">
        <v>10467</v>
      </c>
      <c r="Y303" s="101">
        <f t="shared" si="34"/>
        <v>8.9472262049189375</v>
      </c>
      <c r="Z303" s="101">
        <f t="shared" si="35"/>
        <v>21.259040880503143</v>
      </c>
      <c r="AA303" s="4">
        <v>9262</v>
      </c>
      <c r="AB303" s="2" t="s">
        <v>872</v>
      </c>
      <c r="AC303" s="107" t="s">
        <v>2632</v>
      </c>
      <c r="AD303" s="4">
        <v>434120</v>
      </c>
      <c r="AE303" s="4">
        <v>7632</v>
      </c>
      <c r="AF303" s="4">
        <v>18134</v>
      </c>
    </row>
    <row r="304" spans="1:32" ht="13.5" thickBot="1" x14ac:dyDescent="0.25">
      <c r="A304" s="2" t="s">
        <v>767</v>
      </c>
      <c r="B304" s="1" t="s">
        <v>766</v>
      </c>
      <c r="C304" s="2" t="s">
        <v>29</v>
      </c>
      <c r="D304" s="4">
        <v>17655</v>
      </c>
      <c r="E304" s="4">
        <v>10680</v>
      </c>
      <c r="F304" s="4">
        <v>5055</v>
      </c>
      <c r="G304" s="4">
        <v>33390</v>
      </c>
      <c r="H304" s="100">
        <f>Table3[[#This Row],[Circulation of Children''s Materials]]/Table3[[#This Row],[Total Population Served]]</f>
        <v>1.0458503643149102</v>
      </c>
      <c r="I304" s="100">
        <f>Table3[[#This Row],[Circulation of Electronic Materials]]/Table3[[#This Row],[Total Population Served]]</f>
        <v>0.2994490847698596</v>
      </c>
      <c r="J304" s="100">
        <f t="shared" si="31"/>
        <v>1.9779633907943843</v>
      </c>
      <c r="K304" s="100">
        <f t="shared" si="32"/>
        <v>9.4188998589562765</v>
      </c>
      <c r="L304" s="102">
        <v>0</v>
      </c>
      <c r="M304" s="4">
        <v>5055</v>
      </c>
      <c r="N304" s="4">
        <v>28335</v>
      </c>
      <c r="O304" s="4">
        <v>33390</v>
      </c>
      <c r="P304" s="4">
        <v>27966</v>
      </c>
      <c r="Q304" s="4">
        <v>10286</v>
      </c>
      <c r="R304" s="100">
        <f t="shared" si="33"/>
        <v>0.60932409217463424</v>
      </c>
      <c r="S304" s="4">
        <v>842</v>
      </c>
      <c r="T304" s="71">
        <f t="shared" si="36"/>
        <v>4.9878561696581954E-2</v>
      </c>
      <c r="U304" s="4">
        <v>2286</v>
      </c>
      <c r="V304" s="4">
        <v>4114</v>
      </c>
      <c r="W304" s="4">
        <v>6630</v>
      </c>
      <c r="X304" s="78" t="s">
        <v>16</v>
      </c>
      <c r="Y304" s="101">
        <f t="shared" si="34"/>
        <v>0.39274924471299094</v>
      </c>
      <c r="Z304" s="101">
        <f t="shared" si="35"/>
        <v>1.8702397743300423</v>
      </c>
      <c r="AA304" s="4">
        <v>1275</v>
      </c>
      <c r="AB304" s="2" t="s">
        <v>872</v>
      </c>
      <c r="AC304" s="106">
        <v>255</v>
      </c>
      <c r="AD304" s="4">
        <v>38252</v>
      </c>
      <c r="AE304" s="4">
        <v>3545</v>
      </c>
      <c r="AF304" s="4">
        <v>16881</v>
      </c>
    </row>
    <row r="305" spans="1:32" ht="13.5" thickBot="1" x14ac:dyDescent="0.25">
      <c r="A305" s="2" t="s">
        <v>771</v>
      </c>
      <c r="B305" s="1" t="s">
        <v>770</v>
      </c>
      <c r="C305" s="2" t="s">
        <v>29</v>
      </c>
      <c r="D305" s="4">
        <v>26796</v>
      </c>
      <c r="E305" s="4">
        <v>38959</v>
      </c>
      <c r="F305" s="4">
        <v>7442</v>
      </c>
      <c r="G305" s="4">
        <v>73197</v>
      </c>
      <c r="H305" s="100">
        <f>Table3[[#This Row],[Circulation of Children''s Materials]]/Table3[[#This Row],[Total Population Served]]</f>
        <v>1.8800252578404546</v>
      </c>
      <c r="I305" s="100">
        <f>Table3[[#This Row],[Circulation of Electronic Materials]]/Table3[[#This Row],[Total Population Served]]</f>
        <v>0.52213569073177579</v>
      </c>
      <c r="J305" s="100">
        <f t="shared" si="31"/>
        <v>5.1355504104399072</v>
      </c>
      <c r="K305" s="100">
        <f t="shared" si="32"/>
        <v>10.273263157894737</v>
      </c>
      <c r="L305" s="102">
        <v>7130</v>
      </c>
      <c r="M305" s="4">
        <v>14572</v>
      </c>
      <c r="N305" s="4">
        <v>65755</v>
      </c>
      <c r="O305" s="4">
        <v>80327</v>
      </c>
      <c r="P305" s="4">
        <v>45236</v>
      </c>
      <c r="Q305" s="4">
        <v>17276</v>
      </c>
      <c r="R305" s="100">
        <f t="shared" si="33"/>
        <v>1.2120956991510559</v>
      </c>
      <c r="S305" s="77">
        <v>10869</v>
      </c>
      <c r="T305" s="71">
        <f t="shared" si="36"/>
        <v>0.76257629972637342</v>
      </c>
      <c r="U305" s="77">
        <v>4723</v>
      </c>
      <c r="V305" s="4">
        <v>5969</v>
      </c>
      <c r="W305" s="4">
        <v>96104</v>
      </c>
      <c r="X305" s="77">
        <v>44205</v>
      </c>
      <c r="Y305" s="101">
        <f t="shared" si="34"/>
        <v>6.7427208307023081</v>
      </c>
      <c r="Z305" s="101">
        <f t="shared" si="35"/>
        <v>13.488280701754386</v>
      </c>
      <c r="AA305" s="77">
        <v>19744</v>
      </c>
      <c r="AB305" s="2" t="s">
        <v>872</v>
      </c>
      <c r="AC305" s="106">
        <v>8659</v>
      </c>
      <c r="AD305" s="4">
        <v>62512</v>
      </c>
      <c r="AE305" s="4">
        <v>7125</v>
      </c>
      <c r="AF305" s="4">
        <v>14253</v>
      </c>
    </row>
    <row r="306" spans="1:32" ht="13.5" thickBot="1" x14ac:dyDescent="0.25">
      <c r="A306" s="2" t="s">
        <v>791</v>
      </c>
      <c r="B306" s="1" t="s">
        <v>790</v>
      </c>
      <c r="C306" s="2" t="s">
        <v>29</v>
      </c>
      <c r="D306" s="4">
        <v>15146</v>
      </c>
      <c r="E306" s="4">
        <v>38744</v>
      </c>
      <c r="F306" s="4">
        <v>5526</v>
      </c>
      <c r="G306" s="4">
        <v>59416</v>
      </c>
      <c r="H306" s="100">
        <f>Table3[[#This Row],[Circulation of Children''s Materials]]/Table3[[#This Row],[Total Population Served]]</f>
        <v>1.2376205262297761</v>
      </c>
      <c r="I306" s="100">
        <f>Table3[[#This Row],[Circulation of Electronic Materials]]/Table3[[#This Row],[Total Population Served]]</f>
        <v>0.45154436999509723</v>
      </c>
      <c r="J306" s="100">
        <f t="shared" si="31"/>
        <v>4.855041673476058</v>
      </c>
      <c r="K306" s="100">
        <f t="shared" si="32"/>
        <v>10.606212067118886</v>
      </c>
      <c r="L306" s="102">
        <v>0</v>
      </c>
      <c r="M306" s="4">
        <v>5526</v>
      </c>
      <c r="N306" s="4">
        <v>53890</v>
      </c>
      <c r="O306" s="4">
        <v>59416</v>
      </c>
      <c r="P306" s="4">
        <v>37189</v>
      </c>
      <c r="Q306" s="4">
        <v>5200</v>
      </c>
      <c r="R306" s="100">
        <f t="shared" si="33"/>
        <v>0.42490603039712371</v>
      </c>
      <c r="S306" s="4">
        <v>1745</v>
      </c>
      <c r="T306" s="71">
        <f t="shared" si="36"/>
        <v>0.14258865827749631</v>
      </c>
      <c r="U306" s="4">
        <v>2444</v>
      </c>
      <c r="V306" s="4">
        <v>3276</v>
      </c>
      <c r="W306" s="4">
        <v>36541</v>
      </c>
      <c r="X306" s="78" t="s">
        <v>16</v>
      </c>
      <c r="Y306" s="101">
        <f t="shared" si="34"/>
        <v>2.9858637032194801</v>
      </c>
      <c r="Z306" s="101">
        <f t="shared" si="35"/>
        <v>6.5228489825062477</v>
      </c>
      <c r="AA306" s="4">
        <v>6317</v>
      </c>
      <c r="AB306" s="2" t="s">
        <v>872</v>
      </c>
      <c r="AC306" s="108" t="s">
        <v>2632</v>
      </c>
      <c r="AD306" s="4">
        <v>42389</v>
      </c>
      <c r="AE306" s="4">
        <v>5602</v>
      </c>
      <c r="AF306" s="4">
        <v>12238</v>
      </c>
    </row>
    <row r="307" spans="1:32" ht="13.5" thickBot="1" x14ac:dyDescent="0.25">
      <c r="A307" s="2" t="s">
        <v>813</v>
      </c>
      <c r="B307" s="1" t="s">
        <v>812</v>
      </c>
      <c r="C307" s="2" t="s">
        <v>29</v>
      </c>
      <c r="D307" s="4">
        <v>9478</v>
      </c>
      <c r="E307" s="4">
        <v>23113</v>
      </c>
      <c r="F307" s="4">
        <v>3386</v>
      </c>
      <c r="G307" s="4">
        <v>35977</v>
      </c>
      <c r="H307" s="100">
        <f>Table3[[#This Row],[Circulation of Children''s Materials]]/Table3[[#This Row],[Total Population Served]]</f>
        <v>0.53873699766952765</v>
      </c>
      <c r="I307" s="100">
        <f>Table3[[#This Row],[Circulation of Electronic Materials]]/Table3[[#This Row],[Total Population Served]]</f>
        <v>0.19246291138521002</v>
      </c>
      <c r="J307" s="100">
        <f t="shared" si="31"/>
        <v>2.044961064059569</v>
      </c>
      <c r="K307" s="100">
        <f t="shared" si="32"/>
        <v>9.3398234683281416</v>
      </c>
      <c r="L307" s="102">
        <v>0</v>
      </c>
      <c r="M307" s="4">
        <v>3386</v>
      </c>
      <c r="N307" s="4">
        <v>32591</v>
      </c>
      <c r="O307" s="4">
        <v>35977</v>
      </c>
      <c r="P307" s="4">
        <v>91024</v>
      </c>
      <c r="Q307" s="4">
        <v>30058</v>
      </c>
      <c r="R307" s="100">
        <f t="shared" si="33"/>
        <v>1.7085204342636275</v>
      </c>
      <c r="S307" s="4">
        <v>12611</v>
      </c>
      <c r="T307" s="71">
        <f t="shared" ref="T307:T338" si="37">S307/AF307</f>
        <v>0.71681918945034961</v>
      </c>
      <c r="U307" s="4">
        <v>7043</v>
      </c>
      <c r="V307" s="4">
        <v>6482</v>
      </c>
      <c r="W307" s="4">
        <v>39520</v>
      </c>
      <c r="X307" s="77">
        <v>16298</v>
      </c>
      <c r="Y307" s="101">
        <f t="shared" si="34"/>
        <v>2.2463479793099528</v>
      </c>
      <c r="Z307" s="101">
        <f t="shared" si="35"/>
        <v>10.259605399792315</v>
      </c>
      <c r="AA307" s="4">
        <v>11555</v>
      </c>
      <c r="AB307" s="2" t="s">
        <v>872</v>
      </c>
      <c r="AC307" s="106">
        <v>4308</v>
      </c>
      <c r="AD307" s="4">
        <v>121082</v>
      </c>
      <c r="AE307" s="4">
        <v>3852</v>
      </c>
      <c r="AF307" s="4">
        <v>17593</v>
      </c>
    </row>
    <row r="308" spans="1:32" ht="13.5" thickBot="1" x14ac:dyDescent="0.25">
      <c r="A308" s="2" t="s">
        <v>839</v>
      </c>
      <c r="B308" s="1" t="s">
        <v>838</v>
      </c>
      <c r="C308" s="2" t="s">
        <v>29</v>
      </c>
      <c r="D308" s="4">
        <v>49666</v>
      </c>
      <c r="E308" s="4">
        <v>83965</v>
      </c>
      <c r="F308" s="4">
        <v>12253</v>
      </c>
      <c r="G308" s="4">
        <v>145884</v>
      </c>
      <c r="H308" s="100">
        <f>Table3[[#This Row],[Circulation of Children''s Materials]]/Table3[[#This Row],[Total Population Served]]</f>
        <v>3.6795080752704106</v>
      </c>
      <c r="I308" s="100">
        <f>Table3[[#This Row],[Circulation of Electronic Materials]]/Table3[[#This Row],[Total Population Served]]</f>
        <v>0.90776411320195582</v>
      </c>
      <c r="J308" s="100">
        <f t="shared" si="31"/>
        <v>10.807823381241665</v>
      </c>
      <c r="K308" s="100">
        <f t="shared" si="32"/>
        <v>23.476665593820407</v>
      </c>
      <c r="L308" s="103" t="s">
        <v>2632</v>
      </c>
      <c r="M308" s="4">
        <v>12253</v>
      </c>
      <c r="N308" s="4">
        <v>133631</v>
      </c>
      <c r="O308" s="4">
        <v>145884</v>
      </c>
      <c r="P308" s="4">
        <v>59695</v>
      </c>
      <c r="Q308" s="4">
        <v>54386</v>
      </c>
      <c r="R308" s="100">
        <f t="shared" si="33"/>
        <v>4.0291895095569714</v>
      </c>
      <c r="S308" s="4">
        <v>5646</v>
      </c>
      <c r="T308" s="71">
        <f t="shared" si="37"/>
        <v>0.41828419025040747</v>
      </c>
      <c r="U308" s="4">
        <v>20545</v>
      </c>
      <c r="V308" s="4">
        <v>17487</v>
      </c>
      <c r="W308" s="4">
        <v>80813</v>
      </c>
      <c r="X308" s="77">
        <v>61869</v>
      </c>
      <c r="Y308" s="101">
        <f t="shared" si="34"/>
        <v>5.9870351163135282</v>
      </c>
      <c r="Z308" s="101">
        <f t="shared" si="35"/>
        <v>13.004988735114258</v>
      </c>
      <c r="AA308" s="4">
        <v>27353</v>
      </c>
      <c r="AB308" s="2" t="s">
        <v>872</v>
      </c>
      <c r="AC308" s="106">
        <v>9870</v>
      </c>
      <c r="AD308" s="4">
        <v>114081</v>
      </c>
      <c r="AE308" s="4">
        <v>6214</v>
      </c>
      <c r="AF308" s="4">
        <v>13498</v>
      </c>
    </row>
    <row r="309" spans="1:32" ht="13.5" thickBot="1" x14ac:dyDescent="0.25">
      <c r="A309" s="2" t="s">
        <v>44</v>
      </c>
      <c r="B309" s="1" t="s">
        <v>43</v>
      </c>
      <c r="C309" s="2" t="s">
        <v>45</v>
      </c>
      <c r="D309" s="77">
        <v>33806</v>
      </c>
      <c r="E309" s="77">
        <v>35697</v>
      </c>
      <c r="F309" s="77">
        <v>20649</v>
      </c>
      <c r="G309" s="77">
        <v>90152</v>
      </c>
      <c r="H309" s="100">
        <f>Table3[[#This Row],[Circulation of Children''s Materials]]/Table3[[#This Row],[Total Population Served]]</f>
        <v>1.198369372562921</v>
      </c>
      <c r="I309" s="100">
        <f>Table3[[#This Row],[Circulation of Electronic Materials]]/Table3[[#This Row],[Total Population Served]]</f>
        <v>0.73197447713576747</v>
      </c>
      <c r="J309" s="100">
        <f t="shared" si="31"/>
        <v>3.1957461892945762</v>
      </c>
      <c r="K309" s="100">
        <f t="shared" si="32"/>
        <v>16.847692020183143</v>
      </c>
      <c r="L309" s="102">
        <v>59496</v>
      </c>
      <c r="M309" s="77">
        <v>80145</v>
      </c>
      <c r="N309" s="77">
        <v>69503</v>
      </c>
      <c r="O309" s="77">
        <v>149648</v>
      </c>
      <c r="P309" s="77">
        <v>64549</v>
      </c>
      <c r="Q309" s="77">
        <v>69584</v>
      </c>
      <c r="R309" s="100">
        <f t="shared" si="33"/>
        <v>2.4666430343849699</v>
      </c>
      <c r="S309" s="77">
        <v>67729</v>
      </c>
      <c r="T309" s="71">
        <f t="shared" si="37"/>
        <v>2.4008862105636299</v>
      </c>
      <c r="U309" s="77">
        <v>10760</v>
      </c>
      <c r="V309" s="77">
        <v>11528</v>
      </c>
      <c r="W309" s="77">
        <v>250755</v>
      </c>
      <c r="X309" s="77">
        <v>39588</v>
      </c>
      <c r="Y309" s="101">
        <f t="shared" si="34"/>
        <v>8.8888691953208081</v>
      </c>
      <c r="Z309" s="101">
        <f t="shared" si="35"/>
        <v>46.861334330031767</v>
      </c>
      <c r="AA309" s="77">
        <v>13599</v>
      </c>
      <c r="AB309" s="2" t="s">
        <v>872</v>
      </c>
      <c r="AC309" s="106">
        <v>4438</v>
      </c>
      <c r="AD309" s="77">
        <v>134133</v>
      </c>
      <c r="AE309" s="77">
        <v>5351</v>
      </c>
      <c r="AF309" s="4">
        <v>28210</v>
      </c>
    </row>
    <row r="310" spans="1:32" ht="13.5" thickBot="1" x14ac:dyDescent="0.25">
      <c r="A310" s="2" t="s">
        <v>47</v>
      </c>
      <c r="B310" s="1" t="s">
        <v>46</v>
      </c>
      <c r="C310" s="2" t="s">
        <v>45</v>
      </c>
      <c r="D310" s="77">
        <v>76383</v>
      </c>
      <c r="E310" s="77">
        <v>74998</v>
      </c>
      <c r="F310" s="77">
        <v>20449</v>
      </c>
      <c r="G310" s="77">
        <v>171830</v>
      </c>
      <c r="H310" s="100">
        <f>Table3[[#This Row],[Circulation of Children''s Materials]]/Table3[[#This Row],[Total Population Served]]</f>
        <v>2.7006682459427926</v>
      </c>
      <c r="I310" s="100">
        <f>Table3[[#This Row],[Circulation of Electronic Materials]]/Table3[[#This Row],[Total Population Served]]</f>
        <v>0.72301382455892227</v>
      </c>
      <c r="J310" s="100">
        <f t="shared" si="31"/>
        <v>6.0753809709012483</v>
      </c>
      <c r="K310" s="100">
        <f t="shared" si="32"/>
        <v>25.746179202876835</v>
      </c>
      <c r="L310" s="102">
        <v>5942</v>
      </c>
      <c r="M310" s="77">
        <v>26391</v>
      </c>
      <c r="N310" s="77">
        <v>151381</v>
      </c>
      <c r="O310" s="77">
        <v>177772</v>
      </c>
      <c r="P310" s="77">
        <v>58250</v>
      </c>
      <c r="Q310" s="77">
        <v>43608</v>
      </c>
      <c r="R310" s="100">
        <f t="shared" si="33"/>
        <v>1.5418449245129584</v>
      </c>
      <c r="S310" s="77">
        <v>3919</v>
      </c>
      <c r="T310" s="71">
        <f t="shared" si="37"/>
        <v>0.138563801576919</v>
      </c>
      <c r="U310" s="77">
        <v>6550</v>
      </c>
      <c r="V310" s="77">
        <v>6667</v>
      </c>
      <c r="W310" s="77">
        <v>89094</v>
      </c>
      <c r="X310" s="77">
        <v>32663</v>
      </c>
      <c r="Y310" s="101">
        <f t="shared" si="34"/>
        <v>3.1500901601668847</v>
      </c>
      <c r="Z310" s="101">
        <f t="shared" si="35"/>
        <v>13.349415642792927</v>
      </c>
      <c r="AA310" s="77">
        <v>9316</v>
      </c>
      <c r="AB310" s="2" t="s">
        <v>872</v>
      </c>
      <c r="AC310" s="106">
        <v>12973</v>
      </c>
      <c r="AD310" s="77">
        <v>101858</v>
      </c>
      <c r="AE310" s="77">
        <v>6674</v>
      </c>
      <c r="AF310" s="4">
        <v>28283</v>
      </c>
    </row>
    <row r="311" spans="1:32" ht="13.5" thickBot="1" x14ac:dyDescent="0.25">
      <c r="A311" s="2" t="s">
        <v>55</v>
      </c>
      <c r="B311" s="1" t="s">
        <v>54</v>
      </c>
      <c r="C311" s="2" t="s">
        <v>45</v>
      </c>
      <c r="D311" s="77">
        <v>19657</v>
      </c>
      <c r="E311" s="77">
        <v>62735</v>
      </c>
      <c r="F311" s="77">
        <v>11682</v>
      </c>
      <c r="G311" s="77">
        <v>94074</v>
      </c>
      <c r="H311" s="100">
        <f>Table3[[#This Row],[Circulation of Children''s Materials]]/Table3[[#This Row],[Total Population Served]]</f>
        <v>0.66413271166970744</v>
      </c>
      <c r="I311" s="100">
        <f>Table3[[#This Row],[Circulation of Electronic Materials]]/Table3[[#This Row],[Total Population Served]]</f>
        <v>0.39468883032637342</v>
      </c>
      <c r="J311" s="100">
        <f t="shared" si="31"/>
        <v>3.1783904317859313</v>
      </c>
      <c r="K311" s="100">
        <f t="shared" si="32"/>
        <v>8.704108068097705</v>
      </c>
      <c r="L311" s="102">
        <v>20700</v>
      </c>
      <c r="M311" s="77">
        <v>32382</v>
      </c>
      <c r="N311" s="77">
        <v>82392</v>
      </c>
      <c r="O311" s="77">
        <v>114774</v>
      </c>
      <c r="P311" s="77">
        <v>70729</v>
      </c>
      <c r="Q311" s="77">
        <v>11644</v>
      </c>
      <c r="R311" s="100">
        <f t="shared" si="33"/>
        <v>0.39340495979458073</v>
      </c>
      <c r="S311" s="77">
        <v>16667</v>
      </c>
      <c r="T311" s="71">
        <f t="shared" si="37"/>
        <v>0.56311237245759849</v>
      </c>
      <c r="U311" s="77">
        <v>9129</v>
      </c>
      <c r="V311" s="77">
        <v>10488</v>
      </c>
      <c r="W311" s="77">
        <v>124845</v>
      </c>
      <c r="X311" s="77">
        <v>196681</v>
      </c>
      <c r="Y311" s="101">
        <f t="shared" si="34"/>
        <v>4.2180214879383744</v>
      </c>
      <c r="Z311" s="101">
        <f t="shared" si="35"/>
        <v>11.551165803108809</v>
      </c>
      <c r="AA311" s="77">
        <v>10908</v>
      </c>
      <c r="AB311" s="2" t="s">
        <v>872</v>
      </c>
      <c r="AC311" s="106">
        <v>4629</v>
      </c>
      <c r="AD311" s="77">
        <v>82373</v>
      </c>
      <c r="AE311" s="77">
        <v>10808</v>
      </c>
      <c r="AF311" s="4">
        <v>29598</v>
      </c>
    </row>
    <row r="312" spans="1:32" ht="13.5" thickBot="1" x14ac:dyDescent="0.25">
      <c r="A312" s="2" t="s">
        <v>80</v>
      </c>
      <c r="B312" s="1" t="s">
        <v>79</v>
      </c>
      <c r="C312" s="2" t="s">
        <v>45</v>
      </c>
      <c r="D312" s="4">
        <v>166290</v>
      </c>
      <c r="E312" s="4">
        <v>248780</v>
      </c>
      <c r="F312" s="4">
        <v>88871</v>
      </c>
      <c r="G312" s="4">
        <v>503941</v>
      </c>
      <c r="H312" s="100">
        <f>Table3[[#This Row],[Circulation of Children''s Materials]]/Table3[[#This Row],[Total Population Served]]</f>
        <v>4.704101838755304</v>
      </c>
      <c r="I312" s="100">
        <f>Table3[[#This Row],[Circulation of Electronic Materials]]/Table3[[#This Row],[Total Population Served]]</f>
        <v>2.5140311173974541</v>
      </c>
      <c r="J312" s="100">
        <f t="shared" si="31"/>
        <v>14.255756718528996</v>
      </c>
      <c r="K312" s="100">
        <f t="shared" si="32"/>
        <v>31.201845086991518</v>
      </c>
      <c r="L312" s="102">
        <v>17437</v>
      </c>
      <c r="M312" s="4">
        <v>106308</v>
      </c>
      <c r="N312" s="4">
        <v>415070</v>
      </c>
      <c r="O312" s="4">
        <v>521378</v>
      </c>
      <c r="P312" s="4">
        <v>138494</v>
      </c>
      <c r="Q312" s="4">
        <v>13792</v>
      </c>
      <c r="R312" s="100">
        <f t="shared" si="33"/>
        <v>0.39015558698727015</v>
      </c>
      <c r="S312" s="4">
        <v>54009</v>
      </c>
      <c r="T312" s="71">
        <f t="shared" si="37"/>
        <v>1.5278359264497878</v>
      </c>
      <c r="U312" s="4">
        <v>8516</v>
      </c>
      <c r="V312" s="4">
        <v>8969</v>
      </c>
      <c r="W312" s="4">
        <v>267938</v>
      </c>
      <c r="X312" s="77">
        <v>299226</v>
      </c>
      <c r="Y312" s="101">
        <f t="shared" si="34"/>
        <v>7.5795756718528997</v>
      </c>
      <c r="Z312" s="101">
        <f t="shared" si="35"/>
        <v>16.589561017893629</v>
      </c>
      <c r="AA312" s="4">
        <v>15098</v>
      </c>
      <c r="AB312" s="2" t="s">
        <v>872</v>
      </c>
      <c r="AC312" s="106">
        <v>237076</v>
      </c>
      <c r="AD312" s="4">
        <v>152286</v>
      </c>
      <c r="AE312" s="4">
        <v>16151</v>
      </c>
      <c r="AF312" s="4">
        <v>35350</v>
      </c>
    </row>
    <row r="313" spans="1:32" ht="13.5" thickBot="1" x14ac:dyDescent="0.25">
      <c r="A313" s="2" t="s">
        <v>92</v>
      </c>
      <c r="B313" s="1" t="s">
        <v>91</v>
      </c>
      <c r="C313" s="2" t="s">
        <v>45</v>
      </c>
      <c r="D313" s="4">
        <v>42929</v>
      </c>
      <c r="E313" s="4">
        <v>123714</v>
      </c>
      <c r="F313" s="4">
        <v>15349</v>
      </c>
      <c r="G313" s="4">
        <v>181992</v>
      </c>
      <c r="H313" s="100">
        <f>Table3[[#This Row],[Circulation of Children''s Materials]]/Table3[[#This Row],[Total Population Served]]</f>
        <v>1.0134085597601568</v>
      </c>
      <c r="I313" s="100">
        <f>Table3[[#This Row],[Circulation of Electronic Materials]]/Table3[[#This Row],[Total Population Served]]</f>
        <v>0.36233799957508084</v>
      </c>
      <c r="J313" s="100">
        <f t="shared" si="31"/>
        <v>4.2962158589268427</v>
      </c>
      <c r="K313" s="100">
        <f t="shared" si="32"/>
        <v>16.198664886515353</v>
      </c>
      <c r="L313" s="103" t="s">
        <v>2632</v>
      </c>
      <c r="M313" s="4">
        <v>15349</v>
      </c>
      <c r="N313" s="4">
        <v>166643</v>
      </c>
      <c r="O313" s="4">
        <v>181992</v>
      </c>
      <c r="P313" s="4">
        <v>84682</v>
      </c>
      <c r="Q313" s="4">
        <v>59559</v>
      </c>
      <c r="R313" s="100">
        <f t="shared" si="33"/>
        <v>1.4059866386534785</v>
      </c>
      <c r="S313" s="4">
        <v>26051</v>
      </c>
      <c r="T313" s="71">
        <f t="shared" si="37"/>
        <v>0.61497603928141453</v>
      </c>
      <c r="U313" s="4">
        <v>16920</v>
      </c>
      <c r="V313" s="4">
        <v>21737</v>
      </c>
      <c r="W313" s="4">
        <v>104319</v>
      </c>
      <c r="X313" s="77">
        <v>43619</v>
      </c>
      <c r="Y313" s="101">
        <f t="shared" si="34"/>
        <v>2.4626189183447038</v>
      </c>
      <c r="Z313" s="101">
        <f t="shared" si="35"/>
        <v>9.2851802403204271</v>
      </c>
      <c r="AA313" s="4">
        <v>32832</v>
      </c>
      <c r="AB313" s="2" t="s">
        <v>872</v>
      </c>
      <c r="AC313" s="106">
        <v>15979</v>
      </c>
      <c r="AD313" s="4">
        <v>144241</v>
      </c>
      <c r="AE313" s="4">
        <v>11235</v>
      </c>
      <c r="AF313" s="4">
        <v>42361</v>
      </c>
    </row>
    <row r="314" spans="1:32" ht="13.5" thickBot="1" x14ac:dyDescent="0.25">
      <c r="A314" s="2" t="s">
        <v>114</v>
      </c>
      <c r="B314" s="1" t="s">
        <v>113</v>
      </c>
      <c r="C314" s="2" t="s">
        <v>45</v>
      </c>
      <c r="D314" s="77">
        <v>259971</v>
      </c>
      <c r="E314" s="77">
        <v>464211</v>
      </c>
      <c r="F314" s="77">
        <v>111691</v>
      </c>
      <c r="G314" s="77">
        <v>835873</v>
      </c>
      <c r="H314" s="100">
        <f>Table3[[#This Row],[Circulation of Children''s Materials]]/Table3[[#This Row],[Total Population Served]]</f>
        <v>6.3299488677867055</v>
      </c>
      <c r="I314" s="100">
        <f>Table3[[#This Row],[Circulation of Electronic Materials]]/Table3[[#This Row],[Total Population Served]]</f>
        <v>2.719527635743852</v>
      </c>
      <c r="J314" s="100">
        <f t="shared" si="31"/>
        <v>20.352398344290236</v>
      </c>
      <c r="K314" s="100">
        <f t="shared" si="32"/>
        <v>24.273231501916598</v>
      </c>
      <c r="L314" s="103" t="s">
        <v>2632</v>
      </c>
      <c r="M314" s="77">
        <v>111691</v>
      </c>
      <c r="N314" s="77">
        <v>724182</v>
      </c>
      <c r="O314" s="77">
        <v>835873</v>
      </c>
      <c r="P314" s="77">
        <v>312876</v>
      </c>
      <c r="Q314" s="77">
        <v>19771</v>
      </c>
      <c r="R314" s="100">
        <f t="shared" si="33"/>
        <v>0.48139761383004626</v>
      </c>
      <c r="S314" s="77">
        <v>53012</v>
      </c>
      <c r="T314" s="71">
        <f t="shared" si="37"/>
        <v>1.2907718529340151</v>
      </c>
      <c r="U314" s="77">
        <v>11955</v>
      </c>
      <c r="V314" s="77">
        <v>10005</v>
      </c>
      <c r="W314" s="77">
        <v>223709</v>
      </c>
      <c r="X314" s="77">
        <v>380491</v>
      </c>
      <c r="Y314" s="101">
        <f t="shared" si="34"/>
        <v>5.447017287557828</v>
      </c>
      <c r="Z314" s="101">
        <f t="shared" si="35"/>
        <v>6.4963700778255316</v>
      </c>
      <c r="AA314" s="77">
        <v>25190</v>
      </c>
      <c r="AB314" s="2" t="s">
        <v>872</v>
      </c>
      <c r="AC314" s="106">
        <v>63258</v>
      </c>
      <c r="AD314" s="77">
        <v>332647</v>
      </c>
      <c r="AE314" s="77">
        <v>34436</v>
      </c>
      <c r="AF314" s="4">
        <v>41070</v>
      </c>
    </row>
    <row r="315" spans="1:32" ht="13.5" thickBot="1" x14ac:dyDescent="0.25">
      <c r="A315" s="2" t="s">
        <v>120</v>
      </c>
      <c r="B315" s="1" t="s">
        <v>119</v>
      </c>
      <c r="C315" s="2" t="s">
        <v>45</v>
      </c>
      <c r="D315" s="77">
        <v>53315</v>
      </c>
      <c r="E315" s="77">
        <v>82332</v>
      </c>
      <c r="F315" s="77">
        <v>18492</v>
      </c>
      <c r="G315" s="77">
        <v>154139</v>
      </c>
      <c r="H315" s="100">
        <f>Table3[[#This Row],[Circulation of Children''s Materials]]/Table3[[#This Row],[Total Population Served]]</f>
        <v>1.1366592047756103</v>
      </c>
      <c r="I315" s="100">
        <f>Table3[[#This Row],[Circulation of Electronic Materials]]/Table3[[#This Row],[Total Population Served]]</f>
        <v>0.39424368404221299</v>
      </c>
      <c r="J315" s="100">
        <f t="shared" si="31"/>
        <v>3.2861955015456776</v>
      </c>
      <c r="K315" s="100">
        <f t="shared" si="32"/>
        <v>6.0011290636558305</v>
      </c>
      <c r="L315" s="102">
        <v>34047</v>
      </c>
      <c r="M315" s="77">
        <v>52539</v>
      </c>
      <c r="N315" s="77">
        <v>135647</v>
      </c>
      <c r="O315" s="77">
        <v>188186</v>
      </c>
      <c r="P315" s="77">
        <v>113167</v>
      </c>
      <c r="Q315" s="77">
        <v>298778</v>
      </c>
      <c r="R315" s="100">
        <f t="shared" si="33"/>
        <v>6.3698539601321817</v>
      </c>
      <c r="S315" s="77">
        <v>20990</v>
      </c>
      <c r="T315" s="71">
        <f t="shared" si="37"/>
        <v>0.44750026649610913</v>
      </c>
      <c r="U315" s="77">
        <v>7867</v>
      </c>
      <c r="V315" s="77">
        <v>8169</v>
      </c>
      <c r="W315" s="77">
        <v>193922</v>
      </c>
      <c r="X315" s="77">
        <v>177799</v>
      </c>
      <c r="Y315" s="101">
        <f t="shared" si="34"/>
        <v>4.1343566783924954</v>
      </c>
      <c r="Z315" s="101">
        <f t="shared" si="35"/>
        <v>7.5500097333073777</v>
      </c>
      <c r="AA315" s="77">
        <v>44181</v>
      </c>
      <c r="AB315" s="2" t="s">
        <v>872</v>
      </c>
      <c r="AC315" s="106">
        <v>425714</v>
      </c>
      <c r="AD315" s="77">
        <v>411945</v>
      </c>
      <c r="AE315" s="77">
        <v>25685</v>
      </c>
      <c r="AF315" s="4">
        <v>46905</v>
      </c>
    </row>
    <row r="316" spans="1:32" ht="13.5" thickBot="1" x14ac:dyDescent="0.25">
      <c r="A316" s="2" t="s">
        <v>130</v>
      </c>
      <c r="B316" s="1" t="s">
        <v>129</v>
      </c>
      <c r="C316" s="2" t="s">
        <v>45</v>
      </c>
      <c r="D316" s="77">
        <v>128652</v>
      </c>
      <c r="E316" s="77">
        <v>175034</v>
      </c>
      <c r="F316" s="77">
        <v>57140</v>
      </c>
      <c r="G316" s="77">
        <v>360826</v>
      </c>
      <c r="H316" s="100">
        <f>Table3[[#This Row],[Circulation of Children''s Materials]]/Table3[[#This Row],[Total Population Served]]</f>
        <v>2.9743376335136635</v>
      </c>
      <c r="I316" s="100">
        <f>Table3[[#This Row],[Circulation of Electronic Materials]]/Table3[[#This Row],[Total Population Served]]</f>
        <v>1.3210338928191612</v>
      </c>
      <c r="J316" s="100">
        <f t="shared" si="31"/>
        <v>8.3420261709899659</v>
      </c>
      <c r="K316" s="100">
        <f t="shared" si="32"/>
        <v>26.046776871435789</v>
      </c>
      <c r="L316" s="102">
        <v>57340</v>
      </c>
      <c r="M316" s="77">
        <v>114480</v>
      </c>
      <c r="N316" s="77">
        <v>303686</v>
      </c>
      <c r="O316" s="77">
        <v>418166</v>
      </c>
      <c r="P316" s="77">
        <v>102024</v>
      </c>
      <c r="Q316" s="77">
        <v>57140</v>
      </c>
      <c r="R316" s="100">
        <f t="shared" si="33"/>
        <v>1.3210338928191612</v>
      </c>
      <c r="S316" s="77">
        <v>24395</v>
      </c>
      <c r="T316" s="71">
        <f t="shared" si="37"/>
        <v>0.56399408147223373</v>
      </c>
      <c r="U316" s="77">
        <v>25779</v>
      </c>
      <c r="V316" s="77">
        <v>43378</v>
      </c>
      <c r="W316" s="77">
        <v>185800</v>
      </c>
      <c r="X316" s="77">
        <v>174438</v>
      </c>
      <c r="Y316" s="101">
        <f t="shared" si="34"/>
        <v>4.2955564803255193</v>
      </c>
      <c r="Z316" s="101">
        <f t="shared" si="35"/>
        <v>13.412257272792896</v>
      </c>
      <c r="AA316" s="77">
        <v>30649</v>
      </c>
      <c r="AB316" s="2" t="s">
        <v>872</v>
      </c>
      <c r="AC316" s="106">
        <v>12444</v>
      </c>
      <c r="AD316" s="77">
        <v>159164</v>
      </c>
      <c r="AE316" s="77">
        <v>13853</v>
      </c>
      <c r="AF316" s="4">
        <v>43254</v>
      </c>
    </row>
    <row r="317" spans="1:32" ht="13.5" thickBot="1" x14ac:dyDescent="0.25">
      <c r="A317" s="2" t="s">
        <v>142</v>
      </c>
      <c r="B317" s="1" t="s">
        <v>141</v>
      </c>
      <c r="C317" s="2" t="s">
        <v>45</v>
      </c>
      <c r="D317" s="4">
        <v>53076</v>
      </c>
      <c r="E317" s="4">
        <v>124708</v>
      </c>
      <c r="F317" s="4">
        <v>20831</v>
      </c>
      <c r="G317" s="4">
        <v>198615</v>
      </c>
      <c r="H317" s="100">
        <f>Table3[[#This Row],[Circulation of Children''s Materials]]/Table3[[#This Row],[Total Population Served]]</f>
        <v>1.512697010288711</v>
      </c>
      <c r="I317" s="100">
        <f>Table3[[#This Row],[Circulation of Electronic Materials]]/Table3[[#This Row],[Total Population Served]]</f>
        <v>0.59369567076125063</v>
      </c>
      <c r="J317" s="100">
        <f t="shared" si="31"/>
        <v>5.6606435431926352</v>
      </c>
      <c r="K317" s="100">
        <f t="shared" si="32"/>
        <v>7.7499219603558611</v>
      </c>
      <c r="L317" s="102">
        <v>40446</v>
      </c>
      <c r="M317" s="4">
        <v>61277</v>
      </c>
      <c r="N317" s="4">
        <v>177784</v>
      </c>
      <c r="O317" s="4">
        <v>239061</v>
      </c>
      <c r="P317" s="4">
        <v>88380</v>
      </c>
      <c r="Q317" s="4">
        <v>26413</v>
      </c>
      <c r="R317" s="100">
        <f t="shared" si="33"/>
        <v>0.75278593211160827</v>
      </c>
      <c r="S317" s="77">
        <v>11027</v>
      </c>
      <c r="T317" s="71">
        <f t="shared" si="37"/>
        <v>0.31427594265682446</v>
      </c>
      <c r="U317" s="77">
        <v>11622</v>
      </c>
      <c r="V317" s="4">
        <v>8255</v>
      </c>
      <c r="W317" s="4">
        <v>151567</v>
      </c>
      <c r="X317" s="77">
        <v>52341</v>
      </c>
      <c r="Y317" s="101">
        <f t="shared" si="34"/>
        <v>4.3197480548351237</v>
      </c>
      <c r="Z317" s="101">
        <f t="shared" si="35"/>
        <v>5.9141173716247852</v>
      </c>
      <c r="AA317" s="77">
        <v>34561</v>
      </c>
      <c r="AB317" s="2" t="s">
        <v>872</v>
      </c>
      <c r="AC317" s="106">
        <v>36260</v>
      </c>
      <c r="AD317" s="4">
        <v>114793</v>
      </c>
      <c r="AE317" s="4">
        <v>25628</v>
      </c>
      <c r="AF317" s="4">
        <v>35087</v>
      </c>
    </row>
    <row r="318" spans="1:32" ht="13.5" thickBot="1" x14ac:dyDescent="0.25">
      <c r="A318" s="2" t="s">
        <v>158</v>
      </c>
      <c r="B318" s="1" t="s">
        <v>157</v>
      </c>
      <c r="C318" s="2" t="s">
        <v>45</v>
      </c>
      <c r="D318" s="4">
        <v>34018</v>
      </c>
      <c r="E318" s="4">
        <v>75313</v>
      </c>
      <c r="F318" s="4">
        <v>19300</v>
      </c>
      <c r="G318" s="4">
        <v>128631</v>
      </c>
      <c r="H318" s="100">
        <f>Table3[[#This Row],[Circulation of Children''s Materials]]/Table3[[#This Row],[Total Population Served]]</f>
        <v>0.89516341245197617</v>
      </c>
      <c r="I318" s="100">
        <f>Table3[[#This Row],[Circulation of Electronic Materials]]/Table3[[#This Row],[Total Population Served]]</f>
        <v>0.50786800694700274</v>
      </c>
      <c r="J318" s="100">
        <f t="shared" si="31"/>
        <v>3.3848481658860061</v>
      </c>
      <c r="K318" s="100">
        <f t="shared" si="32"/>
        <v>21.118207190937447</v>
      </c>
      <c r="L318" s="102">
        <v>737</v>
      </c>
      <c r="M318" s="4">
        <v>20037</v>
      </c>
      <c r="N318" s="4">
        <v>109331</v>
      </c>
      <c r="O318" s="4">
        <v>129368</v>
      </c>
      <c r="P318" s="4">
        <v>93370</v>
      </c>
      <c r="Q318" s="4">
        <v>317454</v>
      </c>
      <c r="R318" s="100">
        <f t="shared" si="33"/>
        <v>8.35361296773854</v>
      </c>
      <c r="S318" s="4">
        <v>5139</v>
      </c>
      <c r="T318" s="71">
        <f t="shared" si="37"/>
        <v>0.13522972475132888</v>
      </c>
      <c r="U318" s="4">
        <v>13059</v>
      </c>
      <c r="V318" s="4">
        <v>14444</v>
      </c>
      <c r="W318" s="4">
        <v>62085</v>
      </c>
      <c r="X318" s="77">
        <v>51636</v>
      </c>
      <c r="Y318" s="101">
        <f t="shared" si="34"/>
        <v>1.6337298036945425</v>
      </c>
      <c r="Z318" s="101">
        <f t="shared" si="35"/>
        <v>10.192907568543752</v>
      </c>
      <c r="AA318" s="4">
        <v>32361</v>
      </c>
      <c r="AB318" s="2" t="s">
        <v>872</v>
      </c>
      <c r="AC318" s="106">
        <v>30000</v>
      </c>
      <c r="AD318" s="4">
        <v>410824</v>
      </c>
      <c r="AE318" s="4">
        <v>6091</v>
      </c>
      <c r="AF318" s="4">
        <v>38002</v>
      </c>
    </row>
    <row r="319" spans="1:32" ht="13.5" thickBot="1" x14ac:dyDescent="0.25">
      <c r="A319" s="2" t="s">
        <v>178</v>
      </c>
      <c r="B319" s="1" t="s">
        <v>177</v>
      </c>
      <c r="C319" s="2" t="s">
        <v>45</v>
      </c>
      <c r="D319" s="4">
        <v>38982</v>
      </c>
      <c r="E319" s="4">
        <v>94994</v>
      </c>
      <c r="F319" s="4">
        <v>37650</v>
      </c>
      <c r="G319" s="4">
        <v>171626</v>
      </c>
      <c r="H319" s="100">
        <f>Table3[[#This Row],[Circulation of Children''s Materials]]/Table3[[#This Row],[Total Population Served]]</f>
        <v>0.89859615960904549</v>
      </c>
      <c r="I319" s="100">
        <f>Table3[[#This Row],[Circulation of Electronic Materials]]/Table3[[#This Row],[Total Population Served]]</f>
        <v>0.86789147322560567</v>
      </c>
      <c r="J319" s="100">
        <f t="shared" si="31"/>
        <v>3.9562481270602339</v>
      </c>
      <c r="K319" s="100">
        <f t="shared" si="32"/>
        <v>9.2901374905272274</v>
      </c>
      <c r="L319" s="102">
        <v>220</v>
      </c>
      <c r="M319" s="4">
        <v>37870</v>
      </c>
      <c r="N319" s="4">
        <v>133976</v>
      </c>
      <c r="O319" s="4">
        <v>171846</v>
      </c>
      <c r="P319" s="4">
        <v>87880</v>
      </c>
      <c r="Q319" s="4">
        <v>34416</v>
      </c>
      <c r="R319" s="100">
        <f t="shared" si="33"/>
        <v>0.79334270763698389</v>
      </c>
      <c r="S319" s="4">
        <v>12598</v>
      </c>
      <c r="T319" s="71">
        <f t="shared" si="37"/>
        <v>0.29040363292685739</v>
      </c>
      <c r="U319" s="4">
        <v>30388</v>
      </c>
      <c r="V319" s="4">
        <v>29071</v>
      </c>
      <c r="W319" s="4">
        <v>79131</v>
      </c>
      <c r="X319" s="77">
        <v>62995</v>
      </c>
      <c r="Y319" s="101">
        <f t="shared" si="34"/>
        <v>1.8240934971531315</v>
      </c>
      <c r="Z319" s="101">
        <f t="shared" si="35"/>
        <v>4.2833712244235143</v>
      </c>
      <c r="AA319" s="4">
        <v>8661</v>
      </c>
      <c r="AB319" s="2" t="s">
        <v>872</v>
      </c>
      <c r="AC319" s="106">
        <v>20139</v>
      </c>
      <c r="AD319" s="4">
        <v>122296</v>
      </c>
      <c r="AE319" s="4">
        <v>18474</v>
      </c>
      <c r="AF319" s="4">
        <v>43381</v>
      </c>
    </row>
    <row r="320" spans="1:32" ht="13.5" thickBot="1" x14ac:dyDescent="0.25">
      <c r="A320" s="2" t="s">
        <v>182</v>
      </c>
      <c r="B320" s="1" t="s">
        <v>181</v>
      </c>
      <c r="C320" s="2" t="s">
        <v>45</v>
      </c>
      <c r="D320" s="4">
        <v>134082</v>
      </c>
      <c r="E320" s="4">
        <v>197236</v>
      </c>
      <c r="F320" s="4">
        <v>37107</v>
      </c>
      <c r="G320" s="4">
        <v>368425</v>
      </c>
      <c r="H320" s="100">
        <f>Table3[[#This Row],[Circulation of Children''s Materials]]/Table3[[#This Row],[Total Population Served]]</f>
        <v>3.770266850378202</v>
      </c>
      <c r="I320" s="100">
        <f>Table3[[#This Row],[Circulation of Electronic Materials]]/Table3[[#This Row],[Total Population Served]]</f>
        <v>1.0434159097938869</v>
      </c>
      <c r="J320" s="100">
        <f t="shared" si="31"/>
        <v>10.359784045215534</v>
      </c>
      <c r="K320" s="100">
        <f t="shared" si="32"/>
        <v>26.31607142857143</v>
      </c>
      <c r="L320" s="102">
        <v>0</v>
      </c>
      <c r="M320" s="4">
        <v>37107</v>
      </c>
      <c r="N320" s="4">
        <v>331318</v>
      </c>
      <c r="O320" s="4">
        <v>368425</v>
      </c>
      <c r="P320" s="4">
        <v>106019</v>
      </c>
      <c r="Q320" s="4">
        <v>34375</v>
      </c>
      <c r="R320" s="100">
        <f t="shared" si="33"/>
        <v>0.96659449427776056</v>
      </c>
      <c r="S320" s="4">
        <v>13660</v>
      </c>
      <c r="T320" s="71">
        <f t="shared" si="37"/>
        <v>0.38410707758063156</v>
      </c>
      <c r="U320" s="4">
        <v>4221</v>
      </c>
      <c r="V320" s="4">
        <v>4890</v>
      </c>
      <c r="W320" s="4">
        <v>138323</v>
      </c>
      <c r="X320" s="77">
        <v>76972</v>
      </c>
      <c r="Y320" s="101">
        <f t="shared" si="34"/>
        <v>3.8895200067485871</v>
      </c>
      <c r="Z320" s="101">
        <f t="shared" si="35"/>
        <v>9.8802142857142865</v>
      </c>
      <c r="AA320" s="4">
        <v>13567</v>
      </c>
      <c r="AB320" s="2" t="s">
        <v>872</v>
      </c>
      <c r="AC320" s="106">
        <v>33543</v>
      </c>
      <c r="AD320" s="4">
        <v>140394</v>
      </c>
      <c r="AE320" s="4">
        <v>14000</v>
      </c>
      <c r="AF320" s="4">
        <v>35563</v>
      </c>
    </row>
    <row r="321" spans="1:32" ht="13.5" thickBot="1" x14ac:dyDescent="0.25">
      <c r="A321" s="2" t="s">
        <v>196</v>
      </c>
      <c r="B321" s="1" t="s">
        <v>195</v>
      </c>
      <c r="C321" s="2" t="s">
        <v>45</v>
      </c>
      <c r="D321" s="77">
        <v>119261</v>
      </c>
      <c r="E321" s="77">
        <v>151792</v>
      </c>
      <c r="F321" s="77">
        <v>41286</v>
      </c>
      <c r="G321" s="77">
        <v>312339</v>
      </c>
      <c r="H321" s="100">
        <f>Table3[[#This Row],[Circulation of Children''s Materials]]/Table3[[#This Row],[Total Population Served]]</f>
        <v>2.9677250783855076</v>
      </c>
      <c r="I321" s="100">
        <f>Table3[[#This Row],[Circulation of Electronic Materials]]/Table3[[#This Row],[Total Population Served]]</f>
        <v>1.0273727168665705</v>
      </c>
      <c r="J321" s="100">
        <f t="shared" si="31"/>
        <v>7.7723336485343157</v>
      </c>
      <c r="K321" s="100">
        <f t="shared" si="32"/>
        <v>20.606914297024478</v>
      </c>
      <c r="L321" s="102">
        <v>1800</v>
      </c>
      <c r="M321" s="77">
        <v>43086</v>
      </c>
      <c r="N321" s="77">
        <v>271053</v>
      </c>
      <c r="O321" s="77">
        <v>314139</v>
      </c>
      <c r="P321" s="77">
        <v>86006</v>
      </c>
      <c r="Q321" s="77">
        <v>41384</v>
      </c>
      <c r="R321" s="100">
        <f t="shared" si="33"/>
        <v>1.0298113770965012</v>
      </c>
      <c r="S321" s="77">
        <v>84872</v>
      </c>
      <c r="T321" s="71">
        <f t="shared" si="37"/>
        <v>2.1119792962723336</v>
      </c>
      <c r="U321" s="77">
        <v>31105</v>
      </c>
      <c r="V321" s="77">
        <v>38214</v>
      </c>
      <c r="W321" s="77">
        <v>151617</v>
      </c>
      <c r="X321" s="77">
        <v>80607</v>
      </c>
      <c r="Y321" s="101">
        <f t="shared" si="34"/>
        <v>3.7728811028716467</v>
      </c>
      <c r="Z321" s="101">
        <f t="shared" si="35"/>
        <v>10.003100877482352</v>
      </c>
      <c r="AA321" s="77">
        <v>13010</v>
      </c>
      <c r="AB321" s="2" t="s">
        <v>872</v>
      </c>
      <c r="AC321" s="106">
        <v>18852</v>
      </c>
      <c r="AD321" s="77">
        <v>127390</v>
      </c>
      <c r="AE321" s="77">
        <v>15157</v>
      </c>
      <c r="AF321" s="4">
        <v>40186</v>
      </c>
    </row>
    <row r="322" spans="1:32" ht="13.5" thickBot="1" x14ac:dyDescent="0.25">
      <c r="A322" s="2" t="s">
        <v>198</v>
      </c>
      <c r="B322" s="1" t="s">
        <v>197</v>
      </c>
      <c r="C322" s="2" t="s">
        <v>45</v>
      </c>
      <c r="D322" s="77">
        <v>32466</v>
      </c>
      <c r="E322" s="77">
        <v>50560</v>
      </c>
      <c r="F322" s="77">
        <v>11372</v>
      </c>
      <c r="G322" s="77">
        <v>94398</v>
      </c>
      <c r="H322" s="100">
        <f>Table3[[#This Row],[Circulation of Children''s Materials]]/Table3[[#This Row],[Total Population Served]]</f>
        <v>1.1487103279906592</v>
      </c>
      <c r="I322" s="100">
        <f>Table3[[#This Row],[Circulation of Electronic Materials]]/Table3[[#This Row],[Total Population Served]]</f>
        <v>0.40236351413508825</v>
      </c>
      <c r="J322" s="100">
        <f t="shared" si="31"/>
        <v>3.3399851395817852</v>
      </c>
      <c r="K322" s="100">
        <f t="shared" si="32"/>
        <v>15.208313194780088</v>
      </c>
      <c r="L322" s="103" t="s">
        <v>2632</v>
      </c>
      <c r="M322" s="77">
        <v>11372</v>
      </c>
      <c r="N322" s="77">
        <v>83026</v>
      </c>
      <c r="O322" s="77">
        <v>94398</v>
      </c>
      <c r="P322" s="77">
        <v>44072</v>
      </c>
      <c r="Q322" s="77">
        <v>16877</v>
      </c>
      <c r="R322" s="100">
        <f t="shared" si="33"/>
        <v>0.59714113859109086</v>
      </c>
      <c r="S322" s="77">
        <v>14552</v>
      </c>
      <c r="T322" s="71">
        <f t="shared" si="37"/>
        <v>0.51487810918869192</v>
      </c>
      <c r="U322" s="77">
        <v>13422</v>
      </c>
      <c r="V322" s="77">
        <v>15456</v>
      </c>
      <c r="W322" s="77">
        <v>82792</v>
      </c>
      <c r="X322" s="78" t="s">
        <v>16</v>
      </c>
      <c r="Y322" s="101">
        <f t="shared" si="34"/>
        <v>2.9293422495842623</v>
      </c>
      <c r="Z322" s="101">
        <f t="shared" si="35"/>
        <v>13.338488802964395</v>
      </c>
      <c r="AA322" s="77">
        <v>17781</v>
      </c>
      <c r="AB322" s="2" t="s">
        <v>872</v>
      </c>
      <c r="AC322" s="106">
        <v>3452</v>
      </c>
      <c r="AD322" s="77">
        <v>60949</v>
      </c>
      <c r="AE322" s="77">
        <v>6207</v>
      </c>
      <c r="AF322" s="4">
        <v>28263</v>
      </c>
    </row>
    <row r="323" spans="1:32" ht="13.5" thickBot="1" x14ac:dyDescent="0.25">
      <c r="A323" s="2" t="s">
        <v>208</v>
      </c>
      <c r="B323" s="1" t="s">
        <v>207</v>
      </c>
      <c r="C323" s="2" t="s">
        <v>45</v>
      </c>
      <c r="D323" s="77">
        <v>72656</v>
      </c>
      <c r="E323" s="77">
        <v>250330</v>
      </c>
      <c r="F323" s="77">
        <v>26885</v>
      </c>
      <c r="G323" s="77">
        <v>349871</v>
      </c>
      <c r="H323" s="100">
        <f>Table3[[#This Row],[Circulation of Children''s Materials]]/Table3[[#This Row],[Total Population Served]]</f>
        <v>2.7530597552195823</v>
      </c>
      <c r="I323" s="100">
        <f>Table3[[#This Row],[Circulation of Electronic Materials]]/Table3[[#This Row],[Total Population Served]]</f>
        <v>1.0187185025197985</v>
      </c>
      <c r="J323" s="100">
        <f t="shared" si="31"/>
        <v>13.257208896972452</v>
      </c>
      <c r="K323" s="100">
        <f t="shared" si="32"/>
        <v>34.833831142970929</v>
      </c>
      <c r="L323" s="102">
        <v>76133</v>
      </c>
      <c r="M323" s="77">
        <v>103018</v>
      </c>
      <c r="N323" s="77">
        <v>322986</v>
      </c>
      <c r="O323" s="77">
        <v>426004</v>
      </c>
      <c r="P323" s="77">
        <v>71867</v>
      </c>
      <c r="Q323" s="77">
        <v>1052137</v>
      </c>
      <c r="R323" s="100">
        <f t="shared" si="33"/>
        <v>39.867265355613654</v>
      </c>
      <c r="S323" s="77">
        <v>21345</v>
      </c>
      <c r="T323" s="71">
        <f t="shared" si="37"/>
        <v>0.80879845401841532</v>
      </c>
      <c r="U323" s="77">
        <v>19224</v>
      </c>
      <c r="V323" s="77">
        <v>18704</v>
      </c>
      <c r="W323" s="77">
        <v>126500</v>
      </c>
      <c r="X323" s="77">
        <v>117813</v>
      </c>
      <c r="Y323" s="101">
        <f t="shared" si="34"/>
        <v>4.7933007464665982</v>
      </c>
      <c r="Z323" s="101">
        <f t="shared" si="35"/>
        <v>12.594583831142971</v>
      </c>
      <c r="AA323" s="77">
        <v>7818</v>
      </c>
      <c r="AB323" s="2" t="s">
        <v>872</v>
      </c>
      <c r="AC323" s="106">
        <v>25793</v>
      </c>
      <c r="AD323" s="77">
        <v>1124004</v>
      </c>
      <c r="AE323" s="77">
        <v>10044</v>
      </c>
      <c r="AF323" s="4">
        <v>26391</v>
      </c>
    </row>
    <row r="324" spans="1:32" ht="13.5" thickBot="1" x14ac:dyDescent="0.25">
      <c r="A324" s="2" t="s">
        <v>227</v>
      </c>
      <c r="B324" s="1" t="s">
        <v>226</v>
      </c>
      <c r="C324" s="2" t="s">
        <v>45</v>
      </c>
      <c r="D324" s="77">
        <v>89286</v>
      </c>
      <c r="E324" s="77">
        <v>153165</v>
      </c>
      <c r="F324" s="77">
        <v>35075</v>
      </c>
      <c r="G324" s="77">
        <v>277526</v>
      </c>
      <c r="H324" s="100">
        <f>Table3[[#This Row],[Circulation of Children''s Materials]]/Table3[[#This Row],[Total Population Served]]</f>
        <v>2.7222171407664866</v>
      </c>
      <c r="I324" s="100">
        <f>Table3[[#This Row],[Circulation of Electronic Materials]]/Table3[[#This Row],[Total Population Served]]</f>
        <v>1.0693923595231563</v>
      </c>
      <c r="J324" s="100">
        <f t="shared" ref="J324:J387" si="38">G324/AF324</f>
        <v>8.4614165066008109</v>
      </c>
      <c r="K324" s="100">
        <f t="shared" ref="K324:K387" si="39">G324/AE324</f>
        <v>9.3029632609278625</v>
      </c>
      <c r="L324" s="102">
        <v>16602</v>
      </c>
      <c r="M324" s="77">
        <v>51677</v>
      </c>
      <c r="N324" s="77">
        <v>242451</v>
      </c>
      <c r="O324" s="77">
        <v>294128</v>
      </c>
      <c r="P324" s="77">
        <v>67154</v>
      </c>
      <c r="Q324" s="77">
        <v>18452</v>
      </c>
      <c r="R324" s="100">
        <f t="shared" ref="R324:R387" si="40">Q324/AF324</f>
        <v>0.56257812738193236</v>
      </c>
      <c r="S324" s="77">
        <v>20937</v>
      </c>
      <c r="T324" s="71">
        <f t="shared" si="37"/>
        <v>0.63834263239732913</v>
      </c>
      <c r="U324" s="77">
        <v>12637</v>
      </c>
      <c r="V324" s="77">
        <v>15859</v>
      </c>
      <c r="W324" s="77">
        <v>157355</v>
      </c>
      <c r="X324" s="77">
        <v>111297</v>
      </c>
      <c r="Y324" s="101">
        <f t="shared" ref="Y324:Y387" si="41">W324/AF324</f>
        <v>4.7975548035001063</v>
      </c>
      <c r="Z324" s="101">
        <f t="shared" ref="Z324:Z387" si="42">W324/AE324</f>
        <v>5.2747050147492622</v>
      </c>
      <c r="AA324" s="77">
        <v>24897</v>
      </c>
      <c r="AB324" s="2" t="s">
        <v>872</v>
      </c>
      <c r="AC324" s="106">
        <v>49724</v>
      </c>
      <c r="AD324" s="77">
        <v>85606</v>
      </c>
      <c r="AE324" s="77">
        <v>29832</v>
      </c>
      <c r="AF324" s="4">
        <v>32799</v>
      </c>
    </row>
    <row r="325" spans="1:32" ht="13.5" thickBot="1" x14ac:dyDescent="0.25">
      <c r="A325" s="2" t="s">
        <v>239</v>
      </c>
      <c r="B325" s="1" t="s">
        <v>238</v>
      </c>
      <c r="C325" s="2" t="s">
        <v>45</v>
      </c>
      <c r="D325" s="4">
        <v>36633</v>
      </c>
      <c r="E325" s="4">
        <v>123791</v>
      </c>
      <c r="F325" s="4">
        <v>7707</v>
      </c>
      <c r="G325" s="4">
        <v>168131</v>
      </c>
      <c r="H325" s="100">
        <f>Table3[[#This Row],[Circulation of Children''s Materials]]/Table3[[#This Row],[Total Population Served]]</f>
        <v>1.3999159278508102</v>
      </c>
      <c r="I325" s="100">
        <f>Table3[[#This Row],[Circulation of Electronic Materials]]/Table3[[#This Row],[Total Population Served]]</f>
        <v>0.29452002445735248</v>
      </c>
      <c r="J325" s="100">
        <f t="shared" si="38"/>
        <v>6.425061143381229</v>
      </c>
      <c r="K325" s="100">
        <f t="shared" si="39"/>
        <v>15.93960940462647</v>
      </c>
      <c r="L325" s="102">
        <v>947</v>
      </c>
      <c r="M325" s="4">
        <v>8654</v>
      </c>
      <c r="N325" s="4">
        <v>160424</v>
      </c>
      <c r="O325" s="4">
        <v>169078</v>
      </c>
      <c r="P325" s="4">
        <v>106949</v>
      </c>
      <c r="Q325" s="4">
        <v>11306</v>
      </c>
      <c r="R325" s="100">
        <f t="shared" si="40"/>
        <v>0.43205441760929381</v>
      </c>
      <c r="S325" s="4">
        <v>17875</v>
      </c>
      <c r="T325" s="71">
        <f t="shared" si="37"/>
        <v>0.68308621216753285</v>
      </c>
      <c r="U325" s="4">
        <v>12474</v>
      </c>
      <c r="V325" s="4">
        <v>12082</v>
      </c>
      <c r="W325" s="4">
        <v>115333</v>
      </c>
      <c r="X325" s="77">
        <v>38256</v>
      </c>
      <c r="Y325" s="101">
        <f t="shared" si="41"/>
        <v>4.4074059920513609</v>
      </c>
      <c r="Z325" s="101">
        <f t="shared" si="42"/>
        <v>10.934110731892302</v>
      </c>
      <c r="AA325" s="4">
        <v>17293</v>
      </c>
      <c r="AB325" s="2" t="s">
        <v>872</v>
      </c>
      <c r="AC325" s="106">
        <v>14962</v>
      </c>
      <c r="AD325" s="4">
        <v>118255</v>
      </c>
      <c r="AE325" s="4">
        <v>10548</v>
      </c>
      <c r="AF325" s="4">
        <v>26168</v>
      </c>
    </row>
    <row r="326" spans="1:32" ht="13.5" thickBot="1" x14ac:dyDescent="0.25">
      <c r="A326" s="2" t="s">
        <v>251</v>
      </c>
      <c r="B326" s="1" t="s">
        <v>250</v>
      </c>
      <c r="C326" s="2" t="s">
        <v>45</v>
      </c>
      <c r="D326" s="77">
        <v>102832</v>
      </c>
      <c r="E326" s="77">
        <v>140065</v>
      </c>
      <c r="F326" s="77">
        <v>64586</v>
      </c>
      <c r="G326" s="77">
        <v>307483</v>
      </c>
      <c r="H326" s="100">
        <f>Table3[[#This Row],[Circulation of Children''s Materials]]/Table3[[#This Row],[Total Population Served]]</f>
        <v>2.1167994400872807</v>
      </c>
      <c r="I326" s="100">
        <f>Table3[[#This Row],[Circulation of Electronic Materials]]/Table3[[#This Row],[Total Population Served]]</f>
        <v>1.3295045184133061</v>
      </c>
      <c r="J326" s="100">
        <f t="shared" si="38"/>
        <v>6.3295456884662098</v>
      </c>
      <c r="K326" s="100">
        <f t="shared" si="39"/>
        <v>17.868607624360763</v>
      </c>
      <c r="L326" s="102">
        <v>1240</v>
      </c>
      <c r="M326" s="77">
        <v>65826</v>
      </c>
      <c r="N326" s="77">
        <v>242897</v>
      </c>
      <c r="O326" s="77">
        <v>308723</v>
      </c>
      <c r="P326" s="77">
        <v>86196</v>
      </c>
      <c r="Q326" s="77">
        <v>91461</v>
      </c>
      <c r="R326" s="100">
        <f t="shared" si="40"/>
        <v>1.882727104304329</v>
      </c>
      <c r="S326" s="77">
        <v>57097</v>
      </c>
      <c r="T326" s="71">
        <f t="shared" si="37"/>
        <v>1.1753432553160832</v>
      </c>
      <c r="U326" s="77">
        <v>10758</v>
      </c>
      <c r="V326" s="77">
        <v>12567</v>
      </c>
      <c r="W326" s="77">
        <v>241897</v>
      </c>
      <c r="X326" s="77">
        <v>198946</v>
      </c>
      <c r="Y326" s="101">
        <f t="shared" si="41"/>
        <v>4.9794561436011442</v>
      </c>
      <c r="Z326" s="101">
        <f t="shared" si="42"/>
        <v>14.057240818224082</v>
      </c>
      <c r="AA326" s="77">
        <v>28468</v>
      </c>
      <c r="AB326" s="2" t="s">
        <v>872</v>
      </c>
      <c r="AC326" s="106">
        <v>60813</v>
      </c>
      <c r="AD326" s="77">
        <v>177657</v>
      </c>
      <c r="AE326" s="77">
        <v>17208</v>
      </c>
      <c r="AF326" s="4">
        <v>48579</v>
      </c>
    </row>
    <row r="327" spans="1:32" ht="13.5" thickBot="1" x14ac:dyDescent="0.25">
      <c r="A327" s="2" t="s">
        <v>253</v>
      </c>
      <c r="B327" s="1" t="s">
        <v>252</v>
      </c>
      <c r="C327" s="2" t="s">
        <v>45</v>
      </c>
      <c r="D327" s="4">
        <v>26471</v>
      </c>
      <c r="E327" s="4">
        <v>52940</v>
      </c>
      <c r="F327" s="4">
        <v>14094</v>
      </c>
      <c r="G327" s="4">
        <v>93505</v>
      </c>
      <c r="H327" s="100">
        <f>Table3[[#This Row],[Circulation of Children''s Materials]]/Table3[[#This Row],[Total Population Served]]</f>
        <v>0.81594846187041492</v>
      </c>
      <c r="I327" s="100">
        <f>Table3[[#This Row],[Circulation of Electronic Materials]]/Table3[[#This Row],[Total Population Served]]</f>
        <v>0.43443684113186609</v>
      </c>
      <c r="J327" s="100">
        <f t="shared" si="38"/>
        <v>2.8822205782627459</v>
      </c>
      <c r="K327" s="100">
        <f t="shared" si="39"/>
        <v>5.6970084688966063</v>
      </c>
      <c r="L327" s="102">
        <v>7433</v>
      </c>
      <c r="M327" s="4">
        <v>21527</v>
      </c>
      <c r="N327" s="4">
        <v>79411</v>
      </c>
      <c r="O327" s="4">
        <v>100938</v>
      </c>
      <c r="P327" s="4">
        <v>71305</v>
      </c>
      <c r="Q327" s="4">
        <v>21359</v>
      </c>
      <c r="R327" s="100">
        <f t="shared" si="40"/>
        <v>0.65837494605757974</v>
      </c>
      <c r="S327" s="4">
        <v>17114</v>
      </c>
      <c r="T327" s="71">
        <f t="shared" si="37"/>
        <v>0.5275260464829542</v>
      </c>
      <c r="U327" s="4">
        <v>20580</v>
      </c>
      <c r="V327" s="4">
        <v>19625</v>
      </c>
      <c r="W327" s="4">
        <v>80440</v>
      </c>
      <c r="X327" s="77">
        <v>14954</v>
      </c>
      <c r="Y327" s="101">
        <f t="shared" si="41"/>
        <v>2.4795018802786513</v>
      </c>
      <c r="Z327" s="101">
        <f t="shared" si="42"/>
        <v>4.9009931152135504</v>
      </c>
      <c r="AA327" s="4">
        <v>20692</v>
      </c>
      <c r="AB327" s="2" t="s">
        <v>872</v>
      </c>
      <c r="AC327" s="106">
        <v>14954</v>
      </c>
      <c r="AD327" s="4">
        <v>92664</v>
      </c>
      <c r="AE327" s="4">
        <v>16413</v>
      </c>
      <c r="AF327" s="4">
        <v>32442</v>
      </c>
    </row>
    <row r="328" spans="1:32" ht="13.5" thickBot="1" x14ac:dyDescent="0.25">
      <c r="A328" s="2" t="s">
        <v>313</v>
      </c>
      <c r="B328" s="1" t="s">
        <v>312</v>
      </c>
      <c r="C328" s="2" t="s">
        <v>45</v>
      </c>
      <c r="D328" s="4">
        <v>27759</v>
      </c>
      <c r="E328" s="4">
        <v>38441</v>
      </c>
      <c r="F328" s="4">
        <v>8966</v>
      </c>
      <c r="G328" s="4">
        <v>75166</v>
      </c>
      <c r="H328" s="100">
        <f>Table3[[#This Row],[Circulation of Children''s Materials]]/Table3[[#This Row],[Total Population Served]]</f>
        <v>1.0024194713274592</v>
      </c>
      <c r="I328" s="100">
        <f>Table3[[#This Row],[Circulation of Electronic Materials]]/Table3[[#This Row],[Total Population Served]]</f>
        <v>0.32377581973133035</v>
      </c>
      <c r="J328" s="100">
        <f t="shared" si="38"/>
        <v>2.7143579373104147</v>
      </c>
      <c r="K328" s="100">
        <f t="shared" si="39"/>
        <v>11.533834586466165</v>
      </c>
      <c r="L328" s="102">
        <v>0</v>
      </c>
      <c r="M328" s="4">
        <v>8966</v>
      </c>
      <c r="N328" s="4">
        <v>66200</v>
      </c>
      <c r="O328" s="4">
        <v>75166</v>
      </c>
      <c r="P328" s="4">
        <v>57562</v>
      </c>
      <c r="Q328" s="4">
        <v>650807</v>
      </c>
      <c r="R328" s="100">
        <f t="shared" si="40"/>
        <v>23.501625018055755</v>
      </c>
      <c r="S328" s="4">
        <v>7173</v>
      </c>
      <c r="T328" s="71">
        <f t="shared" si="37"/>
        <v>0.2590278780875343</v>
      </c>
      <c r="U328" s="4">
        <v>17006</v>
      </c>
      <c r="V328" s="4">
        <v>10805</v>
      </c>
      <c r="W328" s="4">
        <v>68690</v>
      </c>
      <c r="X328" s="77">
        <v>56823</v>
      </c>
      <c r="Y328" s="101">
        <f t="shared" si="41"/>
        <v>2.4804997833309259</v>
      </c>
      <c r="Z328" s="101">
        <f t="shared" si="42"/>
        <v>10.540125824765997</v>
      </c>
      <c r="AA328" s="4">
        <v>13373</v>
      </c>
      <c r="AB328" s="2" t="s">
        <v>872</v>
      </c>
      <c r="AC328" s="106">
        <v>33880</v>
      </c>
      <c r="AD328" s="4">
        <v>708369</v>
      </c>
      <c r="AE328" s="4">
        <v>6517</v>
      </c>
      <c r="AF328" s="4">
        <v>27692</v>
      </c>
    </row>
    <row r="329" spans="1:32" ht="13.5" thickBot="1" x14ac:dyDescent="0.25">
      <c r="A329" s="2" t="s">
        <v>321</v>
      </c>
      <c r="B329" s="1" t="s">
        <v>320</v>
      </c>
      <c r="C329" s="2" t="s">
        <v>45</v>
      </c>
      <c r="D329" s="77">
        <v>152977</v>
      </c>
      <c r="E329" s="77">
        <v>120608</v>
      </c>
      <c r="F329" s="77">
        <v>40516</v>
      </c>
      <c r="G329" s="77">
        <v>314101</v>
      </c>
      <c r="H329" s="100">
        <f>Table3[[#This Row],[Circulation of Children''s Materials]]/Table3[[#This Row],[Total Population Served]]</f>
        <v>3.255868894327977</v>
      </c>
      <c r="I329" s="100">
        <f>Table3[[#This Row],[Circulation of Electronic Materials]]/Table3[[#This Row],[Total Population Served]]</f>
        <v>0.8623177609875492</v>
      </c>
      <c r="J329" s="100">
        <f t="shared" si="38"/>
        <v>6.6851335532616796</v>
      </c>
      <c r="K329" s="100">
        <f t="shared" si="39"/>
        <v>20.837269470611648</v>
      </c>
      <c r="L329" s="102">
        <v>0</v>
      </c>
      <c r="M329" s="77">
        <v>40516</v>
      </c>
      <c r="N329" s="77">
        <v>273585</v>
      </c>
      <c r="O329" s="77">
        <v>314101</v>
      </c>
      <c r="P329" s="77">
        <v>193888</v>
      </c>
      <c r="Q329" s="77">
        <v>39609</v>
      </c>
      <c r="R329" s="100">
        <f t="shared" si="40"/>
        <v>0.84301372778546346</v>
      </c>
      <c r="S329" s="77">
        <v>102788</v>
      </c>
      <c r="T329" s="71">
        <f t="shared" si="37"/>
        <v>2.1876769181653719</v>
      </c>
      <c r="U329" s="77">
        <v>11856</v>
      </c>
      <c r="V329" s="77">
        <v>17079</v>
      </c>
      <c r="W329" s="77">
        <v>113609</v>
      </c>
      <c r="X329" s="77">
        <v>109446</v>
      </c>
      <c r="Y329" s="101">
        <f t="shared" si="41"/>
        <v>2.4179844631265297</v>
      </c>
      <c r="Z329" s="101">
        <f t="shared" si="42"/>
        <v>7.5367520233514664</v>
      </c>
      <c r="AA329" s="77">
        <v>3654</v>
      </c>
      <c r="AB329" s="2" t="s">
        <v>872</v>
      </c>
      <c r="AC329" s="106">
        <v>969</v>
      </c>
      <c r="AD329" s="77">
        <v>233497</v>
      </c>
      <c r="AE329" s="77">
        <v>15074</v>
      </c>
      <c r="AF329" s="4">
        <v>46985</v>
      </c>
    </row>
    <row r="330" spans="1:32" ht="13.5" thickBot="1" x14ac:dyDescent="0.25">
      <c r="A330" s="2" t="s">
        <v>341</v>
      </c>
      <c r="B330" s="1" t="s">
        <v>340</v>
      </c>
      <c r="C330" s="2" t="s">
        <v>45</v>
      </c>
      <c r="D330" s="4">
        <v>20025</v>
      </c>
      <c r="E330" s="4">
        <v>66075</v>
      </c>
      <c r="F330" s="4">
        <v>6113</v>
      </c>
      <c r="G330" s="4">
        <v>92213</v>
      </c>
      <c r="H330" s="100">
        <f>Table3[[#This Row],[Circulation of Children''s Materials]]/Table3[[#This Row],[Total Population Served]]</f>
        <v>0.48963274487750014</v>
      </c>
      <c r="I330" s="100">
        <f>Table3[[#This Row],[Circulation of Electronic Materials]]/Table3[[#This Row],[Total Population Served]]</f>
        <v>0.14946941170717395</v>
      </c>
      <c r="J330" s="100">
        <f t="shared" si="38"/>
        <v>2.2547068316299086</v>
      </c>
      <c r="K330" s="100">
        <f t="shared" si="39"/>
        <v>5.9828067215986502</v>
      </c>
      <c r="L330" s="102">
        <v>42190</v>
      </c>
      <c r="M330" s="4">
        <v>48303</v>
      </c>
      <c r="N330" s="4">
        <v>86100</v>
      </c>
      <c r="O330" s="4">
        <v>134403</v>
      </c>
      <c r="P330" s="4">
        <v>140154</v>
      </c>
      <c r="Q330" s="4">
        <v>10293</v>
      </c>
      <c r="R330" s="100">
        <f t="shared" si="40"/>
        <v>0.25167489852804537</v>
      </c>
      <c r="S330" s="4">
        <v>68952</v>
      </c>
      <c r="T330" s="71">
        <f t="shared" si="37"/>
        <v>1.6859504132231404</v>
      </c>
      <c r="U330" s="4">
        <v>9825</v>
      </c>
      <c r="V330" s="4">
        <v>3973</v>
      </c>
      <c r="W330" s="4">
        <v>196313</v>
      </c>
      <c r="X330" s="77">
        <v>119121</v>
      </c>
      <c r="Y330" s="101">
        <f t="shared" si="41"/>
        <v>4.8000635727908456</v>
      </c>
      <c r="Z330" s="101">
        <f t="shared" si="42"/>
        <v>12.736845520015571</v>
      </c>
      <c r="AA330" s="4">
        <v>28216</v>
      </c>
      <c r="AB330" s="2" t="s">
        <v>872</v>
      </c>
      <c r="AC330" s="106">
        <v>24433</v>
      </c>
      <c r="AD330" s="4">
        <v>150447</v>
      </c>
      <c r="AE330" s="4">
        <v>15413</v>
      </c>
      <c r="AF330" s="4">
        <v>40898</v>
      </c>
    </row>
    <row r="331" spans="1:32" ht="13.5" thickBot="1" x14ac:dyDescent="0.25">
      <c r="A331" s="2" t="s">
        <v>401</v>
      </c>
      <c r="B331" s="1" t="s">
        <v>400</v>
      </c>
      <c r="C331" s="2" t="s">
        <v>45</v>
      </c>
      <c r="D331" s="4">
        <v>22701</v>
      </c>
      <c r="E331" s="4">
        <v>76100</v>
      </c>
      <c r="F331" s="4">
        <v>17057</v>
      </c>
      <c r="G331" s="4">
        <v>115858</v>
      </c>
      <c r="H331" s="100">
        <f>Table3[[#This Row],[Circulation of Children''s Materials]]/Table3[[#This Row],[Total Population Served]]</f>
        <v>0.5432680802182549</v>
      </c>
      <c r="I331" s="100">
        <f>Table3[[#This Row],[Circulation of Electronic Materials]]/Table3[[#This Row],[Total Population Served]]</f>
        <v>0.40819891829799454</v>
      </c>
      <c r="J331" s="100">
        <f t="shared" si="38"/>
        <v>2.77265112717178</v>
      </c>
      <c r="K331" s="100">
        <f t="shared" si="39"/>
        <v>8.2349847181747098</v>
      </c>
      <c r="L331" s="102">
        <v>0</v>
      </c>
      <c r="M331" s="4">
        <v>17057</v>
      </c>
      <c r="N331" s="4">
        <v>98801</v>
      </c>
      <c r="O331" s="4">
        <v>115858</v>
      </c>
      <c r="P331" s="4">
        <v>115893</v>
      </c>
      <c r="Q331" s="4">
        <v>17226</v>
      </c>
      <c r="R331" s="100">
        <f t="shared" si="40"/>
        <v>0.41224333508830707</v>
      </c>
      <c r="S331" s="4">
        <v>22920</v>
      </c>
      <c r="T331" s="71">
        <f t="shared" si="37"/>
        <v>0.54850907002345284</v>
      </c>
      <c r="U331" s="4">
        <v>11952</v>
      </c>
      <c r="V331" s="4">
        <v>8640</v>
      </c>
      <c r="W331" s="4">
        <v>112824</v>
      </c>
      <c r="X331" s="77">
        <v>75638</v>
      </c>
      <c r="Y331" s="101">
        <f t="shared" si="41"/>
        <v>2.7000430766285359</v>
      </c>
      <c r="Z331" s="101">
        <f t="shared" si="42"/>
        <v>8.0193332859478286</v>
      </c>
      <c r="AA331" s="4">
        <v>21808</v>
      </c>
      <c r="AB331" s="2" t="s">
        <v>872</v>
      </c>
      <c r="AC331" s="106">
        <v>73072</v>
      </c>
      <c r="AD331" s="4">
        <v>133119</v>
      </c>
      <c r="AE331" s="4">
        <v>14069</v>
      </c>
      <c r="AF331" s="4">
        <v>41786</v>
      </c>
    </row>
    <row r="332" spans="1:32" ht="13.5" thickBot="1" x14ac:dyDescent="0.25">
      <c r="A332" s="2" t="s">
        <v>445</v>
      </c>
      <c r="B332" s="1" t="s">
        <v>444</v>
      </c>
      <c r="C332" s="2" t="s">
        <v>45</v>
      </c>
      <c r="D332" s="77">
        <v>50531</v>
      </c>
      <c r="E332" s="77">
        <v>97515</v>
      </c>
      <c r="F332" s="77">
        <v>12568</v>
      </c>
      <c r="G332" s="77">
        <v>160614</v>
      </c>
      <c r="H332" s="100">
        <f>Table3[[#This Row],[Circulation of Children''s Materials]]/Table3[[#This Row],[Total Population Served]]</f>
        <v>1.2393858379730691</v>
      </c>
      <c r="I332" s="100">
        <f>Table3[[#This Row],[Circulation of Electronic Materials]]/Table3[[#This Row],[Total Population Served]]</f>
        <v>0.30825832086532096</v>
      </c>
      <c r="J332" s="100">
        <f t="shared" si="38"/>
        <v>3.9394177233818155</v>
      </c>
      <c r="K332" s="100">
        <f t="shared" si="39"/>
        <v>12.967382528661393</v>
      </c>
      <c r="L332" s="103" t="s">
        <v>2632</v>
      </c>
      <c r="M332" s="77">
        <v>12568</v>
      </c>
      <c r="N332" s="77">
        <v>148046</v>
      </c>
      <c r="O332" s="77">
        <v>160614</v>
      </c>
      <c r="P332" s="77">
        <v>112847</v>
      </c>
      <c r="Q332" s="77">
        <v>19868</v>
      </c>
      <c r="R332" s="100">
        <f t="shared" si="40"/>
        <v>0.48730715459517793</v>
      </c>
      <c r="S332" s="77">
        <v>8750</v>
      </c>
      <c r="T332" s="71">
        <f t="shared" si="37"/>
        <v>0.21461332810085601</v>
      </c>
      <c r="U332" s="77">
        <v>10096</v>
      </c>
      <c r="V332" s="77">
        <v>11118</v>
      </c>
      <c r="W332" s="77">
        <v>115000</v>
      </c>
      <c r="X332" s="77">
        <v>9000</v>
      </c>
      <c r="Y332" s="101">
        <f t="shared" si="41"/>
        <v>2.8206323121826791</v>
      </c>
      <c r="Z332" s="101">
        <f t="shared" si="42"/>
        <v>9.2846762473760691</v>
      </c>
      <c r="AA332" s="77">
        <v>12335</v>
      </c>
      <c r="AB332" s="2" t="s">
        <v>872</v>
      </c>
      <c r="AC332" s="106">
        <v>13021</v>
      </c>
      <c r="AD332" s="77">
        <v>132715</v>
      </c>
      <c r="AE332" s="77">
        <v>12386</v>
      </c>
      <c r="AF332" s="4">
        <v>40771</v>
      </c>
    </row>
    <row r="333" spans="1:32" ht="13.5" thickBot="1" x14ac:dyDescent="0.25">
      <c r="A333" s="2" t="s">
        <v>451</v>
      </c>
      <c r="B333" s="1" t="s">
        <v>450</v>
      </c>
      <c r="C333" s="2" t="s">
        <v>45</v>
      </c>
      <c r="D333" s="4">
        <v>12316</v>
      </c>
      <c r="E333" s="4">
        <v>15763</v>
      </c>
      <c r="F333" s="4">
        <v>3176</v>
      </c>
      <c r="G333" s="4">
        <v>31255</v>
      </c>
      <c r="H333" s="100">
        <f>Table3[[#This Row],[Circulation of Children''s Materials]]/Table3[[#This Row],[Total Population Served]]</f>
        <v>0.32288171140939598</v>
      </c>
      <c r="I333" s="100">
        <f>Table3[[#This Row],[Circulation of Electronic Materials]]/Table3[[#This Row],[Total Population Served]]</f>
        <v>8.3263422818791941E-2</v>
      </c>
      <c r="J333" s="100">
        <f t="shared" si="38"/>
        <v>0.81939492449664431</v>
      </c>
      <c r="K333" s="100">
        <f t="shared" si="39"/>
        <v>3.7647554806070826</v>
      </c>
      <c r="L333" s="102">
        <v>2307</v>
      </c>
      <c r="M333" s="4">
        <v>5483</v>
      </c>
      <c r="N333" s="4">
        <v>28079</v>
      </c>
      <c r="O333" s="4">
        <v>33562</v>
      </c>
      <c r="P333" s="4">
        <v>46270</v>
      </c>
      <c r="Q333" s="4">
        <v>3587</v>
      </c>
      <c r="R333" s="100">
        <f t="shared" si="40"/>
        <v>9.4038380872483215E-2</v>
      </c>
      <c r="S333" s="4">
        <v>1548</v>
      </c>
      <c r="T333" s="71">
        <f t="shared" si="37"/>
        <v>4.058305369127517E-2</v>
      </c>
      <c r="U333" s="4">
        <v>8402</v>
      </c>
      <c r="V333" s="4">
        <v>6038</v>
      </c>
      <c r="W333" s="4">
        <v>16241</v>
      </c>
      <c r="X333" s="77">
        <v>6321</v>
      </c>
      <c r="Y333" s="101">
        <f t="shared" si="41"/>
        <v>0.42578125</v>
      </c>
      <c r="Z333" s="101">
        <f t="shared" si="42"/>
        <v>1.9562755962418694</v>
      </c>
      <c r="AA333" s="4">
        <v>9637</v>
      </c>
      <c r="AB333" s="2" t="s">
        <v>872</v>
      </c>
      <c r="AC333" s="106">
        <v>2179</v>
      </c>
      <c r="AD333" s="4">
        <v>49857</v>
      </c>
      <c r="AE333" s="4">
        <v>8302</v>
      </c>
      <c r="AF333" s="4">
        <v>38144</v>
      </c>
    </row>
    <row r="334" spans="1:32" ht="13.5" thickBot="1" x14ac:dyDescent="0.25">
      <c r="A334" s="2" t="s">
        <v>463</v>
      </c>
      <c r="B334" s="1" t="s">
        <v>462</v>
      </c>
      <c r="C334" s="2" t="s">
        <v>45</v>
      </c>
      <c r="D334" s="77">
        <v>117143</v>
      </c>
      <c r="E334" s="77">
        <v>217792</v>
      </c>
      <c r="F334" s="77">
        <v>53599</v>
      </c>
      <c r="G334" s="77">
        <v>388534</v>
      </c>
      <c r="H334" s="100">
        <f>Table3[[#This Row],[Circulation of Children''s Materials]]/Table3[[#This Row],[Total Population Served]]</f>
        <v>3.2960889138998311</v>
      </c>
      <c r="I334" s="100">
        <f>Table3[[#This Row],[Circulation of Electronic Materials]]/Table3[[#This Row],[Total Population Served]]</f>
        <v>1.5081316826111424</v>
      </c>
      <c r="J334" s="100">
        <f t="shared" si="38"/>
        <v>10.932301631963984</v>
      </c>
      <c r="K334" s="100">
        <f t="shared" si="39"/>
        <v>17.438689407540394</v>
      </c>
      <c r="L334" s="102">
        <v>52366</v>
      </c>
      <c r="M334" s="77">
        <v>105965</v>
      </c>
      <c r="N334" s="77">
        <v>334935</v>
      </c>
      <c r="O334" s="77">
        <v>440900</v>
      </c>
      <c r="P334" s="77">
        <v>135683</v>
      </c>
      <c r="Q334" s="77">
        <v>45242</v>
      </c>
      <c r="R334" s="100">
        <f t="shared" si="40"/>
        <v>1.2729881823297693</v>
      </c>
      <c r="S334" s="77">
        <v>21322</v>
      </c>
      <c r="T334" s="71">
        <f t="shared" si="37"/>
        <v>0.59994372537985363</v>
      </c>
      <c r="U334" s="77">
        <v>15609</v>
      </c>
      <c r="V334" s="77">
        <v>11990</v>
      </c>
      <c r="W334" s="77">
        <v>178091</v>
      </c>
      <c r="X334" s="77">
        <v>154137</v>
      </c>
      <c r="Y334" s="101">
        <f t="shared" si="41"/>
        <v>5.0110016882386041</v>
      </c>
      <c r="Z334" s="101">
        <f t="shared" si="42"/>
        <v>7.9933123877917414</v>
      </c>
      <c r="AA334" s="77">
        <v>22185</v>
      </c>
      <c r="AB334" s="2" t="s">
        <v>872</v>
      </c>
      <c r="AC334" s="106">
        <v>111964</v>
      </c>
      <c r="AD334" s="77">
        <v>180925</v>
      </c>
      <c r="AE334" s="77">
        <v>22280</v>
      </c>
      <c r="AF334" s="4">
        <v>35540</v>
      </c>
    </row>
    <row r="335" spans="1:32" ht="13.5" thickBot="1" x14ac:dyDescent="0.25">
      <c r="A335" s="2" t="s">
        <v>480</v>
      </c>
      <c r="B335" s="1" t="s">
        <v>479</v>
      </c>
      <c r="C335" s="2" t="s">
        <v>45</v>
      </c>
      <c r="D335" s="77">
        <v>31434</v>
      </c>
      <c r="E335" s="77">
        <v>51287</v>
      </c>
      <c r="F335" s="77">
        <v>11117</v>
      </c>
      <c r="G335" s="77">
        <v>93838</v>
      </c>
      <c r="H335" s="100">
        <f>Table3[[#This Row],[Circulation of Children''s Materials]]/Table3[[#This Row],[Total Population Served]]</f>
        <v>1.0585976965043442</v>
      </c>
      <c r="I335" s="100">
        <f>Table3[[#This Row],[Circulation of Electronic Materials]]/Table3[[#This Row],[Total Population Served]]</f>
        <v>0.37438539772344581</v>
      </c>
      <c r="J335" s="100">
        <f t="shared" si="38"/>
        <v>3.1601670371118744</v>
      </c>
      <c r="K335" s="100">
        <f t="shared" si="39"/>
        <v>13.916357704285927</v>
      </c>
      <c r="L335" s="102">
        <v>11580</v>
      </c>
      <c r="M335" s="77">
        <v>22697</v>
      </c>
      <c r="N335" s="77">
        <v>82721</v>
      </c>
      <c r="O335" s="77">
        <v>105418</v>
      </c>
      <c r="P335" s="77">
        <v>82499</v>
      </c>
      <c r="Q335" s="77">
        <v>22560</v>
      </c>
      <c r="R335" s="100">
        <f t="shared" si="40"/>
        <v>0.75974944433218827</v>
      </c>
      <c r="S335" s="77">
        <v>6570</v>
      </c>
      <c r="T335" s="71">
        <f t="shared" si="37"/>
        <v>0.22125681955950696</v>
      </c>
      <c r="U335" s="77">
        <v>15721</v>
      </c>
      <c r="V335" s="77">
        <v>10025</v>
      </c>
      <c r="W335" s="77">
        <v>86182</v>
      </c>
      <c r="X335" s="77">
        <v>17379</v>
      </c>
      <c r="Y335" s="101">
        <f t="shared" si="41"/>
        <v>2.9023371724927594</v>
      </c>
      <c r="Z335" s="101">
        <f t="shared" si="42"/>
        <v>12.780958030550201</v>
      </c>
      <c r="AA335" s="77">
        <v>30930</v>
      </c>
      <c r="AB335" s="2" t="s">
        <v>872</v>
      </c>
      <c r="AC335" s="106">
        <v>5067</v>
      </c>
      <c r="AD335" s="77">
        <v>105059</v>
      </c>
      <c r="AE335" s="77">
        <v>6743</v>
      </c>
      <c r="AF335" s="4">
        <v>29694</v>
      </c>
    </row>
    <row r="336" spans="1:32" ht="13.5" thickBot="1" x14ac:dyDescent="0.25">
      <c r="A336" s="2" t="s">
        <v>500</v>
      </c>
      <c r="B336" s="1" t="s">
        <v>499</v>
      </c>
      <c r="C336" s="2" t="s">
        <v>45</v>
      </c>
      <c r="D336" s="77">
        <v>62122</v>
      </c>
      <c r="E336" s="77">
        <v>183544</v>
      </c>
      <c r="F336" s="77">
        <v>28031</v>
      </c>
      <c r="G336" s="77">
        <v>273697</v>
      </c>
      <c r="H336" s="100">
        <f>Table3[[#This Row],[Circulation of Children''s Materials]]/Table3[[#This Row],[Total Population Served]]</f>
        <v>2.1686099280876912</v>
      </c>
      <c r="I336" s="100">
        <f>Table3[[#This Row],[Circulation of Electronic Materials]]/Table3[[#This Row],[Total Population Served]]</f>
        <v>0.97853103400125674</v>
      </c>
      <c r="J336" s="100">
        <f t="shared" si="38"/>
        <v>9.5544578649724219</v>
      </c>
      <c r="K336" s="100">
        <f t="shared" si="39"/>
        <v>16.983990071362086</v>
      </c>
      <c r="L336" s="102">
        <v>3067</v>
      </c>
      <c r="M336" s="77">
        <v>31098</v>
      </c>
      <c r="N336" s="77">
        <v>245666</v>
      </c>
      <c r="O336" s="77">
        <v>276764</v>
      </c>
      <c r="P336" s="77">
        <v>73251</v>
      </c>
      <c r="Q336" s="77">
        <v>18807</v>
      </c>
      <c r="R336" s="100">
        <f t="shared" si="40"/>
        <v>0.65653145290791037</v>
      </c>
      <c r="S336" s="77">
        <v>558</v>
      </c>
      <c r="T336" s="71">
        <f t="shared" si="37"/>
        <v>1.9479159393981708E-2</v>
      </c>
      <c r="U336" s="77">
        <v>7912</v>
      </c>
      <c r="V336" s="77">
        <v>8661</v>
      </c>
      <c r="W336" s="77">
        <v>197664</v>
      </c>
      <c r="X336" s="77">
        <v>47515</v>
      </c>
      <c r="Y336" s="101">
        <f t="shared" si="41"/>
        <v>6.9002303986594988</v>
      </c>
      <c r="Z336" s="101">
        <f t="shared" si="42"/>
        <v>12.265839280173751</v>
      </c>
      <c r="AA336" s="77">
        <v>60388</v>
      </c>
      <c r="AB336" s="2" t="s">
        <v>872</v>
      </c>
      <c r="AC336" s="106">
        <v>60744</v>
      </c>
      <c r="AD336" s="77">
        <v>92058</v>
      </c>
      <c r="AE336" s="77">
        <v>16115</v>
      </c>
      <c r="AF336" s="4">
        <v>28646</v>
      </c>
    </row>
    <row r="337" spans="1:32" ht="13.5" thickBot="1" x14ac:dyDescent="0.25">
      <c r="A337" s="2" t="s">
        <v>556</v>
      </c>
      <c r="B337" s="1" t="s">
        <v>555</v>
      </c>
      <c r="C337" s="2" t="s">
        <v>45</v>
      </c>
      <c r="D337" s="4">
        <v>264862</v>
      </c>
      <c r="E337" s="4">
        <v>216705</v>
      </c>
      <c r="F337" s="4">
        <v>58528</v>
      </c>
      <c r="G337" s="4">
        <v>540095</v>
      </c>
      <c r="H337" s="100">
        <f>Table3[[#This Row],[Circulation of Children''s Materials]]/Table3[[#This Row],[Total Population Served]]</f>
        <v>7.6845098209881915</v>
      </c>
      <c r="I337" s="100">
        <f>Table3[[#This Row],[Circulation of Electronic Materials]]/Table3[[#This Row],[Total Population Served]]</f>
        <v>1.6980880262279863</v>
      </c>
      <c r="J337" s="100">
        <f t="shared" si="38"/>
        <v>15.669916151681319</v>
      </c>
      <c r="K337" s="100">
        <f t="shared" si="39"/>
        <v>31.51814892623716</v>
      </c>
      <c r="L337" s="102">
        <v>92882</v>
      </c>
      <c r="M337" s="4">
        <v>151410</v>
      </c>
      <c r="N337" s="4">
        <v>481567</v>
      </c>
      <c r="O337" s="4">
        <v>632977</v>
      </c>
      <c r="P337" s="4">
        <v>148171</v>
      </c>
      <c r="Q337" s="4">
        <v>618229</v>
      </c>
      <c r="R337" s="100">
        <f t="shared" si="40"/>
        <v>17.936838135027706</v>
      </c>
      <c r="S337" s="4">
        <v>42739</v>
      </c>
      <c r="T337" s="71">
        <f t="shared" si="37"/>
        <v>1.2399976789392753</v>
      </c>
      <c r="U337" s="4">
        <v>22250</v>
      </c>
      <c r="V337" s="4">
        <v>39993</v>
      </c>
      <c r="W337" s="4">
        <v>210889</v>
      </c>
      <c r="X337" s="77">
        <v>191156</v>
      </c>
      <c r="Y337" s="101">
        <f t="shared" si="41"/>
        <v>6.1185771897757277</v>
      </c>
      <c r="Z337" s="101">
        <f t="shared" si="42"/>
        <v>12.306781045751634</v>
      </c>
      <c r="AA337" s="4">
        <v>17455</v>
      </c>
      <c r="AB337" s="2" t="s">
        <v>872</v>
      </c>
      <c r="AC337" s="106">
        <v>15557</v>
      </c>
      <c r="AD337" s="4">
        <v>766400</v>
      </c>
      <c r="AE337" s="4">
        <v>17136</v>
      </c>
      <c r="AF337" s="4">
        <v>34467</v>
      </c>
    </row>
    <row r="338" spans="1:32" ht="13.5" thickBot="1" x14ac:dyDescent="0.25">
      <c r="A338" s="2" t="s">
        <v>562</v>
      </c>
      <c r="B338" s="1" t="s">
        <v>561</v>
      </c>
      <c r="C338" s="2" t="s">
        <v>45</v>
      </c>
      <c r="D338" s="4">
        <v>44674</v>
      </c>
      <c r="E338" s="4">
        <v>56081</v>
      </c>
      <c r="F338" s="4">
        <v>5398</v>
      </c>
      <c r="G338" s="4">
        <v>106153</v>
      </c>
      <c r="H338" s="100">
        <f>Table3[[#This Row],[Circulation of Children''s Materials]]/Table3[[#This Row],[Total Population Served]]</f>
        <v>1.5237218186159145</v>
      </c>
      <c r="I338" s="100">
        <f>Table3[[#This Row],[Circulation of Electronic Materials]]/Table3[[#This Row],[Total Population Served]]</f>
        <v>0.18411269142876632</v>
      </c>
      <c r="J338" s="100">
        <f t="shared" si="38"/>
        <v>3.6206214400218291</v>
      </c>
      <c r="K338" s="100">
        <f t="shared" si="39"/>
        <v>8.9062001845792427</v>
      </c>
      <c r="L338" s="102">
        <v>0</v>
      </c>
      <c r="M338" s="4">
        <v>5398</v>
      </c>
      <c r="N338" s="4">
        <v>100755</v>
      </c>
      <c r="O338" s="4">
        <v>106153</v>
      </c>
      <c r="P338" s="4">
        <v>85924</v>
      </c>
      <c r="Q338" s="4">
        <v>55893</v>
      </c>
      <c r="R338" s="100">
        <f t="shared" si="40"/>
        <v>1.9063747058221632</v>
      </c>
      <c r="S338" s="4">
        <v>21181</v>
      </c>
      <c r="T338" s="71">
        <f t="shared" si="37"/>
        <v>0.72243255226985914</v>
      </c>
      <c r="U338" s="4">
        <v>13087</v>
      </c>
      <c r="V338" s="4">
        <v>8868</v>
      </c>
      <c r="W338" s="4">
        <v>155000</v>
      </c>
      <c r="X338" s="77">
        <v>16130</v>
      </c>
      <c r="Y338" s="101">
        <f t="shared" si="41"/>
        <v>5.2866741703332307</v>
      </c>
      <c r="Z338" s="101">
        <f t="shared" si="42"/>
        <v>13.004446681768604</v>
      </c>
      <c r="AA338" s="4">
        <v>22787</v>
      </c>
      <c r="AB338" s="2" t="s">
        <v>872</v>
      </c>
      <c r="AC338" s="106">
        <v>9855</v>
      </c>
      <c r="AD338" s="4">
        <v>141817</v>
      </c>
      <c r="AE338" s="4">
        <v>11919</v>
      </c>
      <c r="AF338" s="4">
        <v>29319</v>
      </c>
    </row>
    <row r="339" spans="1:32" ht="13.5" thickBot="1" x14ac:dyDescent="0.25">
      <c r="A339" s="2" t="s">
        <v>568</v>
      </c>
      <c r="B339" s="1" t="s">
        <v>567</v>
      </c>
      <c r="C339" s="2" t="s">
        <v>45</v>
      </c>
      <c r="D339" s="4">
        <v>179317</v>
      </c>
      <c r="E339" s="4">
        <v>227403</v>
      </c>
      <c r="F339" s="4">
        <v>59275</v>
      </c>
      <c r="G339" s="4">
        <v>465995</v>
      </c>
      <c r="H339" s="100">
        <f>Table3[[#This Row],[Circulation of Children''s Materials]]/Table3[[#This Row],[Total Population Served]]</f>
        <v>5.0663106741255577</v>
      </c>
      <c r="I339" s="100">
        <f>Table3[[#This Row],[Circulation of Electronic Materials]]/Table3[[#This Row],[Total Population Served]]</f>
        <v>1.6747188789060292</v>
      </c>
      <c r="J339" s="100">
        <f t="shared" si="38"/>
        <v>13.165932078883426</v>
      </c>
      <c r="K339" s="100">
        <f t="shared" si="39"/>
        <v>17.929090839136624</v>
      </c>
      <c r="L339" s="102">
        <v>69443</v>
      </c>
      <c r="M339" s="4">
        <v>128718</v>
      </c>
      <c r="N339" s="4">
        <v>406720</v>
      </c>
      <c r="O339" s="4">
        <v>535438</v>
      </c>
      <c r="P339" s="4">
        <v>118016</v>
      </c>
      <c r="Q339" s="4">
        <v>127562</v>
      </c>
      <c r="R339" s="100">
        <f t="shared" si="40"/>
        <v>3.6040571848335876</v>
      </c>
      <c r="S339" s="4">
        <v>31668</v>
      </c>
      <c r="T339" s="71">
        <f t="shared" ref="T339:T351" si="43">S339/AF339</f>
        <v>0.89472791998643841</v>
      </c>
      <c r="U339" s="4">
        <v>13096</v>
      </c>
      <c r="V339" s="4">
        <v>8375</v>
      </c>
      <c r="W339" s="4">
        <v>187730</v>
      </c>
      <c r="X339" s="77">
        <v>205204</v>
      </c>
      <c r="Y339" s="101">
        <f t="shared" si="41"/>
        <v>5.3040063287562864</v>
      </c>
      <c r="Z339" s="101">
        <f t="shared" si="42"/>
        <v>7.2228848447539535</v>
      </c>
      <c r="AA339" s="4">
        <v>20917</v>
      </c>
      <c r="AB339" s="2" t="s">
        <v>872</v>
      </c>
      <c r="AC339" s="106">
        <v>15230</v>
      </c>
      <c r="AD339" s="4">
        <v>245578</v>
      </c>
      <c r="AE339" s="4">
        <v>25991</v>
      </c>
      <c r="AF339" s="4">
        <v>35394</v>
      </c>
    </row>
    <row r="340" spans="1:32" ht="13.5" thickBot="1" x14ac:dyDescent="0.25">
      <c r="A340" s="2" t="s">
        <v>598</v>
      </c>
      <c r="B340" s="1" t="s">
        <v>597</v>
      </c>
      <c r="C340" s="2" t="s">
        <v>45</v>
      </c>
      <c r="D340" s="4">
        <v>73091</v>
      </c>
      <c r="E340" s="4">
        <v>131956</v>
      </c>
      <c r="F340" s="4">
        <v>22362</v>
      </c>
      <c r="G340" s="4">
        <v>227409</v>
      </c>
      <c r="H340" s="100">
        <f>Table3[[#This Row],[Circulation of Children''s Materials]]/Table3[[#This Row],[Total Population Served]]</f>
        <v>2.0057352981531791</v>
      </c>
      <c r="I340" s="100">
        <f>Table3[[#This Row],[Circulation of Electronic Materials]]/Table3[[#This Row],[Total Population Served]]</f>
        <v>0.61364946077220717</v>
      </c>
      <c r="J340" s="100">
        <f t="shared" si="38"/>
        <v>6.2404708981641557</v>
      </c>
      <c r="K340" s="100">
        <f t="shared" si="39"/>
        <v>11.865849204278632</v>
      </c>
      <c r="L340" s="102">
        <v>6970</v>
      </c>
      <c r="M340" s="4">
        <v>29332</v>
      </c>
      <c r="N340" s="4">
        <v>205047</v>
      </c>
      <c r="O340" s="4">
        <v>234379</v>
      </c>
      <c r="P340" s="4">
        <v>201311</v>
      </c>
      <c r="Q340" s="4">
        <v>12758</v>
      </c>
      <c r="R340" s="100">
        <f t="shared" si="40"/>
        <v>0.35010016190554594</v>
      </c>
      <c r="S340" s="4">
        <v>50524</v>
      </c>
      <c r="T340" s="71">
        <f t="shared" si="43"/>
        <v>1.3864603056996241</v>
      </c>
      <c r="U340" s="4">
        <v>8375</v>
      </c>
      <c r="V340" s="4">
        <v>6983</v>
      </c>
      <c r="W340" s="4">
        <v>192476</v>
      </c>
      <c r="X340" s="77">
        <v>170110</v>
      </c>
      <c r="Y340" s="101">
        <f t="shared" si="41"/>
        <v>5.2818528580445099</v>
      </c>
      <c r="Z340" s="101">
        <f t="shared" si="42"/>
        <v>10.043099399947822</v>
      </c>
      <c r="AA340" s="4">
        <v>27035</v>
      </c>
      <c r="AB340" s="2" t="s">
        <v>872</v>
      </c>
      <c r="AC340" s="106">
        <v>9770</v>
      </c>
      <c r="AD340" s="4">
        <v>214069</v>
      </c>
      <c r="AE340" s="4">
        <v>19165</v>
      </c>
      <c r="AF340" s="4">
        <v>36441</v>
      </c>
    </row>
    <row r="341" spans="1:32" ht="13.5" thickBot="1" x14ac:dyDescent="0.25">
      <c r="A341" s="2" t="s">
        <v>608</v>
      </c>
      <c r="B341" s="1" t="s">
        <v>607</v>
      </c>
      <c r="C341" s="2" t="s">
        <v>45</v>
      </c>
      <c r="D341" s="77">
        <v>286781</v>
      </c>
      <c r="E341" s="77">
        <v>448420</v>
      </c>
      <c r="F341" s="77">
        <v>61150</v>
      </c>
      <c r="G341" s="77">
        <v>796351</v>
      </c>
      <c r="H341" s="100">
        <f>Table3[[#This Row],[Circulation of Children''s Materials]]/Table3[[#This Row],[Total Population Served]]</f>
        <v>7.8235759493670889</v>
      </c>
      <c r="I341" s="100">
        <f>Table3[[#This Row],[Circulation of Electronic Materials]]/Table3[[#This Row],[Total Population Served]]</f>
        <v>1.6682125709297251</v>
      </c>
      <c r="J341" s="100">
        <f t="shared" si="38"/>
        <v>21.724983631601919</v>
      </c>
      <c r="K341" s="100">
        <f t="shared" si="39"/>
        <v>13.257712221352822</v>
      </c>
      <c r="L341" s="102">
        <v>52823</v>
      </c>
      <c r="M341" s="77">
        <v>113973</v>
      </c>
      <c r="N341" s="77">
        <v>735201</v>
      </c>
      <c r="O341" s="77">
        <v>849174</v>
      </c>
      <c r="P341" s="77">
        <v>259695</v>
      </c>
      <c r="Q341" s="77">
        <v>908494</v>
      </c>
      <c r="R341" s="100">
        <f t="shared" si="40"/>
        <v>24.784319074639896</v>
      </c>
      <c r="S341" s="77">
        <v>53966</v>
      </c>
      <c r="T341" s="71">
        <f t="shared" si="43"/>
        <v>1.4722282845918813</v>
      </c>
      <c r="U341" s="77">
        <v>12647</v>
      </c>
      <c r="V341" s="77">
        <v>13151</v>
      </c>
      <c r="W341" s="77">
        <v>371594</v>
      </c>
      <c r="X341" s="77">
        <v>3901869</v>
      </c>
      <c r="Y341" s="101">
        <f t="shared" si="41"/>
        <v>10.137330859886513</v>
      </c>
      <c r="Z341" s="101">
        <f t="shared" si="42"/>
        <v>6.186325270115038</v>
      </c>
      <c r="AA341" s="77">
        <v>36489</v>
      </c>
      <c r="AB341" s="2" t="s">
        <v>872</v>
      </c>
      <c r="AC341" s="106">
        <v>156150</v>
      </c>
      <c r="AD341" s="77">
        <v>1168189</v>
      </c>
      <c r="AE341" s="77">
        <v>60067</v>
      </c>
      <c r="AF341" s="4">
        <v>36656</v>
      </c>
    </row>
    <row r="342" spans="1:32" ht="13.5" thickBot="1" x14ac:dyDescent="0.25">
      <c r="A342" s="2" t="s">
        <v>636</v>
      </c>
      <c r="B342" s="1" t="s">
        <v>635</v>
      </c>
      <c r="C342" s="2" t="s">
        <v>45</v>
      </c>
      <c r="D342" s="77">
        <v>62071</v>
      </c>
      <c r="E342" s="77">
        <v>138923</v>
      </c>
      <c r="F342" s="77">
        <v>25510</v>
      </c>
      <c r="G342" s="77">
        <v>226504</v>
      </c>
      <c r="H342" s="100">
        <f>Table3[[#This Row],[Circulation of Children''s Materials]]/Table3[[#This Row],[Total Population Served]]</f>
        <v>1.2834663578842893</v>
      </c>
      <c r="I342" s="100">
        <f>Table3[[#This Row],[Circulation of Electronic Materials]]/Table3[[#This Row],[Total Population Served]]</f>
        <v>0.52748025309127</v>
      </c>
      <c r="J342" s="100">
        <f t="shared" si="38"/>
        <v>4.6835118481452378</v>
      </c>
      <c r="K342" s="100">
        <f t="shared" si="39"/>
        <v>14.181317305284248</v>
      </c>
      <c r="L342" s="102">
        <v>44713</v>
      </c>
      <c r="M342" s="77">
        <v>70223</v>
      </c>
      <c r="N342" s="77">
        <v>200994</v>
      </c>
      <c r="O342" s="77">
        <v>271217</v>
      </c>
      <c r="P342" s="77">
        <v>159750</v>
      </c>
      <c r="Q342" s="77">
        <v>49522</v>
      </c>
      <c r="R342" s="100">
        <f t="shared" si="40"/>
        <v>1.0239857739547578</v>
      </c>
      <c r="S342" s="77">
        <v>29894</v>
      </c>
      <c r="T342" s="71">
        <f t="shared" si="43"/>
        <v>0.61812993672718253</v>
      </c>
      <c r="U342" s="77">
        <v>37465</v>
      </c>
      <c r="V342" s="77">
        <v>21762</v>
      </c>
      <c r="W342" s="77">
        <v>161525</v>
      </c>
      <c r="X342" s="77">
        <v>138864</v>
      </c>
      <c r="Y342" s="101">
        <f t="shared" si="41"/>
        <v>3.3399156362433313</v>
      </c>
      <c r="Z342" s="101">
        <f t="shared" si="42"/>
        <v>10.113010267968946</v>
      </c>
      <c r="AA342" s="77">
        <v>34989</v>
      </c>
      <c r="AB342" s="2" t="s">
        <v>872</v>
      </c>
      <c r="AC342" s="106">
        <v>122374</v>
      </c>
      <c r="AD342" s="77">
        <v>209272</v>
      </c>
      <c r="AE342" s="77">
        <v>15972</v>
      </c>
      <c r="AF342" s="4">
        <v>48362</v>
      </c>
    </row>
    <row r="343" spans="1:32" ht="13.5" thickBot="1" x14ac:dyDescent="0.25">
      <c r="A343" s="2" t="s">
        <v>662</v>
      </c>
      <c r="B343" s="1" t="s">
        <v>661</v>
      </c>
      <c r="C343" s="2" t="s">
        <v>45</v>
      </c>
      <c r="D343" s="4">
        <v>91984</v>
      </c>
      <c r="E343" s="4">
        <v>196489</v>
      </c>
      <c r="F343" s="4">
        <v>31197</v>
      </c>
      <c r="G343" s="4">
        <v>319670</v>
      </c>
      <c r="H343" s="100">
        <f>Table3[[#This Row],[Circulation of Children''s Materials]]/Table3[[#This Row],[Total Population Served]]</f>
        <v>2.7182836372233221</v>
      </c>
      <c r="I343" s="100">
        <f>Table3[[#This Row],[Circulation of Electronic Materials]]/Table3[[#This Row],[Total Population Served]]</f>
        <v>0.9219244067496084</v>
      </c>
      <c r="J343" s="100">
        <f t="shared" si="38"/>
        <v>9.4467921628889737</v>
      </c>
      <c r="K343" s="100">
        <f t="shared" si="39"/>
        <v>15.812722595963594</v>
      </c>
      <c r="L343" s="102">
        <v>0</v>
      </c>
      <c r="M343" s="4">
        <v>31197</v>
      </c>
      <c r="N343" s="4">
        <v>288473</v>
      </c>
      <c r="O343" s="4">
        <v>319670</v>
      </c>
      <c r="P343" s="4">
        <v>101125</v>
      </c>
      <c r="Q343" s="4">
        <v>14904</v>
      </c>
      <c r="R343" s="100">
        <f t="shared" si="40"/>
        <v>0.4404385472383936</v>
      </c>
      <c r="S343" s="77">
        <v>12507</v>
      </c>
      <c r="T343" s="71">
        <f t="shared" si="43"/>
        <v>0.36960312065959394</v>
      </c>
      <c r="U343" s="77">
        <v>20756</v>
      </c>
      <c r="V343" s="4">
        <v>23640</v>
      </c>
      <c r="W343" s="4">
        <v>236914</v>
      </c>
      <c r="X343" s="77">
        <v>48274</v>
      </c>
      <c r="Y343" s="101">
        <f t="shared" si="41"/>
        <v>7.0012116197287151</v>
      </c>
      <c r="Z343" s="101">
        <f t="shared" si="42"/>
        <v>11.719133359715077</v>
      </c>
      <c r="AA343" s="77">
        <v>14239</v>
      </c>
      <c r="AB343" s="2" t="s">
        <v>872</v>
      </c>
      <c r="AC343" s="106">
        <v>39625</v>
      </c>
      <c r="AD343" s="4">
        <v>116029</v>
      </c>
      <c r="AE343" s="4">
        <v>20216</v>
      </c>
      <c r="AF343" s="4">
        <v>33839</v>
      </c>
    </row>
    <row r="344" spans="1:32" ht="13.5" thickBot="1" x14ac:dyDescent="0.25">
      <c r="A344" s="2" t="s">
        <v>664</v>
      </c>
      <c r="B344" s="1" t="s">
        <v>663</v>
      </c>
      <c r="C344" s="2" t="s">
        <v>45</v>
      </c>
      <c r="D344" s="77">
        <v>24046</v>
      </c>
      <c r="E344" s="77">
        <v>24501</v>
      </c>
      <c r="F344" s="77">
        <v>7884</v>
      </c>
      <c r="G344" s="77">
        <v>56431</v>
      </c>
      <c r="H344" s="100">
        <f>Table3[[#This Row],[Circulation of Children''s Materials]]/Table3[[#This Row],[Total Population Served]]</f>
        <v>0.60314036319855524</v>
      </c>
      <c r="I344" s="100">
        <f>Table3[[#This Row],[Circulation of Electronic Materials]]/Table3[[#This Row],[Total Population Served]]</f>
        <v>0.1977525835256346</v>
      </c>
      <c r="J344" s="100">
        <f t="shared" si="38"/>
        <v>1.4154459717066319</v>
      </c>
      <c r="K344" s="100">
        <f t="shared" si="39"/>
        <v>6.0907717215326498</v>
      </c>
      <c r="L344" s="102">
        <v>1685</v>
      </c>
      <c r="M344" s="77">
        <v>9569</v>
      </c>
      <c r="N344" s="77">
        <v>48547</v>
      </c>
      <c r="O344" s="77">
        <v>58116</v>
      </c>
      <c r="P344" s="77">
        <v>48744</v>
      </c>
      <c r="Q344" s="77">
        <v>21651</v>
      </c>
      <c r="R344" s="100">
        <f t="shared" si="40"/>
        <v>0.54306712150095315</v>
      </c>
      <c r="S344" s="77">
        <v>5444</v>
      </c>
      <c r="T344" s="71">
        <f t="shared" si="43"/>
        <v>0.13655061703621951</v>
      </c>
      <c r="U344" s="77">
        <v>8439</v>
      </c>
      <c r="V344" s="77">
        <v>7404</v>
      </c>
      <c r="W344" s="77">
        <v>59041</v>
      </c>
      <c r="X344" s="77">
        <v>226029</v>
      </c>
      <c r="Y344" s="101">
        <f t="shared" si="41"/>
        <v>1.4809120096317849</v>
      </c>
      <c r="Z344" s="101">
        <f t="shared" si="42"/>
        <v>6.3724770642201838</v>
      </c>
      <c r="AA344" s="77">
        <v>21758</v>
      </c>
      <c r="AB344" s="2" t="s">
        <v>872</v>
      </c>
      <c r="AC344" s="106">
        <v>2542</v>
      </c>
      <c r="AD344" s="77">
        <v>70395</v>
      </c>
      <c r="AE344" s="77">
        <v>9265</v>
      </c>
      <c r="AF344" s="4">
        <v>39868</v>
      </c>
    </row>
    <row r="345" spans="1:32" ht="13.5" thickBot="1" x14ac:dyDescent="0.25">
      <c r="A345" s="2" t="s">
        <v>668</v>
      </c>
      <c r="B345" s="1" t="s">
        <v>667</v>
      </c>
      <c r="C345" s="2" t="s">
        <v>45</v>
      </c>
      <c r="D345" s="4">
        <v>28696</v>
      </c>
      <c r="E345" s="4">
        <v>93134</v>
      </c>
      <c r="F345" s="4">
        <v>17962</v>
      </c>
      <c r="G345" s="4">
        <v>139792</v>
      </c>
      <c r="H345" s="100">
        <f>Table3[[#This Row],[Circulation of Children''s Materials]]/Table3[[#This Row],[Total Population Served]]</f>
        <v>0.60669358760227488</v>
      </c>
      <c r="I345" s="100">
        <f>Table3[[#This Row],[Circulation of Electronic Materials]]/Table3[[#This Row],[Total Population Served]]</f>
        <v>0.3797543288441616</v>
      </c>
      <c r="J345" s="100">
        <f t="shared" si="38"/>
        <v>2.9554958878623228</v>
      </c>
      <c r="K345" s="100">
        <f t="shared" si="39"/>
        <v>6.7797662350259467</v>
      </c>
      <c r="L345" s="102">
        <v>3859</v>
      </c>
      <c r="M345" s="4">
        <v>21821</v>
      </c>
      <c r="N345" s="4">
        <v>121830</v>
      </c>
      <c r="O345" s="4">
        <v>143651</v>
      </c>
      <c r="P345" s="4">
        <v>101428</v>
      </c>
      <c r="Q345" s="4">
        <v>22732</v>
      </c>
      <c r="R345" s="100">
        <f t="shared" si="40"/>
        <v>0.48060212689486037</v>
      </c>
      <c r="S345" s="77">
        <v>18048</v>
      </c>
      <c r="T345" s="71">
        <f t="shared" si="43"/>
        <v>0.38157254910251803</v>
      </c>
      <c r="U345" s="77">
        <v>3083</v>
      </c>
      <c r="V345" s="4">
        <v>2311</v>
      </c>
      <c r="W345" s="4">
        <v>103077</v>
      </c>
      <c r="X345" s="77">
        <v>348409</v>
      </c>
      <c r="Y345" s="101">
        <f t="shared" si="41"/>
        <v>2.1792638322163258</v>
      </c>
      <c r="Z345" s="101">
        <f t="shared" si="42"/>
        <v>4.9991270187690962</v>
      </c>
      <c r="AA345" s="77">
        <v>23864</v>
      </c>
      <c r="AB345" s="2" t="s">
        <v>872</v>
      </c>
      <c r="AC345" s="106">
        <v>41675</v>
      </c>
      <c r="AD345" s="4">
        <v>124160</v>
      </c>
      <c r="AE345" s="4">
        <v>20619</v>
      </c>
      <c r="AF345" s="4">
        <v>47299</v>
      </c>
    </row>
    <row r="346" spans="1:32" ht="13.5" thickBot="1" x14ac:dyDescent="0.25">
      <c r="A346" s="2" t="s">
        <v>688</v>
      </c>
      <c r="B346" s="1" t="s">
        <v>687</v>
      </c>
      <c r="C346" s="2" t="s">
        <v>45</v>
      </c>
      <c r="D346" s="4">
        <v>136802</v>
      </c>
      <c r="E346" s="4">
        <v>143963</v>
      </c>
      <c r="F346" s="4">
        <v>48691</v>
      </c>
      <c r="G346" s="4">
        <v>329456</v>
      </c>
      <c r="H346" s="100">
        <f>Table3[[#This Row],[Circulation of Children''s Materials]]/Table3[[#This Row],[Total Population Served]]</f>
        <v>5.1866090385198662</v>
      </c>
      <c r="I346" s="100">
        <f>Table3[[#This Row],[Circulation of Electronic Materials]]/Table3[[#This Row],[Total Population Served]]</f>
        <v>1.8460342735820443</v>
      </c>
      <c r="J346" s="100">
        <f t="shared" si="38"/>
        <v>12.490749165908401</v>
      </c>
      <c r="K346" s="100">
        <f t="shared" si="39"/>
        <v>21.709014232999472</v>
      </c>
      <c r="L346" s="102">
        <v>75335</v>
      </c>
      <c r="M346" s="4">
        <v>124026</v>
      </c>
      <c r="N346" s="4">
        <v>280765</v>
      </c>
      <c r="O346" s="4">
        <v>404791</v>
      </c>
      <c r="P346" s="4">
        <v>119538</v>
      </c>
      <c r="Q346" s="4">
        <v>39099</v>
      </c>
      <c r="R346" s="100">
        <f t="shared" si="40"/>
        <v>1.4823703366696996</v>
      </c>
      <c r="S346" s="4">
        <v>21706</v>
      </c>
      <c r="T346" s="71">
        <f t="shared" si="43"/>
        <v>0.82294510160752199</v>
      </c>
      <c r="U346" s="4">
        <v>11566</v>
      </c>
      <c r="V346" s="4">
        <v>12082</v>
      </c>
      <c r="W346" s="4">
        <v>175394</v>
      </c>
      <c r="X346" s="77">
        <v>113080</v>
      </c>
      <c r="Y346" s="101">
        <f t="shared" si="41"/>
        <v>6.649757355171368</v>
      </c>
      <c r="Z346" s="101">
        <f t="shared" si="42"/>
        <v>11.557327358987875</v>
      </c>
      <c r="AA346" s="4">
        <v>21772</v>
      </c>
      <c r="AB346" s="2" t="s">
        <v>872</v>
      </c>
      <c r="AC346" s="106">
        <v>49214</v>
      </c>
      <c r="AD346" s="4">
        <v>158637</v>
      </c>
      <c r="AE346" s="4">
        <v>15176</v>
      </c>
      <c r="AF346" s="4">
        <v>26376</v>
      </c>
    </row>
    <row r="347" spans="1:32" ht="13.5" thickBot="1" x14ac:dyDescent="0.25">
      <c r="A347" s="2" t="s">
        <v>712</v>
      </c>
      <c r="B347" s="1" t="s">
        <v>711</v>
      </c>
      <c r="C347" s="2" t="s">
        <v>45</v>
      </c>
      <c r="D347" s="77">
        <v>22402</v>
      </c>
      <c r="E347" s="77">
        <v>27265</v>
      </c>
      <c r="F347" s="77">
        <v>5627</v>
      </c>
      <c r="G347" s="77">
        <v>55294</v>
      </c>
      <c r="H347" s="100">
        <f>Table3[[#This Row],[Circulation of Children''s Materials]]/Table3[[#This Row],[Total Population Served]]</f>
        <v>0.80236389684813758</v>
      </c>
      <c r="I347" s="100">
        <f>Table3[[#This Row],[Circulation of Electronic Materials]]/Table3[[#This Row],[Total Population Served]]</f>
        <v>0.20154011461318053</v>
      </c>
      <c r="J347" s="100">
        <f t="shared" si="38"/>
        <v>1.9804441260744985</v>
      </c>
      <c r="K347" s="100">
        <f t="shared" si="39"/>
        <v>6.7679314565483475</v>
      </c>
      <c r="L347" s="102">
        <v>4332</v>
      </c>
      <c r="M347" s="77">
        <v>9959</v>
      </c>
      <c r="N347" s="77">
        <v>49667</v>
      </c>
      <c r="O347" s="77">
        <v>59626</v>
      </c>
      <c r="P347" s="77">
        <v>75843</v>
      </c>
      <c r="Q347" s="77">
        <v>14211</v>
      </c>
      <c r="R347" s="100">
        <f t="shared" si="40"/>
        <v>0.50898997134670487</v>
      </c>
      <c r="S347" s="77">
        <v>10192</v>
      </c>
      <c r="T347" s="71">
        <f t="shared" si="43"/>
        <v>0.36504297994269341</v>
      </c>
      <c r="U347" s="77">
        <v>3297</v>
      </c>
      <c r="V347" s="77">
        <v>4143</v>
      </c>
      <c r="W347" s="77">
        <v>103220</v>
      </c>
      <c r="X347" s="77">
        <v>86523</v>
      </c>
      <c r="Y347" s="101">
        <f t="shared" si="41"/>
        <v>3.6969914040114613</v>
      </c>
      <c r="Z347" s="101">
        <f t="shared" si="42"/>
        <v>12.634026927784578</v>
      </c>
      <c r="AA347" s="77">
        <v>23972</v>
      </c>
      <c r="AB347" s="2" t="s">
        <v>872</v>
      </c>
      <c r="AC347" s="106">
        <v>2132</v>
      </c>
      <c r="AD347" s="77">
        <v>90054</v>
      </c>
      <c r="AE347" s="77">
        <v>8170</v>
      </c>
      <c r="AF347" s="4">
        <v>27920</v>
      </c>
    </row>
    <row r="348" spans="1:32" ht="13.5" thickBot="1" x14ac:dyDescent="0.25">
      <c r="A348" s="2" t="s">
        <v>722</v>
      </c>
      <c r="B348" s="1" t="s">
        <v>721</v>
      </c>
      <c r="C348" s="2" t="s">
        <v>45</v>
      </c>
      <c r="D348" s="77">
        <v>19523</v>
      </c>
      <c r="E348" s="77">
        <v>74910</v>
      </c>
      <c r="F348" s="77">
        <v>6365</v>
      </c>
      <c r="G348" s="77">
        <v>100798</v>
      </c>
      <c r="H348" s="100">
        <f>Table3[[#This Row],[Circulation of Children''s Materials]]/Table3[[#This Row],[Total Population Served]]</f>
        <v>0.64974872699437547</v>
      </c>
      <c r="I348" s="100">
        <f>Table3[[#This Row],[Circulation of Electronic Materials]]/Table3[[#This Row],[Total Population Served]]</f>
        <v>0.21183479215895099</v>
      </c>
      <c r="J348" s="100">
        <f t="shared" si="38"/>
        <v>3.3546776716477518</v>
      </c>
      <c r="K348" s="100">
        <f t="shared" si="39"/>
        <v>17.248117727583846</v>
      </c>
      <c r="L348" s="102">
        <v>147</v>
      </c>
      <c r="M348" s="77">
        <v>6512</v>
      </c>
      <c r="N348" s="77">
        <v>94433</v>
      </c>
      <c r="O348" s="77">
        <v>100945</v>
      </c>
      <c r="P348" s="77">
        <v>102134</v>
      </c>
      <c r="Q348" s="77">
        <v>55893</v>
      </c>
      <c r="R348" s="100">
        <f t="shared" si="40"/>
        <v>1.8601857090558125</v>
      </c>
      <c r="S348" s="77">
        <v>11076</v>
      </c>
      <c r="T348" s="71">
        <f t="shared" si="43"/>
        <v>0.36862249143009285</v>
      </c>
      <c r="U348" s="77">
        <v>11177</v>
      </c>
      <c r="V348" s="77">
        <v>14422</v>
      </c>
      <c r="W348" s="77">
        <v>95710</v>
      </c>
      <c r="X348" s="77">
        <v>31755</v>
      </c>
      <c r="Y348" s="101">
        <f t="shared" si="41"/>
        <v>3.1853429626917831</v>
      </c>
      <c r="Z348" s="101">
        <f t="shared" si="42"/>
        <v>16.37748117727584</v>
      </c>
      <c r="AA348" s="77">
        <v>22338</v>
      </c>
      <c r="AB348" s="2" t="s">
        <v>872</v>
      </c>
      <c r="AC348" s="106">
        <v>4324</v>
      </c>
      <c r="AD348" s="77">
        <v>158027</v>
      </c>
      <c r="AE348" s="77">
        <v>5844</v>
      </c>
      <c r="AF348" s="4">
        <v>30047</v>
      </c>
    </row>
    <row r="349" spans="1:32" ht="13.5" thickBot="1" x14ac:dyDescent="0.25">
      <c r="A349" s="2" t="s">
        <v>740</v>
      </c>
      <c r="B349" s="1" t="s">
        <v>739</v>
      </c>
      <c r="C349" s="2" t="s">
        <v>45</v>
      </c>
      <c r="D349" s="4">
        <v>38221</v>
      </c>
      <c r="E349" s="4">
        <v>67094</v>
      </c>
      <c r="F349" s="4">
        <v>15012</v>
      </c>
      <c r="G349" s="4">
        <v>120327</v>
      </c>
      <c r="H349" s="100">
        <f>Table3[[#This Row],[Circulation of Children''s Materials]]/Table3[[#This Row],[Total Population Served]]</f>
        <v>0.93584877941284494</v>
      </c>
      <c r="I349" s="100">
        <f>Table3[[#This Row],[Circulation of Electronic Materials]]/Table3[[#This Row],[Total Population Served]]</f>
        <v>0.3675718028451801</v>
      </c>
      <c r="J349" s="100">
        <f t="shared" si="38"/>
        <v>2.9462305036605372</v>
      </c>
      <c r="K349" s="100">
        <f t="shared" si="39"/>
        <v>7.1165720369056071</v>
      </c>
      <c r="L349" s="102">
        <v>60</v>
      </c>
      <c r="M349" s="4">
        <v>15072</v>
      </c>
      <c r="N349" s="4">
        <v>105315</v>
      </c>
      <c r="O349" s="4">
        <v>120387</v>
      </c>
      <c r="P349" s="4">
        <v>221788</v>
      </c>
      <c r="Q349" s="4">
        <v>12179</v>
      </c>
      <c r="R349" s="100">
        <f t="shared" si="40"/>
        <v>0.29820523493548151</v>
      </c>
      <c r="S349" s="4">
        <v>28130</v>
      </c>
      <c r="T349" s="71">
        <f t="shared" si="43"/>
        <v>0.68876863935750843</v>
      </c>
      <c r="U349" s="4">
        <v>4211</v>
      </c>
      <c r="V349" s="4">
        <v>11003</v>
      </c>
      <c r="W349" s="4">
        <v>285765</v>
      </c>
      <c r="X349" s="77">
        <v>13107</v>
      </c>
      <c r="Y349" s="101">
        <f t="shared" si="41"/>
        <v>6.9970128057589189</v>
      </c>
      <c r="Z349" s="101">
        <f t="shared" si="42"/>
        <v>16.901171043293115</v>
      </c>
      <c r="AA349" s="4">
        <v>34490</v>
      </c>
      <c r="AB349" s="2" t="s">
        <v>872</v>
      </c>
      <c r="AC349" s="106">
        <v>20885</v>
      </c>
      <c r="AD349" s="4">
        <v>233967</v>
      </c>
      <c r="AE349" s="4">
        <v>16908</v>
      </c>
      <c r="AF349" s="4">
        <v>40841</v>
      </c>
    </row>
    <row r="350" spans="1:32" ht="13.5" thickBot="1" x14ac:dyDescent="0.25">
      <c r="A350" s="2" t="s">
        <v>785</v>
      </c>
      <c r="B350" s="1" t="s">
        <v>784</v>
      </c>
      <c r="C350" s="2" t="s">
        <v>45</v>
      </c>
      <c r="D350" s="4">
        <v>94819</v>
      </c>
      <c r="E350" s="4">
        <v>192699</v>
      </c>
      <c r="F350" s="4">
        <v>25590</v>
      </c>
      <c r="G350" s="4">
        <v>313108</v>
      </c>
      <c r="H350" s="100">
        <f>Table3[[#This Row],[Circulation of Children''s Materials]]/Table3[[#This Row],[Total Population Served]]</f>
        <v>2.1420761323845023</v>
      </c>
      <c r="I350" s="100">
        <f>Table3[[#This Row],[Circulation of Electronic Materials]]/Table3[[#This Row],[Total Population Served]]</f>
        <v>0.57810911555404942</v>
      </c>
      <c r="J350" s="100">
        <f t="shared" si="38"/>
        <v>7.073489212696261</v>
      </c>
      <c r="K350" s="100">
        <f t="shared" si="39"/>
        <v>16.786832511258847</v>
      </c>
      <c r="L350" s="102">
        <v>18011</v>
      </c>
      <c r="M350" s="4">
        <v>43601</v>
      </c>
      <c r="N350" s="4">
        <v>287518</v>
      </c>
      <c r="O350" s="4">
        <v>331119</v>
      </c>
      <c r="P350" s="4">
        <v>172501</v>
      </c>
      <c r="Q350" s="4">
        <v>23778</v>
      </c>
      <c r="R350" s="100">
        <f t="shared" si="40"/>
        <v>0.53717383937648255</v>
      </c>
      <c r="S350" s="4">
        <v>35865</v>
      </c>
      <c r="T350" s="71">
        <f t="shared" si="43"/>
        <v>0.81023381904439173</v>
      </c>
      <c r="U350" s="4">
        <v>13972</v>
      </c>
      <c r="V350" s="4">
        <v>15402</v>
      </c>
      <c r="W350" s="4">
        <v>179324</v>
      </c>
      <c r="X350" s="77">
        <v>57851</v>
      </c>
      <c r="Y350" s="101">
        <f t="shared" si="41"/>
        <v>4.0511465040099397</v>
      </c>
      <c r="Z350" s="101">
        <f t="shared" si="42"/>
        <v>9.6141968689684756</v>
      </c>
      <c r="AA350" s="4">
        <v>27657</v>
      </c>
      <c r="AB350" s="2" t="s">
        <v>872</v>
      </c>
      <c r="AC350" s="106">
        <v>17410</v>
      </c>
      <c r="AD350" s="4">
        <v>196279</v>
      </c>
      <c r="AE350" s="4">
        <v>18652</v>
      </c>
      <c r="AF350" s="4">
        <v>44265</v>
      </c>
    </row>
    <row r="351" spans="1:32" ht="13.5" thickBot="1" x14ac:dyDescent="0.25">
      <c r="A351" s="2" t="s">
        <v>827</v>
      </c>
      <c r="B351" s="1" t="s">
        <v>826</v>
      </c>
      <c r="C351" s="2" t="s">
        <v>45</v>
      </c>
      <c r="D351" s="4">
        <v>79768</v>
      </c>
      <c r="E351" s="4">
        <v>84507</v>
      </c>
      <c r="F351" s="4">
        <v>19738</v>
      </c>
      <c r="G351" s="4">
        <v>184013</v>
      </c>
      <c r="H351" s="100">
        <f>Table3[[#This Row],[Circulation of Children''s Materials]]/Table3[[#This Row],[Total Population Served]]</f>
        <v>2.6572504080748858</v>
      </c>
      <c r="I351" s="100">
        <f>Table3[[#This Row],[Circulation of Electronic Materials]]/Table3[[#This Row],[Total Population Served]]</f>
        <v>0.65751690595955892</v>
      </c>
      <c r="J351" s="100">
        <f t="shared" si="38"/>
        <v>6.1298844065425229</v>
      </c>
      <c r="K351" s="100">
        <f t="shared" si="39"/>
        <v>19.296665268456376</v>
      </c>
      <c r="L351" s="102">
        <v>10754</v>
      </c>
      <c r="M351" s="4">
        <v>30492</v>
      </c>
      <c r="N351" s="4">
        <v>164275</v>
      </c>
      <c r="O351" s="4">
        <v>194767</v>
      </c>
      <c r="P351" s="4">
        <v>59720</v>
      </c>
      <c r="Q351" s="4">
        <v>52954</v>
      </c>
      <c r="R351" s="100">
        <f t="shared" si="40"/>
        <v>1.7640161231220228</v>
      </c>
      <c r="S351" s="4">
        <v>14865</v>
      </c>
      <c r="T351" s="71">
        <f t="shared" si="43"/>
        <v>0.49518638195809322</v>
      </c>
      <c r="U351" s="4">
        <v>15105</v>
      </c>
      <c r="V351" s="4">
        <v>14589</v>
      </c>
      <c r="W351" s="4">
        <v>76567</v>
      </c>
      <c r="X351" s="77">
        <v>30000</v>
      </c>
      <c r="Y351" s="101">
        <f t="shared" si="41"/>
        <v>2.5506179419700854</v>
      </c>
      <c r="Z351" s="101">
        <f t="shared" si="42"/>
        <v>8.0292575503355703</v>
      </c>
      <c r="AA351" s="4">
        <v>15439</v>
      </c>
      <c r="AB351" s="2" t="s">
        <v>872</v>
      </c>
      <c r="AC351" s="106">
        <v>4229</v>
      </c>
      <c r="AD351" s="4">
        <v>112674</v>
      </c>
      <c r="AE351" s="4">
        <v>9536</v>
      </c>
      <c r="AF351" s="4">
        <v>30019</v>
      </c>
    </row>
    <row r="352" spans="1:32" ht="13.5" thickBot="1" x14ac:dyDescent="0.25">
      <c r="A352" s="2" t="s">
        <v>59</v>
      </c>
      <c r="B352" s="1" t="s">
        <v>58</v>
      </c>
      <c r="C352" s="2" t="s">
        <v>60</v>
      </c>
      <c r="D352" s="77">
        <v>1986303</v>
      </c>
      <c r="E352" s="77">
        <v>3685785</v>
      </c>
      <c r="F352" s="77">
        <v>456486</v>
      </c>
      <c r="G352" s="77">
        <v>6128574</v>
      </c>
      <c r="H352" s="100">
        <f>Table3[[#This Row],[Circulation of Children''s Materials]]/Table3[[#This Row],[Total Population Served]]</f>
        <v>12.141958554923896</v>
      </c>
      <c r="I352" s="100">
        <f>Table3[[#This Row],[Circulation of Electronic Materials]]/Table3[[#This Row],[Total Population Served]]</f>
        <v>2.7904272877315242</v>
      </c>
      <c r="J352" s="100">
        <f t="shared" si="38"/>
        <v>37.46301118650284</v>
      </c>
      <c r="K352" s="100">
        <f t="shared" si="39"/>
        <v>101.97294509151415</v>
      </c>
      <c r="L352" s="102">
        <v>109929</v>
      </c>
      <c r="M352" s="77">
        <v>566415</v>
      </c>
      <c r="N352" s="77">
        <v>5672088</v>
      </c>
      <c r="O352" s="77">
        <v>6238503</v>
      </c>
      <c r="P352" s="77">
        <v>563973</v>
      </c>
      <c r="Q352" s="77">
        <v>73358</v>
      </c>
      <c r="R352" s="100">
        <f t="shared" si="40"/>
        <v>0.44842594290604559</v>
      </c>
      <c r="S352" s="105" t="s">
        <v>2632</v>
      </c>
      <c r="T352" s="110">
        <v>0</v>
      </c>
      <c r="U352" s="77">
        <v>13183</v>
      </c>
      <c r="V352" s="77">
        <v>16122</v>
      </c>
      <c r="W352" s="77">
        <v>1851354</v>
      </c>
      <c r="X352" s="77">
        <v>1879006</v>
      </c>
      <c r="Y352" s="101">
        <f t="shared" si="41"/>
        <v>11.317036493673207</v>
      </c>
      <c r="Z352" s="101">
        <f t="shared" si="42"/>
        <v>30.804559068219636</v>
      </c>
      <c r="AA352" s="77">
        <v>133319</v>
      </c>
      <c r="AB352" s="2" t="s">
        <v>872</v>
      </c>
      <c r="AC352" s="106">
        <v>1041100</v>
      </c>
      <c r="AD352" s="77">
        <v>637331</v>
      </c>
      <c r="AE352" s="77">
        <v>60100</v>
      </c>
      <c r="AF352" s="4">
        <v>163590</v>
      </c>
    </row>
    <row r="353" spans="1:32" ht="13.5" thickBot="1" x14ac:dyDescent="0.25">
      <c r="A353" s="2" t="s">
        <v>86</v>
      </c>
      <c r="B353" s="1" t="s">
        <v>85</v>
      </c>
      <c r="C353" s="2" t="s">
        <v>60</v>
      </c>
      <c r="D353" s="4">
        <v>234280</v>
      </c>
      <c r="E353" s="4">
        <v>372782</v>
      </c>
      <c r="F353" s="4">
        <v>49069</v>
      </c>
      <c r="G353" s="4">
        <v>656131</v>
      </c>
      <c r="H353" s="100">
        <f>Table3[[#This Row],[Circulation of Children''s Materials]]/Table3[[#This Row],[Total Population Served]]</f>
        <v>2.1756855898440763</v>
      </c>
      <c r="I353" s="100">
        <f>Table3[[#This Row],[Circulation of Electronic Materials]]/Table3[[#This Row],[Total Population Served]]</f>
        <v>0.45568856158468068</v>
      </c>
      <c r="J353" s="100">
        <f t="shared" si="38"/>
        <v>6.0932847949034645</v>
      </c>
      <c r="K353" s="100">
        <f t="shared" si="39"/>
        <v>11.309093729532215</v>
      </c>
      <c r="L353" s="102">
        <v>157228</v>
      </c>
      <c r="M353" s="4">
        <v>206297</v>
      </c>
      <c r="N353" s="4">
        <v>607062</v>
      </c>
      <c r="O353" s="4">
        <v>813359</v>
      </c>
      <c r="P353" s="4">
        <v>315863</v>
      </c>
      <c r="Q353" s="4">
        <v>9152</v>
      </c>
      <c r="R353" s="100">
        <f t="shared" si="40"/>
        <v>8.4991781279891529E-2</v>
      </c>
      <c r="S353" s="4">
        <v>64351</v>
      </c>
      <c r="T353" s="71">
        <f>S353/AF353</f>
        <v>0.59760774881362544</v>
      </c>
      <c r="U353" s="4">
        <v>61973</v>
      </c>
      <c r="V353" s="4">
        <v>67337</v>
      </c>
      <c r="W353" s="4">
        <v>335728</v>
      </c>
      <c r="X353" s="77">
        <v>0</v>
      </c>
      <c r="Y353" s="101">
        <f t="shared" si="41"/>
        <v>3.1178016548880492</v>
      </c>
      <c r="Z353" s="101">
        <f t="shared" si="42"/>
        <v>5.7866179461546414</v>
      </c>
      <c r="AA353" s="4">
        <v>70099</v>
      </c>
      <c r="AB353" s="2" t="s">
        <v>872</v>
      </c>
      <c r="AC353" s="107" t="s">
        <v>2632</v>
      </c>
      <c r="AD353" s="4">
        <v>325015</v>
      </c>
      <c r="AE353" s="4">
        <v>58018</v>
      </c>
      <c r="AF353" s="4">
        <v>107681</v>
      </c>
    </row>
    <row r="354" spans="1:32" ht="13.5" thickBot="1" x14ac:dyDescent="0.25">
      <c r="A354" s="2" t="s">
        <v>148</v>
      </c>
      <c r="B354" s="1" t="s">
        <v>147</v>
      </c>
      <c r="C354" s="2" t="s">
        <v>60</v>
      </c>
      <c r="D354" s="4">
        <v>563744</v>
      </c>
      <c r="E354" s="4">
        <v>642437</v>
      </c>
      <c r="F354" s="4">
        <v>100859</v>
      </c>
      <c r="G354" s="4">
        <v>1307040</v>
      </c>
      <c r="H354" s="100">
        <f>Table3[[#This Row],[Circulation of Children''s Materials]]/Table3[[#This Row],[Total Population Served]]</f>
        <v>6.2518048639836756</v>
      </c>
      <c r="I354" s="100">
        <f>Table3[[#This Row],[Circulation of Electronic Materials]]/Table3[[#This Row],[Total Population Served]]</f>
        <v>1.1185055393521341</v>
      </c>
      <c r="J354" s="100">
        <f t="shared" si="38"/>
        <v>14.494804431481707</v>
      </c>
      <c r="K354" s="100">
        <f t="shared" si="39"/>
        <v>17.941031131609289</v>
      </c>
      <c r="L354" s="102">
        <v>46793</v>
      </c>
      <c r="M354" s="4">
        <v>147652</v>
      </c>
      <c r="N354" s="4">
        <v>1206181</v>
      </c>
      <c r="O354" s="4">
        <v>1353833</v>
      </c>
      <c r="P354" s="4">
        <v>308101</v>
      </c>
      <c r="Q354" s="4">
        <v>75834</v>
      </c>
      <c r="R354" s="100">
        <f t="shared" si="40"/>
        <v>0.84098344293746463</v>
      </c>
      <c r="S354" s="4">
        <v>66662</v>
      </c>
      <c r="T354" s="71">
        <f>S354/AF354</f>
        <v>0.73926785179599219</v>
      </c>
      <c r="U354" s="4">
        <v>15342</v>
      </c>
      <c r="V354" s="4">
        <v>12790</v>
      </c>
      <c r="W354" s="4">
        <v>527202</v>
      </c>
      <c r="X354" s="77">
        <v>528997</v>
      </c>
      <c r="Y354" s="101">
        <f t="shared" si="41"/>
        <v>5.8465616093509141</v>
      </c>
      <c r="Z354" s="101">
        <f t="shared" si="42"/>
        <v>7.2366167023554606</v>
      </c>
      <c r="AA354" s="107" t="s">
        <v>2632</v>
      </c>
      <c r="AB354" s="2" t="s">
        <v>872</v>
      </c>
      <c r="AC354" s="106">
        <v>123672</v>
      </c>
      <c r="AD354" s="4">
        <v>383935</v>
      </c>
      <c r="AE354" s="4">
        <v>72852</v>
      </c>
      <c r="AF354" s="4">
        <v>90173</v>
      </c>
    </row>
    <row r="355" spans="1:32" ht="13.5" thickBot="1" x14ac:dyDescent="0.25">
      <c r="A355" s="2" t="s">
        <v>150</v>
      </c>
      <c r="B355" s="1" t="s">
        <v>149</v>
      </c>
      <c r="C355" s="2" t="s">
        <v>60</v>
      </c>
      <c r="D355" s="77">
        <v>1133407</v>
      </c>
      <c r="E355" s="77">
        <v>1402670</v>
      </c>
      <c r="F355" s="77">
        <v>400319</v>
      </c>
      <c r="G355" s="77">
        <v>2936396</v>
      </c>
      <c r="H355" s="100">
        <f>Table3[[#This Row],[Circulation of Children''s Materials]]/Table3[[#This Row],[Total Population Served]]</f>
        <v>4.7450881063723784</v>
      </c>
      <c r="I355" s="100">
        <f>Table3[[#This Row],[Circulation of Electronic Materials]]/Table3[[#This Row],[Total Population Served]]</f>
        <v>1.6759636438233434</v>
      </c>
      <c r="J355" s="100">
        <f t="shared" si="38"/>
        <v>12.293428340569122</v>
      </c>
      <c r="K355" s="100">
        <f t="shared" si="39"/>
        <v>39.022910907931106</v>
      </c>
      <c r="L355" s="102">
        <v>60170</v>
      </c>
      <c r="M355" s="77">
        <v>460489</v>
      </c>
      <c r="N355" s="77">
        <v>2536077</v>
      </c>
      <c r="O355" s="77">
        <v>2996566</v>
      </c>
      <c r="P355" s="77">
        <v>556839</v>
      </c>
      <c r="Q355" s="77">
        <v>224180</v>
      </c>
      <c r="R355" s="100">
        <f t="shared" si="40"/>
        <v>0.93854533427670717</v>
      </c>
      <c r="S355" s="77">
        <v>124852</v>
      </c>
      <c r="T355" s="71">
        <f>S355/AF355</f>
        <v>0.5227016775587271</v>
      </c>
      <c r="U355" s="77">
        <v>48849</v>
      </c>
      <c r="V355" s="77">
        <v>47554</v>
      </c>
      <c r="W355" s="77">
        <v>1106498</v>
      </c>
      <c r="X355" s="77">
        <v>1272408</v>
      </c>
      <c r="Y355" s="101">
        <f t="shared" si="41"/>
        <v>4.6324316856388075</v>
      </c>
      <c r="Z355" s="101">
        <f t="shared" si="42"/>
        <v>14.704683180948331</v>
      </c>
      <c r="AA355" s="77">
        <v>193074</v>
      </c>
      <c r="AB355" s="2" t="s">
        <v>872</v>
      </c>
      <c r="AC355" s="106">
        <v>210374</v>
      </c>
      <c r="AD355" s="77">
        <v>781019</v>
      </c>
      <c r="AE355" s="77">
        <v>75248</v>
      </c>
      <c r="AF355" s="4">
        <v>238859</v>
      </c>
    </row>
    <row r="356" spans="1:32" ht="13.5" thickBot="1" x14ac:dyDescent="0.25">
      <c r="A356" s="2" t="s">
        <v>180</v>
      </c>
      <c r="B356" s="1" t="s">
        <v>179</v>
      </c>
      <c r="C356" s="2" t="s">
        <v>60</v>
      </c>
      <c r="D356" s="77">
        <v>146345</v>
      </c>
      <c r="E356" s="77">
        <v>156922</v>
      </c>
      <c r="F356" s="77">
        <v>21270</v>
      </c>
      <c r="G356" s="77">
        <v>324537</v>
      </c>
      <c r="H356" s="100">
        <f>Table3[[#This Row],[Circulation of Children''s Materials]]/Table3[[#This Row],[Total Population Served]]</f>
        <v>2.8339465530596435</v>
      </c>
      <c r="I356" s="100">
        <f>Table3[[#This Row],[Circulation of Electronic Materials]]/Table3[[#This Row],[Total Population Served]]</f>
        <v>0.41189000774593337</v>
      </c>
      <c r="J356" s="100">
        <f t="shared" si="38"/>
        <v>6.2846049573973666</v>
      </c>
      <c r="K356" s="100">
        <f t="shared" si="39"/>
        <v>29.514096034921788</v>
      </c>
      <c r="L356" s="102">
        <v>0</v>
      </c>
      <c r="M356" s="77">
        <v>21270</v>
      </c>
      <c r="N356" s="77">
        <v>303267</v>
      </c>
      <c r="O356" s="77">
        <v>324537</v>
      </c>
      <c r="P356" s="77">
        <v>147103</v>
      </c>
      <c r="Q356" s="77">
        <v>18043</v>
      </c>
      <c r="R356" s="100">
        <f t="shared" si="40"/>
        <v>0.34939969016266459</v>
      </c>
      <c r="S356" s="77">
        <v>72975</v>
      </c>
      <c r="T356" s="71">
        <f>S356/AF356</f>
        <v>1.4131487219209915</v>
      </c>
      <c r="U356" s="77">
        <v>11349</v>
      </c>
      <c r="V356" s="77">
        <v>12118</v>
      </c>
      <c r="W356" s="77">
        <v>236269</v>
      </c>
      <c r="X356" s="77">
        <v>265789</v>
      </c>
      <c r="Y356" s="101">
        <f t="shared" si="41"/>
        <v>4.5753098373353991</v>
      </c>
      <c r="Z356" s="101">
        <f t="shared" si="42"/>
        <v>21.486813386686066</v>
      </c>
      <c r="AA356" s="77">
        <v>49036</v>
      </c>
      <c r="AB356" s="2" t="s">
        <v>872</v>
      </c>
      <c r="AC356" s="106">
        <v>50190</v>
      </c>
      <c r="AD356" s="77">
        <v>165146</v>
      </c>
      <c r="AE356" s="77">
        <v>10996</v>
      </c>
      <c r="AF356" s="4">
        <v>51640</v>
      </c>
    </row>
    <row r="357" spans="1:32" ht="13.5" thickBot="1" x14ac:dyDescent="0.25">
      <c r="A357" s="2" t="s">
        <v>186</v>
      </c>
      <c r="B357" s="1" t="s">
        <v>185</v>
      </c>
      <c r="C357" s="2" t="s">
        <v>60</v>
      </c>
      <c r="D357" s="77">
        <v>772316</v>
      </c>
      <c r="E357" s="77">
        <v>937392</v>
      </c>
      <c r="F357" s="77">
        <v>128416</v>
      </c>
      <c r="G357" s="77">
        <v>1838124</v>
      </c>
      <c r="H357" s="100">
        <f>Table3[[#This Row],[Circulation of Children''s Materials]]/Table3[[#This Row],[Total Population Served]]</f>
        <v>4.5475025466193264</v>
      </c>
      <c r="I357" s="100">
        <f>Table3[[#This Row],[Circulation of Electronic Materials]]/Table3[[#This Row],[Total Population Served]]</f>
        <v>0.7561310228283078</v>
      </c>
      <c r="J357" s="100">
        <f t="shared" si="38"/>
        <v>10.823126247549062</v>
      </c>
      <c r="K357" s="100">
        <f t="shared" si="39"/>
        <v>14.582036270169928</v>
      </c>
      <c r="L357" s="102">
        <v>57815</v>
      </c>
      <c r="M357" s="77">
        <v>186231</v>
      </c>
      <c r="N357" s="77">
        <v>1709708</v>
      </c>
      <c r="O357" s="77">
        <v>1895939</v>
      </c>
      <c r="P357" s="77">
        <v>330400</v>
      </c>
      <c r="Q357" s="77">
        <v>15977</v>
      </c>
      <c r="R357" s="100">
        <f t="shared" si="40"/>
        <v>9.4074767565785214E-2</v>
      </c>
      <c r="S357" s="105" t="s">
        <v>2632</v>
      </c>
      <c r="T357" s="110">
        <v>0</v>
      </c>
      <c r="U357" s="77">
        <v>6304</v>
      </c>
      <c r="V357" s="77">
        <v>7423</v>
      </c>
      <c r="W357" s="77">
        <v>682624</v>
      </c>
      <c r="X357" s="77">
        <v>845500</v>
      </c>
      <c r="Y357" s="101">
        <f t="shared" si="41"/>
        <v>4.0193837475637828</v>
      </c>
      <c r="Z357" s="101">
        <f t="shared" si="42"/>
        <v>5.4153299379630955</v>
      </c>
      <c r="AA357" s="77">
        <v>109563</v>
      </c>
      <c r="AB357" s="2" t="s">
        <v>872</v>
      </c>
      <c r="AC357" s="106">
        <v>48394</v>
      </c>
      <c r="AD357" s="77">
        <v>346377</v>
      </c>
      <c r="AE357" s="77">
        <v>126054</v>
      </c>
      <c r="AF357" s="4">
        <v>169833</v>
      </c>
    </row>
    <row r="358" spans="1:32" ht="13.5" thickBot="1" x14ac:dyDescent="0.25">
      <c r="A358" s="2" t="s">
        <v>221</v>
      </c>
      <c r="B358" s="1" t="s">
        <v>220</v>
      </c>
      <c r="C358" s="2" t="s">
        <v>60</v>
      </c>
      <c r="D358" s="4">
        <v>63156</v>
      </c>
      <c r="E358" s="4">
        <v>137756</v>
      </c>
      <c r="F358" s="4">
        <v>6931</v>
      </c>
      <c r="G358" s="4">
        <v>207843</v>
      </c>
      <c r="H358" s="100">
        <f>Table3[[#This Row],[Circulation of Children''s Materials]]/Table3[[#This Row],[Total Population Served]]</f>
        <v>1.0931560909751792</v>
      </c>
      <c r="I358" s="100">
        <f>Table3[[#This Row],[Circulation of Electronic Materials]]/Table3[[#This Row],[Total Population Served]]</f>
        <v>0.11996745941080764</v>
      </c>
      <c r="J358" s="100">
        <f t="shared" si="38"/>
        <v>3.59751791463288</v>
      </c>
      <c r="K358" s="100">
        <f t="shared" si="39"/>
        <v>12.334896142433234</v>
      </c>
      <c r="L358" s="102">
        <v>513</v>
      </c>
      <c r="M358" s="4">
        <v>7444</v>
      </c>
      <c r="N358" s="4">
        <v>200912</v>
      </c>
      <c r="O358" s="4">
        <v>208356</v>
      </c>
      <c r="P358" s="4">
        <v>149304</v>
      </c>
      <c r="Q358" s="4">
        <v>18132</v>
      </c>
      <c r="R358" s="100">
        <f t="shared" si="40"/>
        <v>0.31384359746598817</v>
      </c>
      <c r="S358" s="4">
        <v>17056</v>
      </c>
      <c r="T358" s="71">
        <f t="shared" ref="T358:T379" si="44">S358/AF358</f>
        <v>0.29521930280056774</v>
      </c>
      <c r="U358" s="4">
        <v>36128</v>
      </c>
      <c r="V358" s="4">
        <v>26116</v>
      </c>
      <c r="W358" s="4">
        <v>304000</v>
      </c>
      <c r="X358" s="77">
        <v>33245</v>
      </c>
      <c r="Y358" s="101">
        <f t="shared" si="41"/>
        <v>5.2618825077024267</v>
      </c>
      <c r="Z358" s="101">
        <f t="shared" si="42"/>
        <v>18.041543026706233</v>
      </c>
      <c r="AA358" s="4">
        <v>97639</v>
      </c>
      <c r="AB358" s="2" t="s">
        <v>872</v>
      </c>
      <c r="AC358" s="106">
        <v>24125</v>
      </c>
      <c r="AD358" s="4">
        <v>167436</v>
      </c>
      <c r="AE358" s="4">
        <v>16850</v>
      </c>
      <c r="AF358" s="4">
        <v>57774</v>
      </c>
    </row>
    <row r="359" spans="1:32" ht="13.5" thickBot="1" x14ac:dyDescent="0.25">
      <c r="A359" s="2" t="s">
        <v>223</v>
      </c>
      <c r="B359" s="1" t="s">
        <v>222</v>
      </c>
      <c r="C359" s="2" t="s">
        <v>60</v>
      </c>
      <c r="D359" s="77">
        <v>147473</v>
      </c>
      <c r="E359" s="77">
        <v>245833</v>
      </c>
      <c r="F359" s="77">
        <v>78612</v>
      </c>
      <c r="G359" s="77">
        <v>471918</v>
      </c>
      <c r="H359" s="100">
        <f>Table3[[#This Row],[Circulation of Children''s Materials]]/Table3[[#This Row],[Total Population Served]]</f>
        <v>1.5024808207594267</v>
      </c>
      <c r="I359" s="100">
        <f>Table3[[#This Row],[Circulation of Electronic Materials]]/Table3[[#This Row],[Total Population Served]]</f>
        <v>0.80091286053406419</v>
      </c>
      <c r="J359" s="100">
        <f t="shared" si="38"/>
        <v>4.8079834544028204</v>
      </c>
      <c r="K359" s="100">
        <f t="shared" si="39"/>
        <v>15.01250198822968</v>
      </c>
      <c r="L359" s="102">
        <v>80862</v>
      </c>
      <c r="M359" s="77">
        <v>159474</v>
      </c>
      <c r="N359" s="77">
        <v>393306</v>
      </c>
      <c r="O359" s="77">
        <v>552780</v>
      </c>
      <c r="P359" s="77">
        <v>213359</v>
      </c>
      <c r="Q359" s="77">
        <v>693781</v>
      </c>
      <c r="R359" s="100">
        <f t="shared" si="40"/>
        <v>7.0683626582987786</v>
      </c>
      <c r="S359" s="77">
        <v>54300</v>
      </c>
      <c r="T359" s="71">
        <f t="shared" si="44"/>
        <v>0.55321793526433216</v>
      </c>
      <c r="U359" s="77">
        <v>9482</v>
      </c>
      <c r="V359" s="77">
        <v>5492</v>
      </c>
      <c r="W359" s="77">
        <v>347374</v>
      </c>
      <c r="X359" s="77">
        <v>240115</v>
      </c>
      <c r="Y359" s="101">
        <f t="shared" si="41"/>
        <v>3.5391073120536305</v>
      </c>
      <c r="Z359" s="101">
        <f t="shared" si="42"/>
        <v>11.05054875139176</v>
      </c>
      <c r="AA359" s="77">
        <v>188636</v>
      </c>
      <c r="AB359" s="2" t="s">
        <v>872</v>
      </c>
      <c r="AC359" s="106">
        <v>16660</v>
      </c>
      <c r="AD359" s="77">
        <v>907140</v>
      </c>
      <c r="AE359" s="77">
        <v>31435</v>
      </c>
      <c r="AF359" s="4">
        <v>98153</v>
      </c>
    </row>
    <row r="360" spans="1:32" ht="13.5" thickBot="1" x14ac:dyDescent="0.25">
      <c r="A360" s="2" t="s">
        <v>233</v>
      </c>
      <c r="B360" s="1" t="s">
        <v>232</v>
      </c>
      <c r="C360" s="2" t="s">
        <v>60</v>
      </c>
      <c r="D360" s="4">
        <v>216389</v>
      </c>
      <c r="E360" s="4">
        <v>506967</v>
      </c>
      <c r="F360" s="4">
        <v>62208</v>
      </c>
      <c r="G360" s="4">
        <v>785564</v>
      </c>
      <c r="H360" s="100">
        <f>Table3[[#This Row],[Circulation of Children''s Materials]]/Table3[[#This Row],[Total Population Served]]</f>
        <v>0.30316051091587426</v>
      </c>
      <c r="I360" s="100">
        <f>Table3[[#This Row],[Circulation of Electronic Materials]]/Table3[[#This Row],[Total Population Served]]</f>
        <v>8.7153270559292326E-2</v>
      </c>
      <c r="J360" s="100">
        <f t="shared" si="38"/>
        <v>1.1005734283957034</v>
      </c>
      <c r="K360" s="100">
        <f t="shared" si="39"/>
        <v>4.8042026468357832</v>
      </c>
      <c r="L360" s="102">
        <v>3989</v>
      </c>
      <c r="M360" s="4">
        <v>66197</v>
      </c>
      <c r="N360" s="4">
        <v>723356</v>
      </c>
      <c r="O360" s="4">
        <v>789553</v>
      </c>
      <c r="P360" s="4">
        <v>2959524</v>
      </c>
      <c r="Q360" s="4">
        <v>606813</v>
      </c>
      <c r="R360" s="100">
        <f t="shared" si="40"/>
        <v>0.8501436723234288</v>
      </c>
      <c r="S360" s="4">
        <v>672930</v>
      </c>
      <c r="T360" s="71">
        <f t="shared" si="44"/>
        <v>0.94277344324627999</v>
      </c>
      <c r="U360" s="4">
        <v>192</v>
      </c>
      <c r="V360" s="4">
        <v>733</v>
      </c>
      <c r="W360" s="4">
        <v>2891755</v>
      </c>
      <c r="X360" s="77">
        <v>2672225</v>
      </c>
      <c r="Y360" s="101">
        <f t="shared" si="41"/>
        <v>4.0513423660330892</v>
      </c>
      <c r="Z360" s="101">
        <f t="shared" si="42"/>
        <v>17.684844296582597</v>
      </c>
      <c r="AA360" s="4">
        <v>294129</v>
      </c>
      <c r="AB360" s="2" t="s">
        <v>872</v>
      </c>
      <c r="AC360" s="106">
        <v>82391</v>
      </c>
      <c r="AD360" s="4">
        <v>3566337</v>
      </c>
      <c r="AE360" s="4">
        <v>163516</v>
      </c>
      <c r="AF360" s="4">
        <v>713777</v>
      </c>
    </row>
    <row r="361" spans="1:32" ht="13.5" thickBot="1" x14ac:dyDescent="0.25">
      <c r="A361" s="2" t="s">
        <v>277</v>
      </c>
      <c r="B361" s="1" t="s">
        <v>276</v>
      </c>
      <c r="C361" s="2" t="s">
        <v>60</v>
      </c>
      <c r="D361" s="77">
        <v>458194</v>
      </c>
      <c r="E361" s="77">
        <v>561520</v>
      </c>
      <c r="F361" s="77">
        <v>52182</v>
      </c>
      <c r="G361" s="77">
        <v>1071896</v>
      </c>
      <c r="H361" s="100">
        <f>Table3[[#This Row],[Circulation of Children''s Materials]]/Table3[[#This Row],[Total Population Served]]</f>
        <v>5.084716796875</v>
      </c>
      <c r="I361" s="100">
        <f>Table3[[#This Row],[Circulation of Electronic Materials]]/Table3[[#This Row],[Total Population Served]]</f>
        <v>0.57907936789772729</v>
      </c>
      <c r="J361" s="100">
        <f t="shared" si="38"/>
        <v>11.895152698863637</v>
      </c>
      <c r="K361" s="100">
        <f t="shared" si="39"/>
        <v>23.902241052514217</v>
      </c>
      <c r="L361" s="102">
        <v>195155</v>
      </c>
      <c r="M361" s="77">
        <v>247337</v>
      </c>
      <c r="N361" s="77">
        <v>1019714</v>
      </c>
      <c r="O361" s="77">
        <v>1267051</v>
      </c>
      <c r="P361" s="77">
        <v>295654</v>
      </c>
      <c r="Q361" s="77">
        <v>79157</v>
      </c>
      <c r="R361" s="100">
        <f t="shared" si="40"/>
        <v>0.87842906605113635</v>
      </c>
      <c r="S361" s="77">
        <v>159654</v>
      </c>
      <c r="T361" s="71">
        <f t="shared" si="44"/>
        <v>1.771728515625</v>
      </c>
      <c r="U361" s="77">
        <v>11490</v>
      </c>
      <c r="V361" s="77">
        <v>9190</v>
      </c>
      <c r="W361" s="77">
        <v>580174</v>
      </c>
      <c r="X361" s="77">
        <v>3175962</v>
      </c>
      <c r="Y361" s="101">
        <f t="shared" si="41"/>
        <v>6.4383655894886367</v>
      </c>
      <c r="Z361" s="101">
        <f t="shared" si="42"/>
        <v>12.937317426691939</v>
      </c>
      <c r="AA361" s="77">
        <v>124565</v>
      </c>
      <c r="AB361" s="2" t="s">
        <v>872</v>
      </c>
      <c r="AC361" s="106">
        <v>324304</v>
      </c>
      <c r="AD361" s="77">
        <v>374811</v>
      </c>
      <c r="AE361" s="77">
        <v>44845</v>
      </c>
      <c r="AF361" s="4">
        <v>90112</v>
      </c>
    </row>
    <row r="362" spans="1:32" ht="13.5" thickBot="1" x14ac:dyDescent="0.25">
      <c r="A362" s="2" t="s">
        <v>291</v>
      </c>
      <c r="B362" s="1" t="s">
        <v>290</v>
      </c>
      <c r="C362" s="2" t="s">
        <v>60</v>
      </c>
      <c r="D362" s="4">
        <v>26863</v>
      </c>
      <c r="E362" s="4">
        <v>77358</v>
      </c>
      <c r="F362" s="4">
        <v>13177</v>
      </c>
      <c r="G362" s="4">
        <v>117398</v>
      </c>
      <c r="H362" s="100">
        <f>Table3[[#This Row],[Circulation of Children''s Materials]]/Table3[[#This Row],[Total Population Served]]</f>
        <v>0.26224691020559582</v>
      </c>
      <c r="I362" s="100">
        <f>Table3[[#This Row],[Circulation of Electronic Materials]]/Table3[[#This Row],[Total Population Served]]</f>
        <v>0.12863892848077788</v>
      </c>
      <c r="J362" s="100">
        <f t="shared" si="38"/>
        <v>1.1460843079446277</v>
      </c>
      <c r="K362" s="100">
        <f t="shared" si="39"/>
        <v>4.7839445802770983</v>
      </c>
      <c r="L362" s="102">
        <v>46900</v>
      </c>
      <c r="M362" s="4">
        <v>60077</v>
      </c>
      <c r="N362" s="4">
        <v>104221</v>
      </c>
      <c r="O362" s="4">
        <v>164298</v>
      </c>
      <c r="P362" s="4">
        <v>257623</v>
      </c>
      <c r="Q362" s="4">
        <v>10768</v>
      </c>
      <c r="R362" s="100">
        <f t="shared" si="40"/>
        <v>0.10512134642794385</v>
      </c>
      <c r="S362" s="4">
        <v>24100</v>
      </c>
      <c r="T362" s="71">
        <f t="shared" si="44"/>
        <v>0.23527344436417597</v>
      </c>
      <c r="U362" s="4">
        <v>0</v>
      </c>
      <c r="V362" s="4">
        <v>0</v>
      </c>
      <c r="W362" s="4">
        <v>128647</v>
      </c>
      <c r="X362" s="77">
        <v>85084</v>
      </c>
      <c r="Y362" s="101">
        <f t="shared" si="41"/>
        <v>1.2559013608762715</v>
      </c>
      <c r="Z362" s="101">
        <f t="shared" si="42"/>
        <v>5.2423390383048085</v>
      </c>
      <c r="AA362" s="4">
        <v>34702</v>
      </c>
      <c r="AB362" s="2" t="s">
        <v>872</v>
      </c>
      <c r="AC362" s="106">
        <v>11316</v>
      </c>
      <c r="AD362" s="4">
        <v>268391</v>
      </c>
      <c r="AE362" s="4">
        <v>24540</v>
      </c>
      <c r="AF362" s="4">
        <v>102434</v>
      </c>
    </row>
    <row r="363" spans="1:32" ht="13.5" thickBot="1" x14ac:dyDescent="0.25">
      <c r="A363" s="2" t="s">
        <v>317</v>
      </c>
      <c r="B363" s="1" t="s">
        <v>316</v>
      </c>
      <c r="C363" s="2" t="s">
        <v>60</v>
      </c>
      <c r="D363" s="4">
        <v>248907</v>
      </c>
      <c r="E363" s="4">
        <v>1042762</v>
      </c>
      <c r="F363" s="4">
        <v>387985</v>
      </c>
      <c r="G363" s="4">
        <v>1679654</v>
      </c>
      <c r="H363" s="100">
        <f>Table3[[#This Row],[Circulation of Children''s Materials]]/Table3[[#This Row],[Total Population Served]]</f>
        <v>0.74844166739333728</v>
      </c>
      <c r="I363" s="100">
        <f>Table3[[#This Row],[Circulation of Electronic Materials]]/Table3[[#This Row],[Total Population Served]]</f>
        <v>1.166637098689888</v>
      </c>
      <c r="J363" s="100">
        <f t="shared" si="38"/>
        <v>5.0505732679430011</v>
      </c>
      <c r="K363" s="100">
        <f t="shared" si="39"/>
        <v>12.9414203052647</v>
      </c>
      <c r="L363" s="102">
        <v>293969</v>
      </c>
      <c r="M363" s="4">
        <v>681954</v>
      </c>
      <c r="N363" s="4">
        <v>1291669</v>
      </c>
      <c r="O363" s="4">
        <v>1973623</v>
      </c>
      <c r="P363" s="4">
        <v>722319</v>
      </c>
      <c r="Q363" s="4">
        <v>48551</v>
      </c>
      <c r="R363" s="100">
        <f t="shared" si="40"/>
        <v>0.14598862785543965</v>
      </c>
      <c r="S363" s="4">
        <v>459623</v>
      </c>
      <c r="T363" s="71">
        <f t="shared" si="44"/>
        <v>1.3820463245000256</v>
      </c>
      <c r="U363" s="4">
        <v>24638</v>
      </c>
      <c r="V363" s="4">
        <v>28024</v>
      </c>
      <c r="W363" s="4">
        <v>1028097</v>
      </c>
      <c r="X363" s="77">
        <v>479929</v>
      </c>
      <c r="Y363" s="101">
        <f t="shared" si="41"/>
        <v>3.0913981242877373</v>
      </c>
      <c r="Z363" s="101">
        <f t="shared" si="42"/>
        <v>7.9212953331946467</v>
      </c>
      <c r="AA363" s="4">
        <v>185115</v>
      </c>
      <c r="AB363" s="2" t="s">
        <v>872</v>
      </c>
      <c r="AC363" s="106">
        <v>53447</v>
      </c>
      <c r="AD363" s="4">
        <v>770870</v>
      </c>
      <c r="AE363" s="4">
        <v>129789</v>
      </c>
      <c r="AF363" s="4">
        <v>332567</v>
      </c>
    </row>
    <row r="364" spans="1:32" ht="13.5" thickBot="1" x14ac:dyDescent="0.25">
      <c r="A364" s="2" t="s">
        <v>331</v>
      </c>
      <c r="B364" s="1" t="s">
        <v>330</v>
      </c>
      <c r="C364" s="2" t="s">
        <v>60</v>
      </c>
      <c r="D364" s="77">
        <v>252058</v>
      </c>
      <c r="E364" s="77">
        <v>252330</v>
      </c>
      <c r="F364" s="77">
        <v>47767</v>
      </c>
      <c r="G364" s="77">
        <v>552155</v>
      </c>
      <c r="H364" s="100">
        <f>Table3[[#This Row],[Circulation of Children''s Materials]]/Table3[[#This Row],[Total Population Served]]</f>
        <v>3.2859843299829219</v>
      </c>
      <c r="I364" s="100">
        <f>Table3[[#This Row],[Circulation of Electronic Materials]]/Table3[[#This Row],[Total Population Served]]</f>
        <v>0.62272022110107295</v>
      </c>
      <c r="J364" s="100">
        <f t="shared" si="38"/>
        <v>7.198234841670252</v>
      </c>
      <c r="K364" s="100">
        <f t="shared" si="39"/>
        <v>14.122333623203232</v>
      </c>
      <c r="L364" s="102">
        <v>408135</v>
      </c>
      <c r="M364" s="77">
        <v>455902</v>
      </c>
      <c r="N364" s="77">
        <v>504388</v>
      </c>
      <c r="O364" s="77">
        <v>960290</v>
      </c>
      <c r="P364" s="77">
        <v>222716</v>
      </c>
      <c r="Q364" s="77">
        <v>14723</v>
      </c>
      <c r="R364" s="100">
        <f t="shared" si="40"/>
        <v>0.19193815427535948</v>
      </c>
      <c r="S364" s="77">
        <v>71760</v>
      </c>
      <c r="T364" s="71">
        <f t="shared" si="44"/>
        <v>0.93550784152684896</v>
      </c>
      <c r="U364" s="77">
        <v>23642</v>
      </c>
      <c r="V364" s="77">
        <v>16547</v>
      </c>
      <c r="W364" s="77">
        <v>203434</v>
      </c>
      <c r="X364" s="77">
        <v>169460</v>
      </c>
      <c r="Y364" s="101">
        <f t="shared" si="41"/>
        <v>2.6520917256573715</v>
      </c>
      <c r="Z364" s="101">
        <f t="shared" si="42"/>
        <v>5.2031817484270295</v>
      </c>
      <c r="AA364" s="107" t="s">
        <v>2632</v>
      </c>
      <c r="AB364" s="2" t="s">
        <v>872</v>
      </c>
      <c r="AC364" s="107" t="s">
        <v>2632</v>
      </c>
      <c r="AD364" s="77">
        <v>237439</v>
      </c>
      <c r="AE364" s="77">
        <v>39098</v>
      </c>
      <c r="AF364" s="4">
        <v>76707</v>
      </c>
    </row>
    <row r="365" spans="1:32" ht="13.5" thickBot="1" x14ac:dyDescent="0.25">
      <c r="A365" s="2" t="s">
        <v>335</v>
      </c>
      <c r="B365" s="1" t="s">
        <v>334</v>
      </c>
      <c r="C365" s="2" t="s">
        <v>60</v>
      </c>
      <c r="D365" s="4">
        <v>409133</v>
      </c>
      <c r="E365" s="4">
        <v>754664</v>
      </c>
      <c r="F365" s="4">
        <v>241952</v>
      </c>
      <c r="G365" s="4">
        <v>1405749</v>
      </c>
      <c r="H365" s="100">
        <f>Table3[[#This Row],[Circulation of Children''s Materials]]/Table3[[#This Row],[Total Population Served]]</f>
        <v>2.175776430546692</v>
      </c>
      <c r="I365" s="100">
        <f>Table3[[#This Row],[Circulation of Electronic Materials]]/Table3[[#This Row],[Total Population Served]]</f>
        <v>1.286704956392257</v>
      </c>
      <c r="J365" s="100">
        <f t="shared" si="38"/>
        <v>7.4757977026164646</v>
      </c>
      <c r="K365" s="100">
        <f t="shared" si="39"/>
        <v>25.426853091198495</v>
      </c>
      <c r="L365" s="102">
        <v>251289</v>
      </c>
      <c r="M365" s="4">
        <v>493241</v>
      </c>
      <c r="N365" s="4">
        <v>1163797</v>
      </c>
      <c r="O365" s="4">
        <v>1657038</v>
      </c>
      <c r="P365" s="4">
        <v>829260</v>
      </c>
      <c r="Q365" s="4">
        <v>39435</v>
      </c>
      <c r="R365" s="100">
        <f t="shared" si="40"/>
        <v>0.20971601786853861</v>
      </c>
      <c r="S365" s="4">
        <v>149734</v>
      </c>
      <c r="T365" s="71">
        <f t="shared" si="44"/>
        <v>0.79628802382471819</v>
      </c>
      <c r="U365" s="4">
        <v>6943</v>
      </c>
      <c r="V365" s="4">
        <v>6062</v>
      </c>
      <c r="W365" s="4">
        <v>683544</v>
      </c>
      <c r="X365" s="77">
        <v>599955</v>
      </c>
      <c r="Y365" s="101">
        <f t="shared" si="41"/>
        <v>3.6350989151244417</v>
      </c>
      <c r="Z365" s="101">
        <f t="shared" si="42"/>
        <v>12.363781065730926</v>
      </c>
      <c r="AA365" s="4">
        <v>117491</v>
      </c>
      <c r="AB365" s="2" t="s">
        <v>872</v>
      </c>
      <c r="AC365" s="106">
        <v>197786</v>
      </c>
      <c r="AD365" s="4">
        <v>868695</v>
      </c>
      <c r="AE365" s="4">
        <v>55286</v>
      </c>
      <c r="AF365" s="4">
        <v>188040</v>
      </c>
    </row>
    <row r="366" spans="1:32" ht="13.5" thickBot="1" x14ac:dyDescent="0.25">
      <c r="A366" s="2" t="s">
        <v>339</v>
      </c>
      <c r="B366" s="1" t="s">
        <v>338</v>
      </c>
      <c r="C366" s="2" t="s">
        <v>60</v>
      </c>
      <c r="D366" s="4">
        <v>168774</v>
      </c>
      <c r="E366" s="4">
        <v>270187</v>
      </c>
      <c r="F366" s="4">
        <v>82931</v>
      </c>
      <c r="G366" s="4">
        <v>521892</v>
      </c>
      <c r="H366" s="100">
        <f>Table3[[#This Row],[Circulation of Children''s Materials]]/Table3[[#This Row],[Total Population Served]]</f>
        <v>3.3006864451528366</v>
      </c>
      <c r="I366" s="100">
        <f>Table3[[#This Row],[Circulation of Electronic Materials]]/Table3[[#This Row],[Total Population Served]]</f>
        <v>1.6218684606809692</v>
      </c>
      <c r="J366" s="100">
        <f t="shared" si="38"/>
        <v>10.206559364793772</v>
      </c>
      <c r="K366" s="100">
        <f t="shared" si="39"/>
        <v>21.129230769230769</v>
      </c>
      <c r="L366" s="102">
        <v>73400</v>
      </c>
      <c r="M366" s="4">
        <v>156331</v>
      </c>
      <c r="N366" s="4">
        <v>438961</v>
      </c>
      <c r="O366" s="4">
        <v>595292</v>
      </c>
      <c r="P366" s="4">
        <v>205396</v>
      </c>
      <c r="Q366" s="4">
        <v>360518</v>
      </c>
      <c r="R366" s="100">
        <f t="shared" si="40"/>
        <v>7.0505935501535211</v>
      </c>
      <c r="S366" s="4">
        <v>67086</v>
      </c>
      <c r="T366" s="71">
        <f t="shared" si="44"/>
        <v>1.3119902998063873</v>
      </c>
      <c r="U366" s="4">
        <v>16781</v>
      </c>
      <c r="V366" s="4">
        <v>14154</v>
      </c>
      <c r="W366" s="4">
        <v>473267</v>
      </c>
      <c r="X366" s="77">
        <v>290442</v>
      </c>
      <c r="Y366" s="101">
        <f t="shared" si="41"/>
        <v>9.255607924432363</v>
      </c>
      <c r="Z366" s="101">
        <f t="shared" si="42"/>
        <v>19.160607287449391</v>
      </c>
      <c r="AA366" s="4">
        <v>46207</v>
      </c>
      <c r="AB366" s="2" t="s">
        <v>872</v>
      </c>
      <c r="AC366" s="106">
        <v>61004</v>
      </c>
      <c r="AD366" s="4">
        <v>565914</v>
      </c>
      <c r="AE366" s="4">
        <v>24700</v>
      </c>
      <c r="AF366" s="4">
        <v>51133</v>
      </c>
    </row>
    <row r="367" spans="1:32" ht="13.5" thickBot="1" x14ac:dyDescent="0.25">
      <c r="A367" s="2" t="s">
        <v>367</v>
      </c>
      <c r="B367" s="1" t="s">
        <v>366</v>
      </c>
      <c r="C367" s="2" t="s">
        <v>60</v>
      </c>
      <c r="D367" s="4">
        <v>366390</v>
      </c>
      <c r="E367" s="4">
        <v>638381</v>
      </c>
      <c r="F367" s="4">
        <v>198167</v>
      </c>
      <c r="G367" s="4">
        <v>1202938</v>
      </c>
      <c r="H367" s="100">
        <f>Table3[[#This Row],[Circulation of Children''s Materials]]/Table3[[#This Row],[Total Population Served]]</f>
        <v>3.5772238657332824</v>
      </c>
      <c r="I367" s="100">
        <f>Table3[[#This Row],[Circulation of Electronic Materials]]/Table3[[#This Row],[Total Population Served]]</f>
        <v>1.9347900373939446</v>
      </c>
      <c r="J367" s="100">
        <f t="shared" si="38"/>
        <v>11.744803413295841</v>
      </c>
      <c r="K367" s="100">
        <f t="shared" si="39"/>
        <v>24.290981785872944</v>
      </c>
      <c r="L367" s="102">
        <v>89555</v>
      </c>
      <c r="M367" s="4">
        <v>287722</v>
      </c>
      <c r="N367" s="4">
        <v>1004771</v>
      </c>
      <c r="O367" s="4">
        <v>1292493</v>
      </c>
      <c r="P367" s="4">
        <v>295103</v>
      </c>
      <c r="Q367" s="4">
        <v>123381</v>
      </c>
      <c r="R367" s="100">
        <f t="shared" si="40"/>
        <v>1.2046220087285082</v>
      </c>
      <c r="S367" s="77">
        <v>179374</v>
      </c>
      <c r="T367" s="71">
        <f t="shared" si="44"/>
        <v>1.7513058590355681</v>
      </c>
      <c r="U367" s="77">
        <v>27214</v>
      </c>
      <c r="V367" s="4">
        <v>35518</v>
      </c>
      <c r="W367" s="4">
        <v>809569</v>
      </c>
      <c r="X367" s="77">
        <v>442177</v>
      </c>
      <c r="Y367" s="101">
        <f t="shared" si="41"/>
        <v>7.9041719145113891</v>
      </c>
      <c r="Z367" s="101">
        <f t="shared" si="42"/>
        <v>16.347663664633899</v>
      </c>
      <c r="AA367" s="77">
        <v>58340</v>
      </c>
      <c r="AB367" s="2" t="s">
        <v>872</v>
      </c>
      <c r="AC367" s="106">
        <v>67061</v>
      </c>
      <c r="AD367" s="4">
        <v>418484</v>
      </c>
      <c r="AE367" s="4">
        <v>49522</v>
      </c>
      <c r="AF367" s="4">
        <v>102423</v>
      </c>
    </row>
    <row r="368" spans="1:32" ht="13.5" thickBot="1" x14ac:dyDescent="0.25">
      <c r="A368" s="2" t="s">
        <v>389</v>
      </c>
      <c r="B368" s="1" t="s">
        <v>388</v>
      </c>
      <c r="C368" s="2" t="s">
        <v>60</v>
      </c>
      <c r="D368" s="4">
        <v>206198</v>
      </c>
      <c r="E368" s="4">
        <v>184844</v>
      </c>
      <c r="F368" s="4">
        <v>69997</v>
      </c>
      <c r="G368" s="4">
        <v>461039</v>
      </c>
      <c r="H368" s="100">
        <f>Table3[[#This Row],[Circulation of Children''s Materials]]/Table3[[#This Row],[Total Population Served]]</f>
        <v>3.9254126292143385</v>
      </c>
      <c r="I368" s="100">
        <f>Table3[[#This Row],[Circulation of Electronic Materials]]/Table3[[#This Row],[Total Population Served]]</f>
        <v>1.332540120695235</v>
      </c>
      <c r="J368" s="100">
        <f t="shared" si="38"/>
        <v>8.7768470749490763</v>
      </c>
      <c r="K368" s="100">
        <f t="shared" si="39"/>
        <v>21.876109134045077</v>
      </c>
      <c r="L368" s="102">
        <v>177334</v>
      </c>
      <c r="M368" s="4">
        <v>247331</v>
      </c>
      <c r="N368" s="4">
        <v>391042</v>
      </c>
      <c r="O368" s="4">
        <v>638373</v>
      </c>
      <c r="P368" s="4">
        <v>142845</v>
      </c>
      <c r="Q368" s="4">
        <v>110739</v>
      </c>
      <c r="R368" s="100">
        <f t="shared" si="40"/>
        <v>2.1081497839288774</v>
      </c>
      <c r="S368" s="77">
        <v>57798</v>
      </c>
      <c r="T368" s="71">
        <f t="shared" si="44"/>
        <v>1.1003064973633612</v>
      </c>
      <c r="U368" s="77">
        <v>10306</v>
      </c>
      <c r="V368" s="4">
        <v>9664</v>
      </c>
      <c r="W368" s="4">
        <v>170010</v>
      </c>
      <c r="X368" s="77">
        <v>89582</v>
      </c>
      <c r="Y368" s="101">
        <f t="shared" si="41"/>
        <v>3.2364979344742903</v>
      </c>
      <c r="Z368" s="101">
        <f t="shared" si="42"/>
        <v>8.066903914590748</v>
      </c>
      <c r="AA368" s="77">
        <v>21415</v>
      </c>
      <c r="AB368" s="2" t="s">
        <v>872</v>
      </c>
      <c r="AC368" s="106">
        <v>36738</v>
      </c>
      <c r="AD368" s="4">
        <v>253584</v>
      </c>
      <c r="AE368" s="4">
        <v>21075</v>
      </c>
      <c r="AF368" s="4">
        <v>52529</v>
      </c>
    </row>
    <row r="369" spans="1:32" ht="13.5" thickBot="1" x14ac:dyDescent="0.25">
      <c r="A369" s="2" t="s">
        <v>409</v>
      </c>
      <c r="B369" s="1" t="s">
        <v>408</v>
      </c>
      <c r="C369" s="2" t="s">
        <v>60</v>
      </c>
      <c r="D369" s="4">
        <v>200933</v>
      </c>
      <c r="E369" s="4">
        <v>658987</v>
      </c>
      <c r="F369" s="4">
        <v>145338</v>
      </c>
      <c r="G369" s="4">
        <v>1005258</v>
      </c>
      <c r="H369" s="100">
        <f>Table3[[#This Row],[Circulation of Children''s Materials]]/Table3[[#This Row],[Total Population Served]]</f>
        <v>1.2538877240277571</v>
      </c>
      <c r="I369" s="100">
        <f>Table3[[#This Row],[Circulation of Electronic Materials]]/Table3[[#This Row],[Total Population Served]]</f>
        <v>0.90695671708851278</v>
      </c>
      <c r="J369" s="100">
        <f t="shared" si="38"/>
        <v>6.2731391343417702</v>
      </c>
      <c r="K369" s="100">
        <f t="shared" si="39"/>
        <v>15.857305107738902</v>
      </c>
      <c r="L369" s="102">
        <v>71515</v>
      </c>
      <c r="M369" s="4">
        <v>216853</v>
      </c>
      <c r="N369" s="4">
        <v>859920</v>
      </c>
      <c r="O369" s="4">
        <v>1076773</v>
      </c>
      <c r="P369" s="4">
        <v>467025</v>
      </c>
      <c r="Q369" s="4">
        <v>115784</v>
      </c>
      <c r="R369" s="100">
        <f t="shared" si="40"/>
        <v>0.72253007837851335</v>
      </c>
      <c r="S369" s="4">
        <v>110723</v>
      </c>
      <c r="T369" s="71">
        <f t="shared" si="44"/>
        <v>0.69094778093954368</v>
      </c>
      <c r="U369" s="4">
        <v>24488</v>
      </c>
      <c r="V369" s="4">
        <v>24393</v>
      </c>
      <c r="W369" s="4">
        <v>595534</v>
      </c>
      <c r="X369" s="77">
        <v>713037</v>
      </c>
      <c r="Y369" s="101">
        <f t="shared" si="41"/>
        <v>3.716327192851081</v>
      </c>
      <c r="Z369" s="101">
        <f t="shared" si="42"/>
        <v>9.3941697952487608</v>
      </c>
      <c r="AA369" s="4">
        <v>153645</v>
      </c>
      <c r="AB369" s="2" t="s">
        <v>872</v>
      </c>
      <c r="AC369" s="106">
        <v>44131</v>
      </c>
      <c r="AD369" s="4">
        <v>582809</v>
      </c>
      <c r="AE369" s="4">
        <v>63394</v>
      </c>
      <c r="AF369" s="4">
        <v>160248</v>
      </c>
    </row>
    <row r="370" spans="1:32" ht="13.5" thickBot="1" x14ac:dyDescent="0.25">
      <c r="A370" s="2" t="s">
        <v>417</v>
      </c>
      <c r="B370" s="1" t="s">
        <v>416</v>
      </c>
      <c r="C370" s="2" t="s">
        <v>60</v>
      </c>
      <c r="D370" s="4">
        <v>329768</v>
      </c>
      <c r="E370" s="4">
        <v>1131713</v>
      </c>
      <c r="F370" s="4">
        <v>169003</v>
      </c>
      <c r="G370" s="4">
        <v>1630484</v>
      </c>
      <c r="H370" s="100">
        <f>Table3[[#This Row],[Circulation of Children''s Materials]]/Table3[[#This Row],[Total Population Served]]</f>
        <v>2.8319635879599812</v>
      </c>
      <c r="I370" s="100">
        <f>Table3[[#This Row],[Circulation of Electronic Materials]]/Table3[[#This Row],[Total Population Served]]</f>
        <v>1.4513547168190992</v>
      </c>
      <c r="J370" s="100">
        <f t="shared" si="38"/>
        <v>14.002181287303019</v>
      </c>
      <c r="K370" s="100">
        <f t="shared" si="39"/>
        <v>24.748174794711836</v>
      </c>
      <c r="L370" s="102">
        <v>13041</v>
      </c>
      <c r="M370" s="4">
        <v>182044</v>
      </c>
      <c r="N370" s="4">
        <v>1461481</v>
      </c>
      <c r="O370" s="4">
        <v>1643525</v>
      </c>
      <c r="P370" s="4">
        <v>514902</v>
      </c>
      <c r="Q370" s="4">
        <v>436586</v>
      </c>
      <c r="R370" s="100">
        <f t="shared" si="40"/>
        <v>3.7492893640774616</v>
      </c>
      <c r="S370" s="4">
        <v>231716</v>
      </c>
      <c r="T370" s="71">
        <f t="shared" si="44"/>
        <v>1.9899179870325046</v>
      </c>
      <c r="U370" s="4">
        <v>16319</v>
      </c>
      <c r="V370" s="4">
        <v>16759</v>
      </c>
      <c r="W370" s="4">
        <v>558663</v>
      </c>
      <c r="X370" s="77">
        <v>1498793</v>
      </c>
      <c r="Y370" s="101">
        <f t="shared" si="41"/>
        <v>4.7976555455365197</v>
      </c>
      <c r="Z370" s="101">
        <f t="shared" si="42"/>
        <v>8.479622967988707</v>
      </c>
      <c r="AA370" s="4">
        <v>111884</v>
      </c>
      <c r="AB370" s="2" t="s">
        <v>872</v>
      </c>
      <c r="AC370" s="106">
        <v>28977</v>
      </c>
      <c r="AD370" s="4">
        <v>951488</v>
      </c>
      <c r="AE370" s="4">
        <v>65883</v>
      </c>
      <c r="AF370" s="4">
        <v>116445</v>
      </c>
    </row>
    <row r="371" spans="1:32" ht="13.5" thickBot="1" x14ac:dyDescent="0.25">
      <c r="A371" s="2" t="s">
        <v>421</v>
      </c>
      <c r="B371" s="1" t="s">
        <v>420</v>
      </c>
      <c r="C371" s="2" t="s">
        <v>60</v>
      </c>
      <c r="D371" s="4">
        <v>2558978</v>
      </c>
      <c r="E371" s="4">
        <v>4547339</v>
      </c>
      <c r="F371" s="4">
        <v>1290761</v>
      </c>
      <c r="G371" s="4">
        <v>8397078</v>
      </c>
      <c r="H371" s="100">
        <f>Table3[[#This Row],[Circulation of Children''s Materials]]/Table3[[#This Row],[Total Population Served]]</f>
        <v>6.467618662487995</v>
      </c>
      <c r="I371" s="100">
        <f>Table3[[#This Row],[Circulation of Electronic Materials]]/Table3[[#This Row],[Total Population Served]]</f>
        <v>3.2622984380528739</v>
      </c>
      <c r="J371" s="100">
        <f t="shared" si="38"/>
        <v>21.222964161148461</v>
      </c>
      <c r="K371" s="100">
        <f t="shared" si="39"/>
        <v>41.170219650911946</v>
      </c>
      <c r="L371" s="102">
        <v>78539</v>
      </c>
      <c r="M371" s="4">
        <v>1369300</v>
      </c>
      <c r="N371" s="4">
        <v>7106317</v>
      </c>
      <c r="O371" s="4">
        <v>8475617</v>
      </c>
      <c r="P371" s="4">
        <v>918345</v>
      </c>
      <c r="Q371" s="4">
        <v>110671</v>
      </c>
      <c r="R371" s="100">
        <f t="shared" si="40"/>
        <v>0.27971237931557397</v>
      </c>
      <c r="S371" s="77">
        <v>739999</v>
      </c>
      <c r="T371" s="71">
        <f t="shared" si="44"/>
        <v>1.8702901481069605</v>
      </c>
      <c r="U371" s="77">
        <v>28967</v>
      </c>
      <c r="V371" s="4">
        <v>30170</v>
      </c>
      <c r="W371" s="4">
        <v>2663220</v>
      </c>
      <c r="X371" s="77">
        <v>1447201</v>
      </c>
      <c r="Y371" s="101">
        <f t="shared" si="41"/>
        <v>6.7310822423292729</v>
      </c>
      <c r="Z371" s="101">
        <f t="shared" si="42"/>
        <v>13.057560305942342</v>
      </c>
      <c r="AA371" s="77">
        <v>362668</v>
      </c>
      <c r="AB371" s="2" t="s">
        <v>872</v>
      </c>
      <c r="AC371" s="106">
        <v>739337</v>
      </c>
      <c r="AD371" s="4">
        <v>1029016</v>
      </c>
      <c r="AE371" s="4">
        <v>203960</v>
      </c>
      <c r="AF371" s="4">
        <v>395660</v>
      </c>
    </row>
    <row r="372" spans="1:32" ht="13.5" thickBot="1" x14ac:dyDescent="0.25">
      <c r="A372" s="2" t="s">
        <v>431</v>
      </c>
      <c r="B372" s="1" t="s">
        <v>430</v>
      </c>
      <c r="C372" s="2" t="s">
        <v>60</v>
      </c>
      <c r="D372" s="4">
        <v>53029</v>
      </c>
      <c r="E372" s="4">
        <v>93063</v>
      </c>
      <c r="F372" s="4">
        <v>22316</v>
      </c>
      <c r="G372" s="4">
        <v>168408</v>
      </c>
      <c r="H372" s="100">
        <f>Table3[[#This Row],[Circulation of Children''s Materials]]/Table3[[#This Row],[Total Population Served]]</f>
        <v>0.88372829383728291</v>
      </c>
      <c r="I372" s="100">
        <f>Table3[[#This Row],[Circulation of Electronic Materials]]/Table3[[#This Row],[Total Population Served]]</f>
        <v>0.37189614371896146</v>
      </c>
      <c r="J372" s="100">
        <f t="shared" si="38"/>
        <v>2.8065193480651933</v>
      </c>
      <c r="K372" s="100">
        <f t="shared" si="39"/>
        <v>8.2902431820419409</v>
      </c>
      <c r="L372" s="102">
        <v>228</v>
      </c>
      <c r="M372" s="4">
        <v>22544</v>
      </c>
      <c r="N372" s="4">
        <v>146092</v>
      </c>
      <c r="O372" s="4">
        <v>168636</v>
      </c>
      <c r="P372" s="4">
        <v>98441</v>
      </c>
      <c r="Q372" s="4">
        <v>18003</v>
      </c>
      <c r="R372" s="100">
        <f t="shared" si="40"/>
        <v>0.30001999800019996</v>
      </c>
      <c r="S372" s="4">
        <v>11359</v>
      </c>
      <c r="T372" s="71">
        <f t="shared" si="44"/>
        <v>0.18929773689297738</v>
      </c>
      <c r="U372" s="4">
        <v>14583</v>
      </c>
      <c r="V372" s="4">
        <v>24598</v>
      </c>
      <c r="W372" s="4">
        <v>132675</v>
      </c>
      <c r="X372" s="77">
        <v>68296</v>
      </c>
      <c r="Y372" s="101">
        <f t="shared" si="41"/>
        <v>2.2110288971102889</v>
      </c>
      <c r="Z372" s="101">
        <f t="shared" si="42"/>
        <v>6.5312100029536282</v>
      </c>
      <c r="AA372" s="4">
        <v>17940</v>
      </c>
      <c r="AB372" s="2" t="s">
        <v>872</v>
      </c>
      <c r="AC372" s="106">
        <v>43055</v>
      </c>
      <c r="AD372" s="4">
        <v>116444</v>
      </c>
      <c r="AE372" s="4">
        <v>20314</v>
      </c>
      <c r="AF372" s="4">
        <v>60006</v>
      </c>
    </row>
    <row r="373" spans="1:32" ht="13.5" thickBot="1" x14ac:dyDescent="0.25">
      <c r="A373" s="2" t="s">
        <v>459</v>
      </c>
      <c r="B373" s="1" t="s">
        <v>458</v>
      </c>
      <c r="C373" s="2" t="s">
        <v>60</v>
      </c>
      <c r="D373" s="77">
        <v>162014</v>
      </c>
      <c r="E373" s="77">
        <v>249149</v>
      </c>
      <c r="F373" s="77">
        <v>54363</v>
      </c>
      <c r="G373" s="77">
        <v>465526</v>
      </c>
      <c r="H373" s="100">
        <f>Table3[[#This Row],[Circulation of Children''s Materials]]/Table3[[#This Row],[Total Population Served]]</f>
        <v>1.6712467248457841</v>
      </c>
      <c r="I373" s="100">
        <f>Table3[[#This Row],[Circulation of Electronic Materials]]/Table3[[#This Row],[Total Population Served]]</f>
        <v>0.56077860989044992</v>
      </c>
      <c r="J373" s="100">
        <f t="shared" si="38"/>
        <v>4.8021084772338103</v>
      </c>
      <c r="K373" s="100">
        <f t="shared" si="39"/>
        <v>13.036657425298944</v>
      </c>
      <c r="L373" s="102">
        <v>720</v>
      </c>
      <c r="M373" s="77">
        <v>55083</v>
      </c>
      <c r="N373" s="77">
        <v>411163</v>
      </c>
      <c r="O373" s="77">
        <v>466246</v>
      </c>
      <c r="P373" s="77">
        <v>259597</v>
      </c>
      <c r="Q373" s="77">
        <v>25264</v>
      </c>
      <c r="R373" s="100">
        <f t="shared" si="40"/>
        <v>0.26060943657032037</v>
      </c>
      <c r="S373" s="77">
        <v>97812</v>
      </c>
      <c r="T373" s="71">
        <f t="shared" si="44"/>
        <v>1.0089744383239463</v>
      </c>
      <c r="U373" s="77">
        <v>54765</v>
      </c>
      <c r="V373" s="77">
        <v>50088</v>
      </c>
      <c r="W373" s="77">
        <v>297083</v>
      </c>
      <c r="X373" s="77">
        <v>2090974</v>
      </c>
      <c r="Y373" s="101">
        <f t="shared" si="41"/>
        <v>3.0645437478079676</v>
      </c>
      <c r="Z373" s="101">
        <f t="shared" si="42"/>
        <v>8.3195552941835391</v>
      </c>
      <c r="AA373" s="77">
        <v>33063</v>
      </c>
      <c r="AB373" s="2" t="s">
        <v>872</v>
      </c>
      <c r="AC373" s="106">
        <v>59474</v>
      </c>
      <c r="AD373" s="77">
        <v>284861</v>
      </c>
      <c r="AE373" s="77">
        <v>35709</v>
      </c>
      <c r="AF373" s="4">
        <v>96942</v>
      </c>
    </row>
    <row r="374" spans="1:32" ht="13.5" thickBot="1" x14ac:dyDescent="0.25">
      <c r="A374" s="2" t="s">
        <v>526</v>
      </c>
      <c r="B374" s="1" t="s">
        <v>525</v>
      </c>
      <c r="C374" s="2" t="s">
        <v>60</v>
      </c>
      <c r="D374" s="77">
        <v>276356</v>
      </c>
      <c r="E374" s="77">
        <v>508303</v>
      </c>
      <c r="F374" s="77">
        <v>110589</v>
      </c>
      <c r="G374" s="77">
        <v>895248</v>
      </c>
      <c r="H374" s="100">
        <f>Table3[[#This Row],[Circulation of Children''s Materials]]/Table3[[#This Row],[Total Population Served]]</f>
        <v>1.8429262111966924</v>
      </c>
      <c r="I374" s="100">
        <f>Table3[[#This Row],[Circulation of Electronic Materials]]/Table3[[#This Row],[Total Population Served]]</f>
        <v>0.73748124437331197</v>
      </c>
      <c r="J374" s="100">
        <f t="shared" si="38"/>
        <v>5.9701110333099932</v>
      </c>
      <c r="K374" s="100">
        <f t="shared" si="39"/>
        <v>18.91821985545835</v>
      </c>
      <c r="L374" s="103" t="s">
        <v>2632</v>
      </c>
      <c r="M374" s="77">
        <v>110589</v>
      </c>
      <c r="N374" s="77">
        <v>784659</v>
      </c>
      <c r="O374" s="77">
        <v>895248</v>
      </c>
      <c r="P374" s="77">
        <v>417766</v>
      </c>
      <c r="Q374" s="77">
        <v>16661</v>
      </c>
      <c r="R374" s="100">
        <f t="shared" si="40"/>
        <v>0.11110666533293322</v>
      </c>
      <c r="S374" s="77">
        <v>48688</v>
      </c>
      <c r="T374" s="71">
        <f t="shared" si="44"/>
        <v>0.32468407188823312</v>
      </c>
      <c r="U374" s="77">
        <v>37927</v>
      </c>
      <c r="V374" s="77">
        <v>37861</v>
      </c>
      <c r="W374" s="77">
        <v>612918</v>
      </c>
      <c r="X374" s="77">
        <v>1131757</v>
      </c>
      <c r="Y374" s="101">
        <f t="shared" si="41"/>
        <v>4.0873462038611583</v>
      </c>
      <c r="Z374" s="101">
        <f t="shared" si="42"/>
        <v>12.95207303157094</v>
      </c>
      <c r="AA374" s="77">
        <v>184210</v>
      </c>
      <c r="AB374" s="2" t="s">
        <v>872</v>
      </c>
      <c r="AC374" s="106">
        <v>45379</v>
      </c>
      <c r="AD374" s="77">
        <v>434427</v>
      </c>
      <c r="AE374" s="77">
        <v>47322</v>
      </c>
      <c r="AF374" s="4">
        <v>149955</v>
      </c>
    </row>
    <row r="375" spans="1:32" ht="13.5" thickBot="1" x14ac:dyDescent="0.25">
      <c r="A375" s="2" t="s">
        <v>540</v>
      </c>
      <c r="B375" s="1" t="s">
        <v>539</v>
      </c>
      <c r="C375" s="2" t="s">
        <v>60</v>
      </c>
      <c r="D375" s="4">
        <v>124030</v>
      </c>
      <c r="E375" s="4">
        <v>329404</v>
      </c>
      <c r="F375" s="4">
        <v>30469</v>
      </c>
      <c r="G375" s="4">
        <v>483903</v>
      </c>
      <c r="H375" s="100">
        <f>Table3[[#This Row],[Circulation of Children''s Materials]]/Table3[[#This Row],[Total Population Served]]</f>
        <v>1.1717303404753807</v>
      </c>
      <c r="I375" s="100">
        <f>Table3[[#This Row],[Circulation of Electronic Materials]]/Table3[[#This Row],[Total Population Served]]</f>
        <v>0.28784529342856063</v>
      </c>
      <c r="J375" s="100">
        <f t="shared" si="38"/>
        <v>4.5715054982428294</v>
      </c>
      <c r="K375" s="100">
        <f t="shared" si="39"/>
        <v>19.009388749214331</v>
      </c>
      <c r="L375" s="102">
        <v>22738</v>
      </c>
      <c r="M375" s="4">
        <v>53207</v>
      </c>
      <c r="N375" s="4">
        <v>453434</v>
      </c>
      <c r="O375" s="4">
        <v>506641</v>
      </c>
      <c r="P375" s="4">
        <v>206806</v>
      </c>
      <c r="Q375" s="4">
        <v>228128</v>
      </c>
      <c r="R375" s="100">
        <f t="shared" si="40"/>
        <v>2.1551600347655215</v>
      </c>
      <c r="S375" s="77">
        <v>66656</v>
      </c>
      <c r="T375" s="71">
        <f t="shared" si="44"/>
        <v>0.62970940558515665</v>
      </c>
      <c r="U375" s="77">
        <v>47568</v>
      </c>
      <c r="V375" s="4">
        <v>50185</v>
      </c>
      <c r="W375" s="4">
        <v>392027</v>
      </c>
      <c r="X375" s="77">
        <v>215975</v>
      </c>
      <c r="Y375" s="101">
        <f t="shared" si="41"/>
        <v>3.7035389033745227</v>
      </c>
      <c r="Z375" s="101">
        <f t="shared" si="42"/>
        <v>15.400180703959773</v>
      </c>
      <c r="AA375" s="77">
        <v>61658</v>
      </c>
      <c r="AB375" s="2" t="s">
        <v>872</v>
      </c>
      <c r="AC375" s="106">
        <v>29342</v>
      </c>
      <c r="AD375" s="4">
        <v>434934</v>
      </c>
      <c r="AE375" s="4">
        <v>25456</v>
      </c>
      <c r="AF375" s="4">
        <v>105852</v>
      </c>
    </row>
    <row r="376" spans="1:32" ht="13.5" thickBot="1" x14ac:dyDescent="0.25">
      <c r="A376" s="2" t="s">
        <v>560</v>
      </c>
      <c r="B376" s="1" t="s">
        <v>559</v>
      </c>
      <c r="C376" s="2" t="s">
        <v>60</v>
      </c>
      <c r="D376" s="4">
        <v>292014</v>
      </c>
      <c r="E376" s="4">
        <v>451857</v>
      </c>
      <c r="F376" s="4">
        <v>77029</v>
      </c>
      <c r="G376" s="4">
        <v>820900</v>
      </c>
      <c r="H376" s="100">
        <f>Table3[[#This Row],[Circulation of Children''s Materials]]/Table3[[#This Row],[Total Population Served]]</f>
        <v>5.2734857514356914</v>
      </c>
      <c r="I376" s="100">
        <f>Table3[[#This Row],[Circulation of Electronic Materials]]/Table3[[#This Row],[Total Population Served]]</f>
        <v>1.3910680102575215</v>
      </c>
      <c r="J376" s="100">
        <f t="shared" si="38"/>
        <v>14.824646946220248</v>
      </c>
      <c r="K376" s="100">
        <f t="shared" si="39"/>
        <v>34.893309529881833</v>
      </c>
      <c r="L376" s="102">
        <v>108479</v>
      </c>
      <c r="M376" s="4">
        <v>185508</v>
      </c>
      <c r="N376" s="4">
        <v>743871</v>
      </c>
      <c r="O376" s="4">
        <v>929379</v>
      </c>
      <c r="P376" s="4">
        <v>172483</v>
      </c>
      <c r="Q376" s="4">
        <v>63254</v>
      </c>
      <c r="R376" s="100">
        <f t="shared" si="40"/>
        <v>1.1423050529129195</v>
      </c>
      <c r="S376" s="4">
        <v>116219</v>
      </c>
      <c r="T376" s="71">
        <f t="shared" si="44"/>
        <v>2.098800881280023</v>
      </c>
      <c r="U376" s="4">
        <v>57582</v>
      </c>
      <c r="V376" s="4">
        <v>53654</v>
      </c>
      <c r="W376" s="4">
        <v>488778</v>
      </c>
      <c r="X376" s="77">
        <v>1452966</v>
      </c>
      <c r="Y376" s="101">
        <f t="shared" si="41"/>
        <v>8.8268501462780371</v>
      </c>
      <c r="Z376" s="101">
        <f t="shared" si="42"/>
        <v>20.776077531242031</v>
      </c>
      <c r="AA376" s="4">
        <v>47514</v>
      </c>
      <c r="AB376" s="2" t="s">
        <v>872</v>
      </c>
      <c r="AC376" s="106">
        <v>1042330</v>
      </c>
      <c r="AD376" s="4">
        <v>235737</v>
      </c>
      <c r="AE376" s="4">
        <v>23526</v>
      </c>
      <c r="AF376" s="4">
        <v>55374</v>
      </c>
    </row>
    <row r="377" spans="1:32" ht="13.5" thickBot="1" x14ac:dyDescent="0.25">
      <c r="A377" s="2" t="s">
        <v>610</v>
      </c>
      <c r="B377" s="1" t="s">
        <v>609</v>
      </c>
      <c r="C377" s="2" t="s">
        <v>60</v>
      </c>
      <c r="D377" s="77">
        <v>7881</v>
      </c>
      <c r="E377" s="77">
        <v>55798</v>
      </c>
      <c r="F377" s="77">
        <v>3782</v>
      </c>
      <c r="G377" s="77">
        <v>67461</v>
      </c>
      <c r="H377" s="100">
        <f>Table3[[#This Row],[Circulation of Children''s Materials]]/Table3[[#This Row],[Total Population Served]]</f>
        <v>0.13242039821893639</v>
      </c>
      <c r="I377" s="100">
        <f>Table3[[#This Row],[Circulation of Electronic Materials]]/Table3[[#This Row],[Total Population Served]]</f>
        <v>6.3547004956733599E-2</v>
      </c>
      <c r="J377" s="100">
        <f t="shared" si="38"/>
        <v>1.1335125598588591</v>
      </c>
      <c r="K377" s="100">
        <f t="shared" si="39"/>
        <v>5.7301452476004417</v>
      </c>
      <c r="L377" s="102">
        <v>4671</v>
      </c>
      <c r="M377" s="77">
        <v>8453</v>
      </c>
      <c r="N377" s="77">
        <v>63679</v>
      </c>
      <c r="O377" s="77">
        <v>72132</v>
      </c>
      <c r="P377" s="77">
        <v>74660</v>
      </c>
      <c r="Q377" s="77">
        <v>12768</v>
      </c>
      <c r="R377" s="100">
        <f t="shared" si="40"/>
        <v>0.21453415105435605</v>
      </c>
      <c r="S377" s="77">
        <v>14344</v>
      </c>
      <c r="T377" s="71">
        <f t="shared" si="44"/>
        <v>0.24101487020078971</v>
      </c>
      <c r="U377" s="77">
        <v>7031</v>
      </c>
      <c r="V377" s="77">
        <v>3983</v>
      </c>
      <c r="W377" s="77">
        <v>178795</v>
      </c>
      <c r="X377" s="77">
        <v>7315</v>
      </c>
      <c r="Y377" s="101">
        <f t="shared" si="41"/>
        <v>3.0042006216920103</v>
      </c>
      <c r="Z377" s="101">
        <f t="shared" si="42"/>
        <v>15.186868257878196</v>
      </c>
      <c r="AA377" s="77">
        <v>69412</v>
      </c>
      <c r="AB377" s="2" t="s">
        <v>872</v>
      </c>
      <c r="AC377" s="107" t="s">
        <v>2632</v>
      </c>
      <c r="AD377" s="77">
        <v>87428</v>
      </c>
      <c r="AE377" s="77">
        <v>11773</v>
      </c>
      <c r="AF377" s="4">
        <v>59515</v>
      </c>
    </row>
    <row r="378" spans="1:32" ht="13.5" thickBot="1" x14ac:dyDescent="0.25">
      <c r="A378" s="2" t="s">
        <v>614</v>
      </c>
      <c r="B378" s="1" t="s">
        <v>613</v>
      </c>
      <c r="C378" s="2" t="s">
        <v>60</v>
      </c>
      <c r="D378" s="77">
        <v>344391</v>
      </c>
      <c r="E378" s="77">
        <v>356946</v>
      </c>
      <c r="F378" s="77">
        <v>117008</v>
      </c>
      <c r="G378" s="77">
        <v>818345</v>
      </c>
      <c r="H378" s="100">
        <f>Table3[[#This Row],[Circulation of Children''s Materials]]/Table3[[#This Row],[Total Population Served]]</f>
        <v>6.6013225991949396</v>
      </c>
      <c r="I378" s="100">
        <f>Table3[[#This Row],[Circulation of Electronic Materials]]/Table3[[#This Row],[Total Population Served]]</f>
        <v>2.2428215449492046</v>
      </c>
      <c r="J378" s="100">
        <f t="shared" si="38"/>
        <v>15.686122292505271</v>
      </c>
      <c r="K378" s="100">
        <f t="shared" si="39"/>
        <v>20.770177664974618</v>
      </c>
      <c r="L378" s="102">
        <v>45238</v>
      </c>
      <c r="M378" s="77">
        <v>162246</v>
      </c>
      <c r="N378" s="77">
        <v>701337</v>
      </c>
      <c r="O378" s="77">
        <v>863583</v>
      </c>
      <c r="P378" s="77">
        <v>195956</v>
      </c>
      <c r="Q378" s="77">
        <v>37495</v>
      </c>
      <c r="R378" s="100">
        <f t="shared" si="40"/>
        <v>0.7187080697718996</v>
      </c>
      <c r="S378" s="77">
        <v>104800</v>
      </c>
      <c r="T378" s="71">
        <f t="shared" si="44"/>
        <v>2.008817327966264</v>
      </c>
      <c r="U378" s="77">
        <v>13156</v>
      </c>
      <c r="V378" s="77">
        <v>13314</v>
      </c>
      <c r="W378" s="77">
        <v>714828</v>
      </c>
      <c r="X378" s="77">
        <v>387998</v>
      </c>
      <c r="Y378" s="101">
        <f t="shared" si="41"/>
        <v>13.701897642323175</v>
      </c>
      <c r="Z378" s="101">
        <f t="shared" si="42"/>
        <v>18.142842639593908</v>
      </c>
      <c r="AA378" s="77">
        <v>35397</v>
      </c>
      <c r="AB378" s="2" t="s">
        <v>872</v>
      </c>
      <c r="AC378" s="106">
        <v>91215</v>
      </c>
      <c r="AD378" s="77">
        <v>233451</v>
      </c>
      <c r="AE378" s="77">
        <v>39400</v>
      </c>
      <c r="AF378" s="4">
        <v>52170</v>
      </c>
    </row>
    <row r="379" spans="1:32" ht="13.5" thickBot="1" x14ac:dyDescent="0.25">
      <c r="A379" s="2" t="s">
        <v>624</v>
      </c>
      <c r="B379" s="1" t="s">
        <v>623</v>
      </c>
      <c r="C379" s="2" t="s">
        <v>60</v>
      </c>
      <c r="D379" s="4">
        <v>84291</v>
      </c>
      <c r="E379" s="4">
        <v>166618</v>
      </c>
      <c r="F379" s="4">
        <v>38214</v>
      </c>
      <c r="G379" s="4">
        <v>289123</v>
      </c>
      <c r="H379" s="100">
        <f>Table3[[#This Row],[Circulation of Children''s Materials]]/Table3[[#This Row],[Total Population Served]]</f>
        <v>0.6760044911380223</v>
      </c>
      <c r="I379" s="100">
        <f>Table3[[#This Row],[Circulation of Electronic Materials]]/Table3[[#This Row],[Total Population Served]]</f>
        <v>0.30647205068570055</v>
      </c>
      <c r="J379" s="100">
        <f t="shared" si="38"/>
        <v>2.3187344614644316</v>
      </c>
      <c r="K379" s="100">
        <f t="shared" si="39"/>
        <v>5.7236211743279091</v>
      </c>
      <c r="L379" s="102">
        <v>282545</v>
      </c>
      <c r="M379" s="4">
        <v>320759</v>
      </c>
      <c r="N379" s="4">
        <v>250909</v>
      </c>
      <c r="O379" s="4">
        <v>571668</v>
      </c>
      <c r="P379" s="4">
        <v>338317</v>
      </c>
      <c r="Q379" s="4">
        <v>5300</v>
      </c>
      <c r="R379" s="100">
        <f t="shared" si="40"/>
        <v>4.2505413425294729E-2</v>
      </c>
      <c r="S379" s="4">
        <v>181976</v>
      </c>
      <c r="T379" s="71">
        <f t="shared" si="44"/>
        <v>1.4594273799021573</v>
      </c>
      <c r="U379" s="4">
        <v>24110</v>
      </c>
      <c r="V379" s="4">
        <v>23109</v>
      </c>
      <c r="W379" s="4">
        <v>310137</v>
      </c>
      <c r="X379" s="77">
        <v>212906</v>
      </c>
      <c r="Y379" s="101">
        <f t="shared" si="41"/>
        <v>2.4872644157510626</v>
      </c>
      <c r="Z379" s="101">
        <f t="shared" si="42"/>
        <v>6.1396246585105123</v>
      </c>
      <c r="AA379" s="4">
        <v>68787</v>
      </c>
      <c r="AB379" s="2" t="s">
        <v>872</v>
      </c>
      <c r="AC379" s="106">
        <v>39255</v>
      </c>
      <c r="AD379" s="4">
        <v>343617</v>
      </c>
      <c r="AE379" s="4">
        <v>50514</v>
      </c>
      <c r="AF379" s="4">
        <v>124690</v>
      </c>
    </row>
    <row r="380" spans="1:32" ht="13.5" thickBot="1" x14ac:dyDescent="0.25">
      <c r="A380" s="2" t="s">
        <v>660</v>
      </c>
      <c r="B380" s="1" t="s">
        <v>659</v>
      </c>
      <c r="C380" s="2" t="s">
        <v>60</v>
      </c>
      <c r="D380" s="77">
        <v>758823</v>
      </c>
      <c r="E380" s="77">
        <v>1104099</v>
      </c>
      <c r="F380" s="77">
        <v>134269</v>
      </c>
      <c r="G380" s="77">
        <v>1997191</v>
      </c>
      <c r="H380" s="100">
        <f>Table3[[#This Row],[Circulation of Children''s Materials]]/Table3[[#This Row],[Total Population Served]]</f>
        <v>7.5516047171219585</v>
      </c>
      <c r="I380" s="100">
        <f>Table3[[#This Row],[Circulation of Electronic Materials]]/Table3[[#This Row],[Total Population Served]]</f>
        <v>1.3362093844852465</v>
      </c>
      <c r="J380" s="100">
        <f t="shared" si="38"/>
        <v>19.87551375827238</v>
      </c>
      <c r="K380" s="100">
        <f t="shared" si="39"/>
        <v>28.831560104517042</v>
      </c>
      <c r="L380" s="102">
        <v>53344</v>
      </c>
      <c r="M380" s="77">
        <v>187613</v>
      </c>
      <c r="N380" s="77">
        <v>1862922</v>
      </c>
      <c r="O380" s="77">
        <v>2050535</v>
      </c>
      <c r="P380" s="77">
        <v>250585</v>
      </c>
      <c r="Q380" s="77">
        <v>12659</v>
      </c>
      <c r="R380" s="100">
        <f t="shared" si="40"/>
        <v>0.1259790018410708</v>
      </c>
      <c r="S380" s="105" t="s">
        <v>2632</v>
      </c>
      <c r="T380" s="110">
        <v>0</v>
      </c>
      <c r="U380" s="77">
        <v>22575</v>
      </c>
      <c r="V380" s="77">
        <v>22175</v>
      </c>
      <c r="W380" s="77">
        <v>552380</v>
      </c>
      <c r="X380" s="77">
        <v>196737</v>
      </c>
      <c r="Y380" s="101">
        <f t="shared" si="41"/>
        <v>5.4971388764492213</v>
      </c>
      <c r="Z380" s="101">
        <f t="shared" si="42"/>
        <v>7.974188332779951</v>
      </c>
      <c r="AA380" s="77">
        <v>58551</v>
      </c>
      <c r="AB380" s="2" t="s">
        <v>872</v>
      </c>
      <c r="AC380" s="106">
        <v>169492</v>
      </c>
      <c r="AD380" s="77">
        <v>263244</v>
      </c>
      <c r="AE380" s="77">
        <v>69271</v>
      </c>
      <c r="AF380" s="4">
        <v>100485</v>
      </c>
    </row>
    <row r="381" spans="1:32" ht="13.5" thickBot="1" x14ac:dyDescent="0.25">
      <c r="A381" s="2" t="s">
        <v>670</v>
      </c>
      <c r="B381" s="1" t="s">
        <v>669</v>
      </c>
      <c r="C381" s="2" t="s">
        <v>60</v>
      </c>
      <c r="D381" s="4">
        <v>158319</v>
      </c>
      <c r="E381" s="4">
        <v>142954</v>
      </c>
      <c r="F381" s="4">
        <v>66715</v>
      </c>
      <c r="G381" s="4">
        <v>367988</v>
      </c>
      <c r="H381" s="100">
        <f>Table3[[#This Row],[Circulation of Children''s Materials]]/Table3[[#This Row],[Total Population Served]]</f>
        <v>2.7660737997064784</v>
      </c>
      <c r="I381" s="100">
        <f>Table3[[#This Row],[Circulation of Electronic Materials]]/Table3[[#This Row],[Total Population Served]]</f>
        <v>1.1656125515409881</v>
      </c>
      <c r="J381" s="100">
        <f t="shared" si="38"/>
        <v>6.4293102243343352</v>
      </c>
      <c r="K381" s="100">
        <f t="shared" si="39"/>
        <v>15.16725743961751</v>
      </c>
      <c r="L381" s="102">
        <v>31846</v>
      </c>
      <c r="M381" s="4">
        <v>98561</v>
      </c>
      <c r="N381" s="4">
        <v>301273</v>
      </c>
      <c r="O381" s="4">
        <v>399834</v>
      </c>
      <c r="P381" s="4">
        <v>153982</v>
      </c>
      <c r="Q381" s="4">
        <v>446901</v>
      </c>
      <c r="R381" s="100">
        <f t="shared" si="40"/>
        <v>7.8080403941575236</v>
      </c>
      <c r="S381" s="4">
        <v>26346</v>
      </c>
      <c r="T381" s="71">
        <f t="shared" ref="T381:T396" si="45">S381/AF381</f>
        <v>0.46030470333356627</v>
      </c>
      <c r="U381" s="4">
        <v>21065</v>
      </c>
      <c r="V381" s="4">
        <v>31915</v>
      </c>
      <c r="W381" s="4">
        <v>193697</v>
      </c>
      <c r="X381" s="77">
        <v>280351</v>
      </c>
      <c r="Y381" s="101">
        <f t="shared" si="41"/>
        <v>3.3841812845062549</v>
      </c>
      <c r="Z381" s="101">
        <f t="shared" si="42"/>
        <v>7.983554529717253</v>
      </c>
      <c r="AA381" s="4">
        <v>36139</v>
      </c>
      <c r="AB381" s="2" t="s">
        <v>872</v>
      </c>
      <c r="AC381" s="106">
        <v>22138</v>
      </c>
      <c r="AD381" s="4">
        <v>600883</v>
      </c>
      <c r="AE381" s="4">
        <v>24262</v>
      </c>
      <c r="AF381" s="4">
        <v>57236</v>
      </c>
    </row>
    <row r="382" spans="1:32" ht="13.5" thickBot="1" x14ac:dyDescent="0.25">
      <c r="A382" s="2" t="s">
        <v>678</v>
      </c>
      <c r="B382" s="1" t="s">
        <v>677</v>
      </c>
      <c r="C382" s="2" t="s">
        <v>60</v>
      </c>
      <c r="D382" s="4">
        <v>169797</v>
      </c>
      <c r="E382" s="4">
        <v>376437</v>
      </c>
      <c r="F382" s="4">
        <v>59831</v>
      </c>
      <c r="G382" s="4">
        <v>606065</v>
      </c>
      <c r="H382" s="100">
        <f>Table3[[#This Row],[Circulation of Children''s Materials]]/Table3[[#This Row],[Total Population Served]]</f>
        <v>1.0591658765407455</v>
      </c>
      <c r="I382" s="100">
        <f>Table3[[#This Row],[Circulation of Electronic Materials]]/Table3[[#This Row],[Total Population Served]]</f>
        <v>0.37321597884125957</v>
      </c>
      <c r="J382" s="100">
        <f t="shared" si="38"/>
        <v>3.7805342082938269</v>
      </c>
      <c r="K382" s="100">
        <f t="shared" si="39"/>
        <v>9.8788101059494711</v>
      </c>
      <c r="L382" s="102">
        <v>135175</v>
      </c>
      <c r="M382" s="4">
        <v>195006</v>
      </c>
      <c r="N382" s="4">
        <v>546234</v>
      </c>
      <c r="O382" s="4">
        <v>741240</v>
      </c>
      <c r="P382" s="4">
        <v>442905</v>
      </c>
      <c r="Q382" s="4">
        <v>30101</v>
      </c>
      <c r="R382" s="100">
        <f t="shared" si="40"/>
        <v>0.18776510803932331</v>
      </c>
      <c r="S382" s="4">
        <v>50551</v>
      </c>
      <c r="T382" s="71">
        <f t="shared" si="45"/>
        <v>0.31532885872548533</v>
      </c>
      <c r="U382" s="4">
        <v>12188</v>
      </c>
      <c r="V382" s="4">
        <v>13265</v>
      </c>
      <c r="W382" s="4">
        <v>526968</v>
      </c>
      <c r="X382" s="77">
        <v>6885630</v>
      </c>
      <c r="Y382" s="101">
        <f t="shared" si="41"/>
        <v>3.2871400768501422</v>
      </c>
      <c r="Z382" s="101">
        <f t="shared" si="42"/>
        <v>8.589535452322739</v>
      </c>
      <c r="AA382" s="4">
        <v>88399</v>
      </c>
      <c r="AB382" s="2" t="s">
        <v>872</v>
      </c>
      <c r="AC382" s="106">
        <v>32577</v>
      </c>
      <c r="AD382" s="4">
        <v>473006</v>
      </c>
      <c r="AE382" s="4">
        <v>61350</v>
      </c>
      <c r="AF382" s="4">
        <v>160312</v>
      </c>
    </row>
    <row r="383" spans="1:32" ht="13.5" thickBot="1" x14ac:dyDescent="0.25">
      <c r="A383" s="2" t="s">
        <v>680</v>
      </c>
      <c r="B383" s="1" t="s">
        <v>679</v>
      </c>
      <c r="C383" s="2" t="s">
        <v>60</v>
      </c>
      <c r="D383" s="4">
        <v>62908</v>
      </c>
      <c r="E383" s="4">
        <v>140024</v>
      </c>
      <c r="F383" s="4">
        <v>25676</v>
      </c>
      <c r="G383" s="4">
        <v>228608</v>
      </c>
      <c r="H383" s="100">
        <f>Table3[[#This Row],[Circulation of Children''s Materials]]/Table3[[#This Row],[Total Population Served]]</f>
        <v>1.0534706522649251</v>
      </c>
      <c r="I383" s="100">
        <f>Table3[[#This Row],[Circulation of Electronic Materials]]/Table3[[#This Row],[Total Population Served]]</f>
        <v>0.42997571799380391</v>
      </c>
      <c r="J383" s="100">
        <f t="shared" si="38"/>
        <v>3.8283178430880014</v>
      </c>
      <c r="K383" s="100">
        <f t="shared" si="39"/>
        <v>7.445787056639416</v>
      </c>
      <c r="L383" s="102">
        <v>61854</v>
      </c>
      <c r="M383" s="4">
        <v>87530</v>
      </c>
      <c r="N383" s="4">
        <v>202932</v>
      </c>
      <c r="O383" s="4">
        <v>290462</v>
      </c>
      <c r="P383" s="4">
        <v>139514</v>
      </c>
      <c r="Q383" s="4">
        <v>12290</v>
      </c>
      <c r="R383" s="100">
        <f t="shared" si="40"/>
        <v>0.20581093527589384</v>
      </c>
      <c r="S383" s="77">
        <v>19955</v>
      </c>
      <c r="T383" s="71">
        <f t="shared" si="45"/>
        <v>0.3341706438918195</v>
      </c>
      <c r="U383" s="77">
        <v>21031</v>
      </c>
      <c r="V383" s="4">
        <v>16291</v>
      </c>
      <c r="W383" s="4">
        <v>148147</v>
      </c>
      <c r="X383" s="77">
        <v>93706</v>
      </c>
      <c r="Y383" s="101">
        <f t="shared" si="41"/>
        <v>2.480900946160931</v>
      </c>
      <c r="Z383" s="101">
        <f t="shared" si="42"/>
        <v>4.825163664788457</v>
      </c>
      <c r="AA383" s="77">
        <v>18586</v>
      </c>
      <c r="AB383" s="2" t="s">
        <v>872</v>
      </c>
      <c r="AC383" s="106">
        <v>47390</v>
      </c>
      <c r="AD383" s="4">
        <v>151804</v>
      </c>
      <c r="AE383" s="4">
        <v>30703</v>
      </c>
      <c r="AF383" s="4">
        <v>59715</v>
      </c>
    </row>
    <row r="384" spans="1:32" ht="13.5" thickBot="1" x14ac:dyDescent="0.25">
      <c r="A384" s="2" t="s">
        <v>708</v>
      </c>
      <c r="B384" s="1" t="s">
        <v>707</v>
      </c>
      <c r="C384" s="2" t="s">
        <v>60</v>
      </c>
      <c r="D384" s="4">
        <v>92679</v>
      </c>
      <c r="E384" s="4">
        <v>109981</v>
      </c>
      <c r="F384" s="4">
        <v>32014</v>
      </c>
      <c r="G384" s="4">
        <v>234674</v>
      </c>
      <c r="H384" s="100">
        <f>Table3[[#This Row],[Circulation of Children''s Materials]]/Table3[[#This Row],[Total Population Served]]</f>
        <v>1.2557449460733836</v>
      </c>
      <c r="I384" s="100">
        <f>Table3[[#This Row],[Circulation of Electronic Materials]]/Table3[[#This Row],[Total Population Served]]</f>
        <v>0.43377052734269145</v>
      </c>
      <c r="J384" s="100">
        <f t="shared" si="38"/>
        <v>3.1796921576066337</v>
      </c>
      <c r="K384" s="100">
        <f t="shared" si="39"/>
        <v>10.270646417786336</v>
      </c>
      <c r="L384" s="102">
        <v>0</v>
      </c>
      <c r="M384" s="4">
        <v>32014</v>
      </c>
      <c r="N384" s="4">
        <v>202660</v>
      </c>
      <c r="O384" s="4">
        <v>234674</v>
      </c>
      <c r="P384" s="4">
        <v>115066</v>
      </c>
      <c r="Q384" s="4">
        <v>14952</v>
      </c>
      <c r="R384" s="100">
        <f t="shared" si="40"/>
        <v>0.2025906454934692</v>
      </c>
      <c r="S384" s="4">
        <v>30282</v>
      </c>
      <c r="T384" s="71">
        <f t="shared" si="45"/>
        <v>0.41030296460896426</v>
      </c>
      <c r="U384" s="4">
        <v>19392</v>
      </c>
      <c r="V384" s="4">
        <v>51681</v>
      </c>
      <c r="W384" s="4">
        <v>166811</v>
      </c>
      <c r="X384" s="77">
        <v>154659</v>
      </c>
      <c r="Y384" s="101">
        <f t="shared" si="41"/>
        <v>2.2601891496395861</v>
      </c>
      <c r="Z384" s="101">
        <f t="shared" si="42"/>
        <v>7.3005820823668435</v>
      </c>
      <c r="AA384" s="4">
        <v>19997</v>
      </c>
      <c r="AB384" s="2" t="s">
        <v>872</v>
      </c>
      <c r="AC384" s="106">
        <v>41926</v>
      </c>
      <c r="AD384" s="4">
        <v>130018</v>
      </c>
      <c r="AE384" s="4">
        <v>22849</v>
      </c>
      <c r="AF384" s="4">
        <v>73804</v>
      </c>
    </row>
    <row r="385" spans="1:32" ht="13.5" thickBot="1" x14ac:dyDescent="0.25">
      <c r="A385" s="2" t="s">
        <v>720</v>
      </c>
      <c r="B385" s="1" t="s">
        <v>719</v>
      </c>
      <c r="C385" s="2" t="s">
        <v>60</v>
      </c>
      <c r="D385" s="77">
        <v>154405</v>
      </c>
      <c r="E385" s="77">
        <v>174424</v>
      </c>
      <c r="F385" s="77">
        <v>15234</v>
      </c>
      <c r="G385" s="77">
        <v>344063</v>
      </c>
      <c r="H385" s="100">
        <f>Table3[[#This Row],[Circulation of Children''s Materials]]/Table3[[#This Row],[Total Population Served]]</f>
        <v>2.0366291186324426</v>
      </c>
      <c r="I385" s="100">
        <f>Table3[[#This Row],[Circulation of Electronic Materials]]/Table3[[#This Row],[Total Population Served]]</f>
        <v>0.20093914052813464</v>
      </c>
      <c r="J385" s="100">
        <f t="shared" si="38"/>
        <v>4.5382515102751473</v>
      </c>
      <c r="K385" s="100">
        <f t="shared" si="39"/>
        <v>14.446716493113874</v>
      </c>
      <c r="L385" s="102">
        <v>0</v>
      </c>
      <c r="M385" s="77">
        <v>15234</v>
      </c>
      <c r="N385" s="77">
        <v>328829</v>
      </c>
      <c r="O385" s="77">
        <v>344063</v>
      </c>
      <c r="P385" s="77">
        <v>243577</v>
      </c>
      <c r="Q385" s="77">
        <v>26719</v>
      </c>
      <c r="R385" s="100">
        <f t="shared" si="40"/>
        <v>0.35242831139367398</v>
      </c>
      <c r="S385" s="77">
        <v>53529</v>
      </c>
      <c r="T385" s="71">
        <f t="shared" si="45"/>
        <v>0.70605692879943016</v>
      </c>
      <c r="U385" s="77">
        <v>9632</v>
      </c>
      <c r="V385" s="77">
        <v>8999</v>
      </c>
      <c r="W385" s="77">
        <v>98947</v>
      </c>
      <c r="X385" s="77">
        <v>386238</v>
      </c>
      <c r="Y385" s="101">
        <f t="shared" si="41"/>
        <v>1.305128340412061</v>
      </c>
      <c r="Z385" s="101">
        <f t="shared" si="42"/>
        <v>4.154643936849177</v>
      </c>
      <c r="AA385" s="77">
        <v>67282</v>
      </c>
      <c r="AB385" s="2" t="s">
        <v>872</v>
      </c>
      <c r="AC385" s="107" t="s">
        <v>2632</v>
      </c>
      <c r="AD385" s="77">
        <v>270296</v>
      </c>
      <c r="AE385" s="77">
        <v>23816</v>
      </c>
      <c r="AF385" s="4">
        <v>75814</v>
      </c>
    </row>
    <row r="386" spans="1:32" ht="13.5" thickBot="1" x14ac:dyDescent="0.25">
      <c r="A386" s="2" t="s">
        <v>734</v>
      </c>
      <c r="B386" s="1" t="s">
        <v>733</v>
      </c>
      <c r="C386" s="2" t="s">
        <v>60</v>
      </c>
      <c r="D386" s="77">
        <v>210046</v>
      </c>
      <c r="E386" s="77">
        <v>247227</v>
      </c>
      <c r="F386" s="77">
        <v>108205</v>
      </c>
      <c r="G386" s="77">
        <v>565478</v>
      </c>
      <c r="H386" s="100">
        <f>Table3[[#This Row],[Circulation of Children''s Materials]]/Table3[[#This Row],[Total Population Served]]</f>
        <v>1.6194881996006136</v>
      </c>
      <c r="I386" s="100">
        <f>Table3[[#This Row],[Circulation of Electronic Materials]]/Table3[[#This Row],[Total Population Served]]</f>
        <v>0.83427782789381566</v>
      </c>
      <c r="J386" s="100">
        <f t="shared" si="38"/>
        <v>4.35992567406071</v>
      </c>
      <c r="K386" s="100">
        <f t="shared" si="39"/>
        <v>8.5622700361885435</v>
      </c>
      <c r="L386" s="102">
        <v>23689</v>
      </c>
      <c r="M386" s="77">
        <v>131894</v>
      </c>
      <c r="N386" s="77">
        <v>457273</v>
      </c>
      <c r="O386" s="77">
        <v>589167</v>
      </c>
      <c r="P386" s="77">
        <v>219124</v>
      </c>
      <c r="Q386" s="77">
        <v>39723</v>
      </c>
      <c r="R386" s="100">
        <f t="shared" si="40"/>
        <v>0.30627067286563503</v>
      </c>
      <c r="S386" s="77">
        <v>59864</v>
      </c>
      <c r="T386" s="71">
        <f t="shared" si="45"/>
        <v>0.46156099892828778</v>
      </c>
      <c r="U386" s="77">
        <v>61479</v>
      </c>
      <c r="V386" s="77">
        <v>69323</v>
      </c>
      <c r="W386" s="77">
        <v>241302</v>
      </c>
      <c r="X386" s="77">
        <v>887576</v>
      </c>
      <c r="Y386" s="101">
        <f t="shared" si="41"/>
        <v>1.8604769504776444</v>
      </c>
      <c r="Z386" s="101">
        <f t="shared" si="42"/>
        <v>3.6537104613660798</v>
      </c>
      <c r="AA386" s="77">
        <v>49001</v>
      </c>
      <c r="AB386" s="2" t="s">
        <v>872</v>
      </c>
      <c r="AC386" s="106">
        <v>152261</v>
      </c>
      <c r="AD386" s="77">
        <v>258847</v>
      </c>
      <c r="AE386" s="77">
        <v>66043</v>
      </c>
      <c r="AF386" s="4">
        <v>129699</v>
      </c>
    </row>
    <row r="387" spans="1:32" ht="13.5" thickBot="1" x14ac:dyDescent="0.25">
      <c r="A387" s="2" t="s">
        <v>751</v>
      </c>
      <c r="B387" s="1" t="s">
        <v>750</v>
      </c>
      <c r="C387" s="2" t="s">
        <v>60</v>
      </c>
      <c r="D387" s="4">
        <v>42606</v>
      </c>
      <c r="E387" s="4">
        <v>64274</v>
      </c>
      <c r="F387" s="4">
        <v>11125</v>
      </c>
      <c r="G387" s="4">
        <v>118005</v>
      </c>
      <c r="H387" s="100">
        <f>Table3[[#This Row],[Circulation of Children''s Materials]]/Table3[[#This Row],[Total Population Served]]</f>
        <v>0.67488238741664164</v>
      </c>
      <c r="I387" s="100">
        <f>Table3[[#This Row],[Circulation of Electronic Materials]]/Table3[[#This Row],[Total Population Served]]</f>
        <v>0.17622087405553533</v>
      </c>
      <c r="J387" s="100">
        <f t="shared" si="38"/>
        <v>1.8692084712740176</v>
      </c>
      <c r="K387" s="100">
        <f t="shared" si="39"/>
        <v>9.4185489663979567</v>
      </c>
      <c r="L387" s="102">
        <v>6396</v>
      </c>
      <c r="M387" s="4">
        <v>17521</v>
      </c>
      <c r="N387" s="4">
        <v>106880</v>
      </c>
      <c r="O387" s="4">
        <v>124401</v>
      </c>
      <c r="P387" s="4">
        <v>136547</v>
      </c>
      <c r="Q387" s="4">
        <v>55893</v>
      </c>
      <c r="R387" s="100">
        <f t="shared" si="40"/>
        <v>0.8853495113335762</v>
      </c>
      <c r="S387" s="4">
        <v>12345</v>
      </c>
      <c r="T387" s="71">
        <f t="shared" si="45"/>
        <v>0.19554576990701875</v>
      </c>
      <c r="U387" s="4">
        <v>18508</v>
      </c>
      <c r="V387" s="4">
        <v>10140</v>
      </c>
      <c r="W387" s="4">
        <v>119600</v>
      </c>
      <c r="X387" s="77">
        <v>73269</v>
      </c>
      <c r="Y387" s="101">
        <f t="shared" si="41"/>
        <v>1.8944733965880471</v>
      </c>
      <c r="Z387" s="101">
        <f t="shared" si="42"/>
        <v>9.5458536196025214</v>
      </c>
      <c r="AA387" s="4">
        <v>18416</v>
      </c>
      <c r="AB387" s="2" t="s">
        <v>872</v>
      </c>
      <c r="AC387" s="106">
        <v>14900</v>
      </c>
      <c r="AD387" s="4">
        <v>192440</v>
      </c>
      <c r="AE387" s="4">
        <v>12529</v>
      </c>
      <c r="AF387" s="4">
        <v>63131</v>
      </c>
    </row>
    <row r="388" spans="1:32" ht="13.5" thickBot="1" x14ac:dyDescent="0.25">
      <c r="A388" s="2" t="s">
        <v>777</v>
      </c>
      <c r="B388" s="1" t="s">
        <v>776</v>
      </c>
      <c r="C388" s="2" t="s">
        <v>60</v>
      </c>
      <c r="D388" s="4">
        <v>322461</v>
      </c>
      <c r="E388" s="4">
        <v>709272</v>
      </c>
      <c r="F388" s="4">
        <v>77735</v>
      </c>
      <c r="G388" s="4">
        <v>1109468</v>
      </c>
      <c r="H388" s="100">
        <f>Table3[[#This Row],[Circulation of Children''s Materials]]/Table3[[#This Row],[Total Population Served]]</f>
        <v>3.3108238531356524</v>
      </c>
      <c r="I388" s="100">
        <f>Table3[[#This Row],[Circulation of Electronic Materials]]/Table3[[#This Row],[Total Population Served]]</f>
        <v>0.79813339356852442</v>
      </c>
      <c r="J388" s="100">
        <f t="shared" ref="J388:J396" si="46">G388/AF388</f>
        <v>11.391309704710666</v>
      </c>
      <c r="K388" s="100">
        <f t="shared" ref="K388:K396" si="47">G388/AE388</f>
        <v>17.180544156588258</v>
      </c>
      <c r="L388" s="102">
        <v>75662</v>
      </c>
      <c r="M388" s="4">
        <v>153397</v>
      </c>
      <c r="N388" s="4">
        <v>1031733</v>
      </c>
      <c r="O388" s="4">
        <v>1185130</v>
      </c>
      <c r="P388" s="4">
        <v>302627</v>
      </c>
      <c r="Q388" s="4">
        <v>27169</v>
      </c>
      <c r="R388" s="100">
        <f t="shared" ref="R388:R396" si="48">Q388/AF388</f>
        <v>0.27895396114830179</v>
      </c>
      <c r="S388" s="77">
        <v>60929</v>
      </c>
      <c r="T388" s="71">
        <f t="shared" si="45"/>
        <v>0.62558010595917701</v>
      </c>
      <c r="U388" s="77">
        <v>29579</v>
      </c>
      <c r="V388" s="4">
        <v>43602</v>
      </c>
      <c r="W388" s="4">
        <v>589791</v>
      </c>
      <c r="X388" s="77">
        <v>286334</v>
      </c>
      <c r="Y388" s="101">
        <f t="shared" ref="Y388:Y396" si="49">W388/AF388</f>
        <v>6.0555977658220046</v>
      </c>
      <c r="Z388" s="101">
        <f t="shared" ref="Z388:Z396" si="50">W388/AE388</f>
        <v>9.1331433792217052</v>
      </c>
      <c r="AA388" s="77">
        <v>66683</v>
      </c>
      <c r="AB388" s="2" t="s">
        <v>872</v>
      </c>
      <c r="AC388" s="106">
        <v>159582</v>
      </c>
      <c r="AD388" s="4">
        <v>329796</v>
      </c>
      <c r="AE388" s="4">
        <v>64577</v>
      </c>
      <c r="AF388" s="4">
        <v>97396</v>
      </c>
    </row>
    <row r="389" spans="1:32" ht="13.5" thickBot="1" x14ac:dyDescent="0.25">
      <c r="A389" s="2" t="s">
        <v>779</v>
      </c>
      <c r="B389" s="1" t="s">
        <v>778</v>
      </c>
      <c r="C389" s="2" t="s">
        <v>60</v>
      </c>
      <c r="D389" s="4">
        <v>60289</v>
      </c>
      <c r="E389" s="4">
        <v>74531</v>
      </c>
      <c r="F389" s="4">
        <v>29160</v>
      </c>
      <c r="G389" s="4">
        <v>163980</v>
      </c>
      <c r="H389" s="100">
        <f>Table3[[#This Row],[Circulation of Children''s Materials]]/Table3[[#This Row],[Total Population Served]]</f>
        <v>0.82898825729450265</v>
      </c>
      <c r="I389" s="100">
        <f>Table3[[#This Row],[Circulation of Electronic Materials]]/Table3[[#This Row],[Total Population Served]]</f>
        <v>0.4009570167477931</v>
      </c>
      <c r="J389" s="100">
        <f t="shared" si="46"/>
        <v>2.2547644583780215</v>
      </c>
      <c r="K389" s="100">
        <f t="shared" si="47"/>
        <v>9.4214306233840848</v>
      </c>
      <c r="L389" s="102">
        <v>4912</v>
      </c>
      <c r="M389" s="4">
        <v>34072</v>
      </c>
      <c r="N389" s="4">
        <v>134820</v>
      </c>
      <c r="O389" s="4">
        <v>168892</v>
      </c>
      <c r="P389" s="4">
        <v>108458</v>
      </c>
      <c r="Q389" s="4">
        <v>55893</v>
      </c>
      <c r="R389" s="100">
        <f t="shared" si="48"/>
        <v>0.76854219948849101</v>
      </c>
      <c r="S389" s="77">
        <v>23440</v>
      </c>
      <c r="T389" s="71">
        <f t="shared" si="45"/>
        <v>0.32230564034870612</v>
      </c>
      <c r="U389" s="77">
        <v>21023</v>
      </c>
      <c r="V389" s="4">
        <v>28278</v>
      </c>
      <c r="W389" s="4">
        <v>228432</v>
      </c>
      <c r="X389" s="77">
        <v>72103</v>
      </c>
      <c r="Y389" s="101">
        <f t="shared" si="49"/>
        <v>3.1409949674119297</v>
      </c>
      <c r="Z389" s="101">
        <f t="shared" si="50"/>
        <v>13.124504452743464</v>
      </c>
      <c r="AA389" s="77">
        <v>19322</v>
      </c>
      <c r="AB389" s="2" t="s">
        <v>872</v>
      </c>
      <c r="AC389" s="106">
        <v>8460</v>
      </c>
      <c r="AD389" s="4">
        <v>164351</v>
      </c>
      <c r="AE389" s="4">
        <v>17405</v>
      </c>
      <c r="AF389" s="4">
        <v>72726</v>
      </c>
    </row>
    <row r="390" spans="1:32" ht="13.5" thickBot="1" x14ac:dyDescent="0.25">
      <c r="A390" s="2" t="s">
        <v>781</v>
      </c>
      <c r="B390" s="1" t="s">
        <v>780</v>
      </c>
      <c r="C390" s="2" t="s">
        <v>60</v>
      </c>
      <c r="D390" s="4">
        <v>532546</v>
      </c>
      <c r="E390" s="4">
        <v>508355</v>
      </c>
      <c r="F390" s="4">
        <v>148603</v>
      </c>
      <c r="G390" s="4">
        <v>1189504</v>
      </c>
      <c r="H390" s="100">
        <f>Table3[[#This Row],[Circulation of Children''s Materials]]/Table3[[#This Row],[Total Population Served]]</f>
        <v>6.5762657446283033</v>
      </c>
      <c r="I390" s="100">
        <f>Table3[[#This Row],[Circulation of Electronic Materials]]/Table3[[#This Row],[Total Population Served]]</f>
        <v>1.8350580390219808</v>
      </c>
      <c r="J390" s="100">
        <f t="shared" si="46"/>
        <v>14.688861447270931</v>
      </c>
      <c r="K390" s="100">
        <f t="shared" si="47"/>
        <v>20.299395883818562</v>
      </c>
      <c r="L390" s="102">
        <v>100810</v>
      </c>
      <c r="M390" s="4">
        <v>249413</v>
      </c>
      <c r="N390" s="4">
        <v>1040901</v>
      </c>
      <c r="O390" s="4">
        <v>1290314</v>
      </c>
      <c r="P390" s="4">
        <v>215981</v>
      </c>
      <c r="Q390" s="4">
        <v>660236</v>
      </c>
      <c r="R390" s="100">
        <f t="shared" si="48"/>
        <v>8.1530748332921714</v>
      </c>
      <c r="S390" s="4">
        <v>45248</v>
      </c>
      <c r="T390" s="71">
        <f t="shared" si="45"/>
        <v>0.55875524820943445</v>
      </c>
      <c r="U390" s="4">
        <v>10818</v>
      </c>
      <c r="V390" s="4">
        <v>11150</v>
      </c>
      <c r="W390" s="4">
        <v>406455</v>
      </c>
      <c r="X390" s="77">
        <v>259213</v>
      </c>
      <c r="Y390" s="101">
        <f t="shared" si="49"/>
        <v>5.019202272165967</v>
      </c>
      <c r="Z390" s="101">
        <f t="shared" si="50"/>
        <v>6.9363288849448788</v>
      </c>
      <c r="AA390" s="4">
        <v>34354</v>
      </c>
      <c r="AB390" s="2" t="s">
        <v>872</v>
      </c>
      <c r="AC390" s="106">
        <v>83827</v>
      </c>
      <c r="AD390" s="4">
        <v>876217</v>
      </c>
      <c r="AE390" s="4">
        <v>58598</v>
      </c>
      <c r="AF390" s="4">
        <v>80980</v>
      </c>
    </row>
    <row r="391" spans="1:32" ht="13.5" thickBot="1" x14ac:dyDescent="0.25">
      <c r="A391" s="2" t="s">
        <v>805</v>
      </c>
      <c r="B391" s="1" t="s">
        <v>804</v>
      </c>
      <c r="C391" s="2" t="s">
        <v>60</v>
      </c>
      <c r="D391" s="4">
        <v>150905</v>
      </c>
      <c r="E391" s="4">
        <v>219436</v>
      </c>
      <c r="F391" s="4">
        <v>86264</v>
      </c>
      <c r="G391" s="4">
        <v>456605</v>
      </c>
      <c r="H391" s="100">
        <f>Table3[[#This Row],[Circulation of Children''s Materials]]/Table3[[#This Row],[Total Population Served]]</f>
        <v>1.1256862803604464</v>
      </c>
      <c r="I391" s="100">
        <f>Table3[[#This Row],[Circulation of Electronic Materials]]/Table3[[#This Row],[Total Population Served]]</f>
        <v>0.64349227188637581</v>
      </c>
      <c r="J391" s="100">
        <f t="shared" si="46"/>
        <v>3.4060765650176044</v>
      </c>
      <c r="K391" s="100">
        <f t="shared" si="47"/>
        <v>6.2912315026592083</v>
      </c>
      <c r="L391" s="102">
        <v>26101</v>
      </c>
      <c r="M391" s="4">
        <v>112365</v>
      </c>
      <c r="N391" s="4">
        <v>370341</v>
      </c>
      <c r="O391" s="4">
        <v>482706</v>
      </c>
      <c r="P391" s="4">
        <v>277577</v>
      </c>
      <c r="Q391" s="4">
        <v>39584</v>
      </c>
      <c r="R391" s="100">
        <f t="shared" si="48"/>
        <v>0.29527958465119053</v>
      </c>
      <c r="S391" s="4">
        <v>41987</v>
      </c>
      <c r="T391" s="71">
        <f t="shared" si="45"/>
        <v>0.31320492928328458</v>
      </c>
      <c r="U391" s="4">
        <v>26749</v>
      </c>
      <c r="V391" s="4">
        <v>36033</v>
      </c>
      <c r="W391" s="4">
        <v>288043</v>
      </c>
      <c r="X391" s="77">
        <v>224885</v>
      </c>
      <c r="Y391" s="101">
        <f t="shared" si="49"/>
        <v>2.1486766724354003</v>
      </c>
      <c r="Z391" s="101">
        <f t="shared" si="50"/>
        <v>3.9687370828625754</v>
      </c>
      <c r="AA391" s="4">
        <v>73527</v>
      </c>
      <c r="AB391" s="2" t="s">
        <v>872</v>
      </c>
      <c r="AC391" s="106">
        <v>104380</v>
      </c>
      <c r="AD391" s="4">
        <v>317161</v>
      </c>
      <c r="AE391" s="4">
        <v>72578</v>
      </c>
      <c r="AF391" s="4">
        <v>134056</v>
      </c>
    </row>
    <row r="392" spans="1:32" ht="13.5" thickBot="1" x14ac:dyDescent="0.25">
      <c r="A392" s="2" t="s">
        <v>807</v>
      </c>
      <c r="B392" s="1" t="s">
        <v>806</v>
      </c>
      <c r="C392" s="2" t="s">
        <v>60</v>
      </c>
      <c r="D392" s="77">
        <v>74676</v>
      </c>
      <c r="E392" s="77">
        <v>149067</v>
      </c>
      <c r="F392" s="77">
        <v>42741</v>
      </c>
      <c r="G392" s="77">
        <v>266484</v>
      </c>
      <c r="H392" s="100">
        <f>Table3[[#This Row],[Circulation of Children''s Materials]]/Table3[[#This Row],[Total Population Served]]</f>
        <v>1.037209883745156</v>
      </c>
      <c r="I392" s="100">
        <f>Table3[[#This Row],[Circulation of Electronic Materials]]/Table3[[#This Row],[Total Population Served]]</f>
        <v>0.59364973540564192</v>
      </c>
      <c r="J392" s="100">
        <f t="shared" si="46"/>
        <v>3.7013208883703488</v>
      </c>
      <c r="K392" s="100">
        <f t="shared" si="47"/>
        <v>12.051555716353111</v>
      </c>
      <c r="L392" s="102">
        <v>27146</v>
      </c>
      <c r="M392" s="77">
        <v>69887</v>
      </c>
      <c r="N392" s="77">
        <v>223743</v>
      </c>
      <c r="O392" s="77">
        <v>293630</v>
      </c>
      <c r="P392" s="77">
        <v>118471</v>
      </c>
      <c r="Q392" s="77">
        <v>32783</v>
      </c>
      <c r="R392" s="100">
        <f t="shared" si="48"/>
        <v>0.45533841687848103</v>
      </c>
      <c r="S392" s="77">
        <v>23085</v>
      </c>
      <c r="T392" s="71">
        <f t="shared" si="45"/>
        <v>0.32063835993166384</v>
      </c>
      <c r="U392" s="77">
        <v>34498</v>
      </c>
      <c r="V392" s="77">
        <v>43360</v>
      </c>
      <c r="W392" s="77">
        <v>616181</v>
      </c>
      <c r="X392" s="77">
        <v>445200</v>
      </c>
      <c r="Y392" s="101">
        <f t="shared" si="49"/>
        <v>8.558426045529675</v>
      </c>
      <c r="Z392" s="101">
        <f t="shared" si="50"/>
        <v>27.866362156295224</v>
      </c>
      <c r="AA392" s="77">
        <v>62390</v>
      </c>
      <c r="AB392" s="2" t="s">
        <v>872</v>
      </c>
      <c r="AC392" s="106">
        <v>15216</v>
      </c>
      <c r="AD392" s="77">
        <v>151254</v>
      </c>
      <c r="AE392" s="77">
        <v>22112</v>
      </c>
      <c r="AF392" s="4">
        <v>71997</v>
      </c>
    </row>
    <row r="393" spans="1:32" ht="13.5" thickBot="1" x14ac:dyDescent="0.25">
      <c r="A393" s="2" t="s">
        <v>815</v>
      </c>
      <c r="B393" s="1" t="s">
        <v>814</v>
      </c>
      <c r="C393" s="2" t="s">
        <v>60</v>
      </c>
      <c r="D393" s="77">
        <v>1119788</v>
      </c>
      <c r="E393" s="77">
        <v>1679683</v>
      </c>
      <c r="F393" s="77">
        <v>129591</v>
      </c>
      <c r="G393" s="77">
        <v>2929062</v>
      </c>
      <c r="H393" s="100">
        <f>Table3[[#This Row],[Circulation of Children''s Materials]]/Table3[[#This Row],[Total Population Served]]</f>
        <v>15.60571388753397</v>
      </c>
      <c r="I393" s="100">
        <f>Table3[[#This Row],[Circulation of Electronic Materials]]/Table3[[#This Row],[Total Population Served]]</f>
        <v>1.806020486377256</v>
      </c>
      <c r="J393" s="100">
        <f t="shared" si="46"/>
        <v>40.820319141523235</v>
      </c>
      <c r="K393" s="100">
        <f t="shared" si="47"/>
        <v>42.447713176047763</v>
      </c>
      <c r="L393" s="102">
        <v>129873</v>
      </c>
      <c r="M393" s="77">
        <v>259464</v>
      </c>
      <c r="N393" s="77">
        <v>2799471</v>
      </c>
      <c r="O393" s="77">
        <v>3058935</v>
      </c>
      <c r="P393" s="77">
        <v>205930</v>
      </c>
      <c r="Q393" s="77">
        <v>64707</v>
      </c>
      <c r="R393" s="100">
        <f t="shared" si="48"/>
        <v>0.90177687965995401</v>
      </c>
      <c r="S393" s="77">
        <v>314642</v>
      </c>
      <c r="T393" s="71">
        <f t="shared" si="45"/>
        <v>4.3849487840568599</v>
      </c>
      <c r="U393" s="77">
        <v>13142</v>
      </c>
      <c r="V393" s="77">
        <v>12835</v>
      </c>
      <c r="W393" s="77">
        <v>1067112</v>
      </c>
      <c r="X393" s="77">
        <v>4130835</v>
      </c>
      <c r="Y393" s="101">
        <f t="shared" si="49"/>
        <v>14.871604766218383</v>
      </c>
      <c r="Z393" s="101">
        <f t="shared" si="50"/>
        <v>15.464494811894962</v>
      </c>
      <c r="AA393" s="107" t="s">
        <v>2632</v>
      </c>
      <c r="AB393" s="2" t="s">
        <v>872</v>
      </c>
      <c r="AC393" s="106">
        <v>154454</v>
      </c>
      <c r="AD393" s="77">
        <v>270637</v>
      </c>
      <c r="AE393" s="77">
        <v>69004</v>
      </c>
      <c r="AF393" s="4">
        <v>71755</v>
      </c>
    </row>
    <row r="394" spans="1:32" ht="13.5" thickBot="1" x14ac:dyDescent="0.25">
      <c r="A394" s="2" t="s">
        <v>835</v>
      </c>
      <c r="B394" s="1" t="s">
        <v>834</v>
      </c>
      <c r="C394" s="2" t="s">
        <v>60</v>
      </c>
      <c r="D394" s="4">
        <v>126102</v>
      </c>
      <c r="E394" s="4">
        <v>580354</v>
      </c>
      <c r="F394" s="4">
        <v>186130</v>
      </c>
      <c r="G394" s="4">
        <v>892586</v>
      </c>
      <c r="H394" s="100">
        <f>Table3[[#This Row],[Circulation of Children''s Materials]]/Table3[[#This Row],[Total Population Served]]</f>
        <v>1.4045823633589147</v>
      </c>
      <c r="I394" s="100">
        <f>Table3[[#This Row],[Circulation of Electronic Materials]]/Table3[[#This Row],[Total Population Served]]</f>
        <v>2.0732019737355061</v>
      </c>
      <c r="J394" s="100">
        <f t="shared" si="46"/>
        <v>9.9420354425867963</v>
      </c>
      <c r="K394" s="100">
        <f t="shared" si="47"/>
        <v>25.173049805403576</v>
      </c>
      <c r="L394" s="102">
        <v>134541</v>
      </c>
      <c r="M394" s="4">
        <v>320671</v>
      </c>
      <c r="N394" s="4">
        <v>706456</v>
      </c>
      <c r="O394" s="4">
        <v>1027127</v>
      </c>
      <c r="P394" s="4">
        <v>215186</v>
      </c>
      <c r="Q394" s="4">
        <v>82234</v>
      </c>
      <c r="R394" s="100">
        <f t="shared" si="48"/>
        <v>0.91596030252063398</v>
      </c>
      <c r="S394" s="77">
        <v>29987</v>
      </c>
      <c r="T394" s="71">
        <f t="shared" si="45"/>
        <v>0.33400906670825026</v>
      </c>
      <c r="U394" s="77">
        <v>0</v>
      </c>
      <c r="V394" s="4">
        <v>0</v>
      </c>
      <c r="W394" s="4">
        <v>505969</v>
      </c>
      <c r="X394" s="77">
        <v>204130</v>
      </c>
      <c r="Y394" s="101">
        <f t="shared" si="49"/>
        <v>5.6357165929671753</v>
      </c>
      <c r="Z394" s="101">
        <f t="shared" si="50"/>
        <v>14.26953014834452</v>
      </c>
      <c r="AA394" s="77">
        <v>79392</v>
      </c>
      <c r="AB394" s="2" t="s">
        <v>872</v>
      </c>
      <c r="AC394" s="106">
        <v>147433</v>
      </c>
      <c r="AD394" s="4">
        <v>297420</v>
      </c>
      <c r="AE394" s="4">
        <v>35458</v>
      </c>
      <c r="AF394" s="4">
        <v>89779</v>
      </c>
    </row>
    <row r="395" spans="1:32" ht="13.5" thickBot="1" x14ac:dyDescent="0.25">
      <c r="A395" s="2" t="s">
        <v>837</v>
      </c>
      <c r="B395" s="1" t="s">
        <v>836</v>
      </c>
      <c r="C395" s="2" t="s">
        <v>60</v>
      </c>
      <c r="D395" s="4">
        <v>94529</v>
      </c>
      <c r="E395" s="4">
        <v>133156</v>
      </c>
      <c r="F395" s="4">
        <v>20153</v>
      </c>
      <c r="G395" s="4">
        <v>247838</v>
      </c>
      <c r="H395" s="100">
        <f>Table3[[#This Row],[Circulation of Children''s Materials]]/Table3[[#This Row],[Total Population Served]]</f>
        <v>1.1240873308440555</v>
      </c>
      <c r="I395" s="100">
        <f>Table3[[#This Row],[Circulation of Electronic Materials]]/Table3[[#This Row],[Total Population Served]]</f>
        <v>0.23964848859609483</v>
      </c>
      <c r="J395" s="100">
        <f t="shared" si="46"/>
        <v>2.947154374866221</v>
      </c>
      <c r="K395" s="100">
        <f t="shared" si="47"/>
        <v>9.8606668258136381</v>
      </c>
      <c r="L395" s="102">
        <v>6958</v>
      </c>
      <c r="M395" s="4">
        <v>27111</v>
      </c>
      <c r="N395" s="4">
        <v>227685</v>
      </c>
      <c r="O395" s="4">
        <v>254796</v>
      </c>
      <c r="P395" s="4">
        <v>148739</v>
      </c>
      <c r="Q395" s="4">
        <v>85060</v>
      </c>
      <c r="R395" s="100">
        <f t="shared" si="48"/>
        <v>1.0114871453373606</v>
      </c>
      <c r="S395" s="4">
        <v>57209</v>
      </c>
      <c r="T395" s="71">
        <f t="shared" si="45"/>
        <v>0.68029823768639852</v>
      </c>
      <c r="U395" s="4">
        <v>4972</v>
      </c>
      <c r="V395" s="4">
        <v>6035</v>
      </c>
      <c r="W395" s="4">
        <v>202360</v>
      </c>
      <c r="X395" s="77">
        <v>32204</v>
      </c>
      <c r="Y395" s="101">
        <f t="shared" si="49"/>
        <v>2.4063547934454301</v>
      </c>
      <c r="Z395" s="101">
        <f t="shared" si="50"/>
        <v>8.0512453250576907</v>
      </c>
      <c r="AA395" s="4">
        <v>76594</v>
      </c>
      <c r="AB395" s="2" t="s">
        <v>872</v>
      </c>
      <c r="AC395" s="106">
        <v>86012</v>
      </c>
      <c r="AD395" s="4">
        <v>233799</v>
      </c>
      <c r="AE395" s="4">
        <v>25134</v>
      </c>
      <c r="AF395" s="4">
        <v>84094</v>
      </c>
    </row>
    <row r="396" spans="1:32" ht="13.5" thickBot="1" x14ac:dyDescent="0.25">
      <c r="A396" s="2" t="s">
        <v>843</v>
      </c>
      <c r="B396" s="114" t="s">
        <v>842</v>
      </c>
      <c r="C396" s="2" t="s">
        <v>60</v>
      </c>
      <c r="D396" s="4">
        <v>239680</v>
      </c>
      <c r="E396" s="4">
        <v>315900</v>
      </c>
      <c r="F396" s="4">
        <v>72382</v>
      </c>
      <c r="G396" s="4">
        <v>627962</v>
      </c>
      <c r="H396" s="100">
        <f>Table3[[#This Row],[Circulation of Children''s Materials]]/Table3[[#This Row],[Total Population Served]]</f>
        <v>2.8886157109455972</v>
      </c>
      <c r="I396" s="100">
        <f>Table3[[#This Row],[Circulation of Electronic Materials]]/Table3[[#This Row],[Total Population Served]]</f>
        <v>0.87234555402897296</v>
      </c>
      <c r="J396" s="100">
        <f t="shared" si="46"/>
        <v>7.5681779834646994</v>
      </c>
      <c r="K396" s="100">
        <f t="shared" si="47"/>
        <v>16.547524308940947</v>
      </c>
      <c r="L396" s="102">
        <v>66255</v>
      </c>
      <c r="M396" s="4">
        <v>138637</v>
      </c>
      <c r="N396" s="4">
        <v>555580</v>
      </c>
      <c r="O396" s="4">
        <v>694217</v>
      </c>
      <c r="P396" s="4">
        <v>270134</v>
      </c>
      <c r="Q396" s="4">
        <v>85249</v>
      </c>
      <c r="R396" s="100">
        <f t="shared" si="48"/>
        <v>1.0274182273965338</v>
      </c>
      <c r="S396" s="77">
        <v>127032</v>
      </c>
      <c r="T396" s="71">
        <f t="shared" si="45"/>
        <v>1.5309856099501049</v>
      </c>
      <c r="U396" s="77">
        <v>14243</v>
      </c>
      <c r="V396" s="4">
        <v>14383</v>
      </c>
      <c r="W396" s="4">
        <v>372038</v>
      </c>
      <c r="X396" s="77">
        <v>2128948</v>
      </c>
      <c r="Y396" s="101">
        <f t="shared" si="49"/>
        <v>4.4837901029238072</v>
      </c>
      <c r="Z396" s="101">
        <f t="shared" si="50"/>
        <v>9.803631189227648</v>
      </c>
      <c r="AA396" s="77">
        <v>164757</v>
      </c>
      <c r="AB396" s="2" t="s">
        <v>872</v>
      </c>
      <c r="AC396" s="106">
        <v>29291</v>
      </c>
      <c r="AD396" s="4">
        <v>355383</v>
      </c>
      <c r="AE396" s="4">
        <v>37949</v>
      </c>
      <c r="AF396" s="4">
        <v>82974</v>
      </c>
    </row>
    <row r="397" spans="1:32" ht="18.75" thickBot="1" x14ac:dyDescent="0.3">
      <c r="A397" s="115"/>
      <c r="B397" s="80" t="s">
        <v>2623</v>
      </c>
      <c r="C397" s="91">
        <f>SUBTOTAL(103,Table3[Library Class])</f>
        <v>393</v>
      </c>
      <c r="D397" s="81"/>
    </row>
    <row r="398" spans="1:32" ht="18.75" thickBot="1" x14ac:dyDescent="0.3">
      <c r="C398" s="128" t="s">
        <v>2624</v>
      </c>
      <c r="D398" s="116">
        <f>SUBTOTAL(109,Table3[Circulation of Children''s Materials])</f>
        <v>24738332</v>
      </c>
      <c r="E398" s="117">
        <f>SUBTOTAL(109,Table3[Circulation of Non-Children''s Materials])</f>
        <v>41264644</v>
      </c>
      <c r="F398" s="117">
        <f>SUBTOTAL(109,Table3[Circulation of Electronic Materials])</f>
        <v>8614095</v>
      </c>
      <c r="G398" s="117">
        <f>SUBTOTAL(109,Table3[Total Circulation])</f>
        <v>74617071</v>
      </c>
      <c r="H398" s="117"/>
      <c r="I398" s="117"/>
      <c r="J398" s="117"/>
      <c r="K398" s="117"/>
      <c r="L398" s="117">
        <f>SUBTOTAL(109,Table3[Electronic Collection (Dbase) Use])</f>
        <v>5304156</v>
      </c>
      <c r="M398" s="117">
        <f>SUBTOTAL(109,Table3[Total Electronic Content Use])</f>
        <v>13918251</v>
      </c>
      <c r="N398" s="117">
        <f>SUBTOTAL(109,Table3[Total Physical Circulation])</f>
        <v>66002976</v>
      </c>
      <c r="O398" s="117">
        <f>SUBTOTAL(109,Table3[Total Collection Use])</f>
        <v>79921227</v>
      </c>
      <c r="P398" s="117">
        <f>SUBTOTAL(109,Table3[Physical Materials Total])</f>
        <v>31930081</v>
      </c>
      <c r="Q398" s="117">
        <f>SUBTOTAL(109,Table3[eMaterials Total])</f>
        <v>18184552</v>
      </c>
      <c r="R398" s="117">
        <f>SUBTOTAL(109,Table3[eMaterials per capita])</f>
        <v>1332.5554374892793</v>
      </c>
      <c r="S398" s="117">
        <f>SUBTOTAL(109,Table3[Reference Transactions])</f>
        <v>7751335</v>
      </c>
      <c r="T398" s="117"/>
      <c r="U398" s="117">
        <f>SUBTOTAL(109,Table3[Number of items loaned to other libraries])</f>
        <v>2671409</v>
      </c>
      <c r="V398" s="117">
        <f>SUBTOTAL(109,Table3[Number of items borrowed from other libraries])</f>
        <v>2812111</v>
      </c>
      <c r="W398" s="117">
        <f>SUBTOTAL(109,Table3[Physical Library Visits])</f>
        <v>44579990</v>
      </c>
      <c r="X398" s="117">
        <f>SUBTOTAL(109,Table3[Virtual Visits to the Library''s Website])</f>
        <v>54428164</v>
      </c>
      <c r="Y398" s="117"/>
      <c r="Z398" s="117"/>
      <c r="AA398" s="117">
        <f>SUBTOTAL(109,Table3[Uses (Sessions) of Public Internet Computers Per Year])</f>
        <v>6906986</v>
      </c>
      <c r="AB398" s="117"/>
      <c r="AC398" s="117">
        <f>SUBTOTAL(109,Table3[Uses of Wireless Logins Per Year])</f>
        <v>9770999</v>
      </c>
      <c r="AD398" s="117">
        <f>SUBTOTAL(109,Table3[Total Collection (Physical / Electronic Units)])</f>
        <v>50114633</v>
      </c>
      <c r="AE398" s="117">
        <f>SUBTOTAL(109,Table3[Number of active registered borrowers])</f>
        <v>4429849</v>
      </c>
      <c r="AF398" s="118">
        <f>SUBTOTAL(109,Table3[Total Population Served])</f>
        <v>9843022</v>
      </c>
    </row>
    <row r="399" spans="1:32" ht="18.75" thickBot="1" x14ac:dyDescent="0.3">
      <c r="C399" s="126" t="s">
        <v>2625</v>
      </c>
      <c r="D399" s="127">
        <f>D398/Table3[[#Totals],[Library Class]]</f>
        <v>62947.409669211193</v>
      </c>
      <c r="E399" s="120">
        <f>SUBTOTAL(101,Table3[Circulation of Non-Children''s Materials])</f>
        <v>104999.0941475827</v>
      </c>
      <c r="F399" s="120">
        <f>SUBTOTAL(101,Table3[Circulation of Electronic Materials])</f>
        <v>21918.816793893129</v>
      </c>
      <c r="G399" s="120">
        <f>SUBTOTAL(101,Table3[Total Circulation])</f>
        <v>189865.32061068702</v>
      </c>
      <c r="H399" s="94">
        <f>SUBTOTAL(101,Table3[Children''s Circ Per Capita])</f>
        <v>1.9437379181360797</v>
      </c>
      <c r="I399" s="94">
        <f>SUBTOTAL(101,Table3[eMaterials Circ Per capita])</f>
        <v>0.62694919719167852</v>
      </c>
      <c r="J399" s="94">
        <f>SUBTOTAL(101,Table3[Circulation Per Capita])</f>
        <v>5.9927347684478862</v>
      </c>
      <c r="K399" s="121">
        <f>SUBTOTAL(101,Table3[Circulation Per Cardholder])</f>
        <v>14.422816632066473</v>
      </c>
      <c r="L399" s="120">
        <f>SUBTOTAL(101,Table3[Electronic Collection (Dbase) Use])</f>
        <v>15241.827586206897</v>
      </c>
      <c r="M399" s="120">
        <f>SUBTOTAL(101,Table3[Total Electronic Content Use])</f>
        <v>35415.396946564884</v>
      </c>
      <c r="N399" s="120">
        <f>SUBTOTAL(101,Table3[Total Physical Circulation])</f>
        <v>167946.50381679391</v>
      </c>
      <c r="O399" s="120">
        <f>SUBTOTAL(101,Table3[Total Collection Use])</f>
        <v>203361.90076335878</v>
      </c>
      <c r="P399" s="120">
        <f>SUBTOTAL(101,Table3[Physical Materials Total])</f>
        <v>81247.025445292616</v>
      </c>
      <c r="Q399" s="120">
        <f>SUBTOTAL(101,Table3[eMaterials Total])</f>
        <v>46271.124681933841</v>
      </c>
      <c r="R399" s="120">
        <f>SUBTOTAL(101,Table3[eMaterials per capita])</f>
        <v>3.3907263040439677</v>
      </c>
      <c r="S399" s="120">
        <f>SUBTOTAL(101,Table3[Reference Transactions])</f>
        <v>20398.25</v>
      </c>
      <c r="T399" s="121">
        <f>SUBTOTAL(101,Table3[Reference Transactions Per Capita])</f>
        <v>0.61733387705769827</v>
      </c>
      <c r="U399" s="120">
        <f>SUBTOTAL(101,Table3[Number of items loaned to other libraries])</f>
        <v>6814.8188775510207</v>
      </c>
      <c r="V399" s="120">
        <f>SUBTOTAL(101,Table3[Number of items borrowed from other libraries])</f>
        <v>7155.4987277353694</v>
      </c>
      <c r="W399" s="120">
        <f>SUBTOTAL(101,Table3[Physical Library Visits])</f>
        <v>113435.08905852417</v>
      </c>
      <c r="X399" s="120">
        <f>SUBTOTAL(101,Table3[Virtual Visits to the Library''s Website])</f>
        <v>148305.62397820165</v>
      </c>
      <c r="Y399" s="121">
        <f>SUBTOTAL(101,Table3[Physical Visits Per Capita])</f>
        <v>4.6286157512028341</v>
      </c>
      <c r="Z399" s="121">
        <f>SUBTOTAL(101,Table3[Physical Visits Per Cardholder])</f>
        <v>10.837757957051295</v>
      </c>
      <c r="AA399" s="120">
        <f>SUBTOTAL(101,Table3[Uses (Sessions) of Public Internet Computers Per Year])</f>
        <v>17755.748071979433</v>
      </c>
      <c r="AB399" s="122"/>
      <c r="AC399" s="123">
        <f>SUBTOTAL(101,Table3[Uses of Wireless Logins Per Year])</f>
        <v>27141.663888888888</v>
      </c>
      <c r="AD399" s="123">
        <f>SUBTOTAL(101,Table3[Total Collection (Physical / Electronic Units)])</f>
        <v>127518.15012722646</v>
      </c>
      <c r="AE399" s="123">
        <f>SUBTOTAL(101,Table3[Number of active registered borrowers])</f>
        <v>11271.880407124681</v>
      </c>
      <c r="AF399" s="124">
        <f>SUBTOTAL(101,Table3[Total Population Served])</f>
        <v>25045.857506361324</v>
      </c>
    </row>
    <row r="410" spans="28:28" x14ac:dyDescent="0.2">
      <c r="AB410">
        <f>AE398/AF398</f>
        <v>0.4500496900240597</v>
      </c>
    </row>
  </sheetData>
  <sortState xmlns:xlrd2="http://schemas.microsoft.com/office/spreadsheetml/2017/richdata2" ref="A4:AF396">
    <sortCondition ref="C4:C396"/>
    <sortCondition ref="B4:B396"/>
  </sortState>
  <hyperlinks>
    <hyperlink ref="G1" location="'Table of Contents'!A1" display="Return to Table of Contents" xr:uid="{86690423-44FD-400B-A167-D04A7CFC0702}"/>
  </hyperlink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A568D2"/>
  </sheetPr>
  <dimension ref="A1:AD405"/>
  <sheetViews>
    <sheetView topLeftCell="B1" zoomScaleNormal="100" workbookViewId="0">
      <pane ySplit="3" topLeftCell="A4" activePane="bottomLeft" state="frozen"/>
      <selection activeCell="N42" sqref="N42"/>
      <selection pane="bottomLeft" activeCell="F1" sqref="F1"/>
    </sheetView>
  </sheetViews>
  <sheetFormatPr defaultRowHeight="12.75" x14ac:dyDescent="0.2"/>
  <cols>
    <col min="1" max="1" width="9.140625" bestFit="1" customWidth="1"/>
    <col min="2" max="2" width="50.7109375" bestFit="1" customWidth="1"/>
    <col min="3" max="3" width="20.7109375" customWidth="1"/>
    <col min="4" max="4" width="27.7109375" customWidth="1"/>
    <col min="5" max="27" width="20.7109375" customWidth="1"/>
    <col min="30" max="30" width="20.7109375" customWidth="1"/>
  </cols>
  <sheetData>
    <row r="1" spans="1:30" ht="18.75" x14ac:dyDescent="0.3">
      <c r="C1" s="312" t="s">
        <v>3576</v>
      </c>
      <c r="D1" s="313"/>
      <c r="E1" s="310" t="s">
        <v>2611</v>
      </c>
      <c r="H1" s="8" t="s">
        <v>1844</v>
      </c>
      <c r="K1" s="311"/>
    </row>
    <row r="2" spans="1:30" ht="13.5" thickBot="1" x14ac:dyDescent="0.25"/>
    <row r="3" spans="1:30" s="5" customFormat="1" ht="106.9" customHeight="1" thickBot="1" x14ac:dyDescent="0.25">
      <c r="A3" s="74" t="s">
        <v>1</v>
      </c>
      <c r="B3" s="74" t="s">
        <v>0</v>
      </c>
      <c r="C3" s="74" t="s">
        <v>4</v>
      </c>
      <c r="D3" s="112" t="s">
        <v>2635</v>
      </c>
      <c r="E3" s="112" t="s">
        <v>2636</v>
      </c>
      <c r="F3" s="112" t="s">
        <v>2637</v>
      </c>
      <c r="G3" s="112" t="s">
        <v>2638</v>
      </c>
      <c r="H3" s="74" t="s">
        <v>880</v>
      </c>
      <c r="I3" s="74" t="s">
        <v>881</v>
      </c>
      <c r="J3" s="74" t="s">
        <v>882</v>
      </c>
      <c r="K3" s="74" t="s">
        <v>883</v>
      </c>
      <c r="L3" s="74" t="s">
        <v>2640</v>
      </c>
      <c r="M3" s="74" t="s">
        <v>2641</v>
      </c>
      <c r="N3" s="74" t="s">
        <v>2639</v>
      </c>
      <c r="O3" s="74" t="s">
        <v>2642</v>
      </c>
      <c r="P3" s="74" t="s">
        <v>2643</v>
      </c>
      <c r="Q3" s="99" t="s">
        <v>886</v>
      </c>
      <c r="R3" s="99" t="s">
        <v>2649</v>
      </c>
      <c r="S3" s="99" t="s">
        <v>2650</v>
      </c>
      <c r="T3" s="74" t="s">
        <v>884</v>
      </c>
      <c r="U3" s="74" t="s">
        <v>885</v>
      </c>
      <c r="V3" s="74" t="s">
        <v>2644</v>
      </c>
      <c r="W3" s="74" t="s">
        <v>2645</v>
      </c>
      <c r="X3" s="74" t="s">
        <v>2646</v>
      </c>
      <c r="Y3" s="74" t="s">
        <v>2647</v>
      </c>
      <c r="Z3" s="129" t="s">
        <v>2648</v>
      </c>
      <c r="AA3" s="129" t="s">
        <v>878</v>
      </c>
      <c r="AB3" s="138" t="s">
        <v>2626</v>
      </c>
      <c r="AC3" s="138" t="s">
        <v>2659</v>
      </c>
      <c r="AD3" s="138" t="s">
        <v>844</v>
      </c>
    </row>
    <row r="4" spans="1:30" ht="13.5" thickBot="1" x14ac:dyDescent="0.25">
      <c r="A4" s="2" t="s">
        <v>40</v>
      </c>
      <c r="B4" s="1" t="s">
        <v>39</v>
      </c>
      <c r="C4" s="2" t="s">
        <v>19</v>
      </c>
      <c r="D4" s="4">
        <v>0</v>
      </c>
      <c r="E4" s="4">
        <v>0</v>
      </c>
      <c r="F4" s="4">
        <v>0</v>
      </c>
      <c r="G4" s="4">
        <v>0</v>
      </c>
      <c r="H4" s="4">
        <v>6</v>
      </c>
      <c r="I4" s="4">
        <v>82</v>
      </c>
      <c r="J4" s="4">
        <v>0</v>
      </c>
      <c r="K4" s="4">
        <v>0</v>
      </c>
      <c r="L4" s="4">
        <v>25</v>
      </c>
      <c r="M4" s="4">
        <v>0</v>
      </c>
      <c r="N4" s="4">
        <v>25</v>
      </c>
      <c r="O4" s="4">
        <v>6</v>
      </c>
      <c r="P4" s="4">
        <v>82</v>
      </c>
      <c r="Q4" s="2" t="s">
        <v>872</v>
      </c>
      <c r="R4" s="4">
        <v>4</v>
      </c>
      <c r="S4" s="4">
        <v>38</v>
      </c>
      <c r="T4" s="4">
        <v>0</v>
      </c>
      <c r="U4" s="4">
        <v>0</v>
      </c>
      <c r="V4" s="4">
        <v>201</v>
      </c>
      <c r="W4" s="4">
        <v>3009</v>
      </c>
      <c r="X4" s="4">
        <v>15</v>
      </c>
      <c r="Y4" s="4">
        <v>686</v>
      </c>
      <c r="Z4" s="4">
        <v>222</v>
      </c>
      <c r="AA4" s="4">
        <v>3777</v>
      </c>
      <c r="AB4" s="77">
        <f>Table4[[#This Row],[Total Attendance]]/Table4[[#This Row],[Total Events]]</f>
        <v>17.013513513513512</v>
      </c>
      <c r="AC4" s="77">
        <f>Table4[[#This Row],[Total Attendance]]/AD4</f>
        <v>2.9392996108949418</v>
      </c>
      <c r="AD4" s="77">
        <v>1285</v>
      </c>
    </row>
    <row r="5" spans="1:30" ht="13.5" thickBot="1" x14ac:dyDescent="0.25">
      <c r="A5" s="2" t="s">
        <v>64</v>
      </c>
      <c r="B5" s="1" t="s">
        <v>63</v>
      </c>
      <c r="C5" s="2" t="s">
        <v>19</v>
      </c>
      <c r="D5" s="4">
        <v>16</v>
      </c>
      <c r="E5" s="4">
        <v>70</v>
      </c>
      <c r="F5" s="4">
        <v>0</v>
      </c>
      <c r="G5" s="4">
        <v>0</v>
      </c>
      <c r="H5" s="4">
        <v>16</v>
      </c>
      <c r="I5" s="4">
        <v>70</v>
      </c>
      <c r="J5" s="4">
        <v>0</v>
      </c>
      <c r="K5" s="4">
        <v>0</v>
      </c>
      <c r="L5" s="4">
        <v>34</v>
      </c>
      <c r="M5" s="78" t="s">
        <v>16</v>
      </c>
      <c r="N5" s="4">
        <v>34</v>
      </c>
      <c r="O5" s="4">
        <v>32</v>
      </c>
      <c r="P5" s="4">
        <v>140</v>
      </c>
      <c r="Q5" s="2" t="s">
        <v>873</v>
      </c>
      <c r="R5" s="4">
        <v>6</v>
      </c>
      <c r="S5" s="4">
        <v>10</v>
      </c>
      <c r="T5" s="4">
        <v>0</v>
      </c>
      <c r="U5" s="4">
        <v>0</v>
      </c>
      <c r="V5" s="4">
        <v>0</v>
      </c>
      <c r="W5" s="4">
        <v>0</v>
      </c>
      <c r="X5" s="4">
        <v>16</v>
      </c>
      <c r="Y5" s="4">
        <v>70</v>
      </c>
      <c r="Z5" s="4">
        <v>48</v>
      </c>
      <c r="AA5" s="4">
        <v>210</v>
      </c>
      <c r="AB5" s="77">
        <f>Table4[[#This Row],[Total Attendance]]/Table4[[#This Row],[Total Events]]</f>
        <v>4.375</v>
      </c>
      <c r="AC5" s="77">
        <f>Table4[[#This Row],[Total Attendance]]/AD5</f>
        <v>6.4655172413793108E-2</v>
      </c>
      <c r="AD5" s="77">
        <v>3248</v>
      </c>
    </row>
    <row r="6" spans="1:30" ht="13.5" thickBot="1" x14ac:dyDescent="0.25">
      <c r="A6" s="2" t="s">
        <v>88</v>
      </c>
      <c r="B6" s="1" t="s">
        <v>87</v>
      </c>
      <c r="C6" s="2" t="s">
        <v>19</v>
      </c>
      <c r="D6" s="4">
        <v>81</v>
      </c>
      <c r="E6" s="4">
        <v>514</v>
      </c>
      <c r="F6" s="4">
        <v>2</v>
      </c>
      <c r="G6" s="4">
        <v>15</v>
      </c>
      <c r="H6" s="4">
        <v>5</v>
      </c>
      <c r="I6" s="4">
        <v>25</v>
      </c>
      <c r="J6" s="77">
        <v>3</v>
      </c>
      <c r="K6" s="77">
        <v>9</v>
      </c>
      <c r="L6" s="77">
        <v>17</v>
      </c>
      <c r="M6" s="77">
        <v>4</v>
      </c>
      <c r="N6" s="77">
        <v>21</v>
      </c>
      <c r="O6" s="4">
        <v>86</v>
      </c>
      <c r="P6" s="4">
        <v>539</v>
      </c>
      <c r="Q6" s="2" t="s">
        <v>872</v>
      </c>
      <c r="R6" s="4">
        <v>50</v>
      </c>
      <c r="S6" s="4">
        <v>590</v>
      </c>
      <c r="T6" s="4">
        <v>5</v>
      </c>
      <c r="U6" s="4">
        <v>24</v>
      </c>
      <c r="V6" s="4">
        <v>5</v>
      </c>
      <c r="W6" s="4">
        <v>29</v>
      </c>
      <c r="X6" s="4">
        <v>0</v>
      </c>
      <c r="Y6" s="4">
        <v>0</v>
      </c>
      <c r="Z6" s="4">
        <v>96</v>
      </c>
      <c r="AA6" s="4">
        <v>592</v>
      </c>
      <c r="AB6" s="77">
        <f>Table4[[#This Row],[Total Attendance]]/Table4[[#This Row],[Total Events]]</f>
        <v>6.166666666666667</v>
      </c>
      <c r="AC6" s="77">
        <f>Table4[[#This Row],[Total Attendance]]/AD6</f>
        <v>0.90106544901065444</v>
      </c>
      <c r="AD6" s="77">
        <v>657</v>
      </c>
    </row>
    <row r="7" spans="1:30" ht="13.5" thickBot="1" x14ac:dyDescent="0.25">
      <c r="A7" s="2" t="s">
        <v>90</v>
      </c>
      <c r="B7" s="1" t="s">
        <v>89</v>
      </c>
      <c r="C7" s="2" t="s">
        <v>19</v>
      </c>
      <c r="D7" s="4">
        <v>46</v>
      </c>
      <c r="E7" s="4">
        <v>823</v>
      </c>
      <c r="F7" s="4">
        <v>0</v>
      </c>
      <c r="G7" s="4">
        <v>0</v>
      </c>
      <c r="H7" s="4">
        <v>15</v>
      </c>
      <c r="I7" s="4">
        <v>515</v>
      </c>
      <c r="J7" s="4">
        <v>0</v>
      </c>
      <c r="K7" s="4">
        <v>0</v>
      </c>
      <c r="L7" s="4">
        <v>104</v>
      </c>
      <c r="M7" s="77">
        <v>0</v>
      </c>
      <c r="N7" s="4">
        <v>104</v>
      </c>
      <c r="O7" s="4">
        <v>61</v>
      </c>
      <c r="P7" s="4">
        <v>1338</v>
      </c>
      <c r="Q7" s="2" t="s">
        <v>872</v>
      </c>
      <c r="R7" s="77">
        <v>61</v>
      </c>
      <c r="S7" s="77">
        <v>1338</v>
      </c>
      <c r="T7" s="4">
        <v>0</v>
      </c>
      <c r="U7" s="4">
        <v>0</v>
      </c>
      <c r="V7" s="4">
        <v>46</v>
      </c>
      <c r="W7" s="4">
        <v>1042</v>
      </c>
      <c r="X7" s="4">
        <v>3</v>
      </c>
      <c r="Y7" s="4">
        <v>888</v>
      </c>
      <c r="Z7" s="4">
        <v>110</v>
      </c>
      <c r="AA7" s="4">
        <v>3268</v>
      </c>
      <c r="AB7" s="77">
        <f>Table4[[#This Row],[Total Attendance]]/Table4[[#This Row],[Total Events]]</f>
        <v>29.709090909090911</v>
      </c>
      <c r="AC7" s="77">
        <f>Table4[[#This Row],[Total Attendance]]/AD7</f>
        <v>0.86707349429556912</v>
      </c>
      <c r="AD7" s="77">
        <v>3769</v>
      </c>
    </row>
    <row r="8" spans="1:30" ht="13.5" thickBot="1" x14ac:dyDescent="0.25">
      <c r="A8" s="2" t="s">
        <v>94</v>
      </c>
      <c r="B8" s="1" t="s">
        <v>93</v>
      </c>
      <c r="C8" s="2" t="s">
        <v>19</v>
      </c>
      <c r="D8" s="4">
        <v>0</v>
      </c>
      <c r="E8" s="4">
        <v>0</v>
      </c>
      <c r="F8" s="4">
        <v>0</v>
      </c>
      <c r="G8" s="4">
        <v>0</v>
      </c>
      <c r="H8" s="4">
        <v>0</v>
      </c>
      <c r="I8" s="4">
        <v>0</v>
      </c>
      <c r="J8" s="4">
        <v>0</v>
      </c>
      <c r="K8" s="4">
        <v>0</v>
      </c>
      <c r="L8" s="4">
        <v>0</v>
      </c>
      <c r="M8" s="77">
        <v>0</v>
      </c>
      <c r="N8" s="4">
        <v>0</v>
      </c>
      <c r="O8" s="4">
        <v>0</v>
      </c>
      <c r="P8" s="4">
        <v>0</v>
      </c>
      <c r="Q8" s="2" t="s">
        <v>873</v>
      </c>
      <c r="R8" s="4">
        <v>0</v>
      </c>
      <c r="S8" s="4">
        <v>0</v>
      </c>
      <c r="T8" s="4">
        <v>0</v>
      </c>
      <c r="U8" s="4">
        <v>0</v>
      </c>
      <c r="V8" s="4">
        <v>0</v>
      </c>
      <c r="W8" s="4">
        <v>0</v>
      </c>
      <c r="X8" s="4">
        <v>0</v>
      </c>
      <c r="Y8" s="4">
        <v>0</v>
      </c>
      <c r="Z8" s="4">
        <v>0</v>
      </c>
      <c r="AA8" s="4">
        <v>0</v>
      </c>
      <c r="AB8" s="77">
        <v>0</v>
      </c>
      <c r="AC8" s="77">
        <f>Table4[[#This Row],[Total Attendance]]/AD8</f>
        <v>0</v>
      </c>
      <c r="AD8" s="77">
        <v>3150</v>
      </c>
    </row>
    <row r="9" spans="1:30" ht="13.5" thickBot="1" x14ac:dyDescent="0.25">
      <c r="A9" s="2" t="s">
        <v>98</v>
      </c>
      <c r="B9" s="1" t="s">
        <v>97</v>
      </c>
      <c r="C9" s="2" t="s">
        <v>19</v>
      </c>
      <c r="D9" s="77">
        <v>50</v>
      </c>
      <c r="E9" s="77">
        <v>718</v>
      </c>
      <c r="F9" s="77">
        <v>10</v>
      </c>
      <c r="G9" s="77">
        <v>72</v>
      </c>
      <c r="H9" s="77">
        <v>12</v>
      </c>
      <c r="I9" s="77">
        <v>496</v>
      </c>
      <c r="J9" s="77">
        <v>0</v>
      </c>
      <c r="K9" s="77">
        <v>0</v>
      </c>
      <c r="L9" s="77">
        <v>307</v>
      </c>
      <c r="M9" s="77">
        <v>66</v>
      </c>
      <c r="N9" s="77">
        <v>373</v>
      </c>
      <c r="O9" s="77">
        <v>62</v>
      </c>
      <c r="P9" s="77">
        <v>1214</v>
      </c>
      <c r="Q9" s="2" t="s">
        <v>872</v>
      </c>
      <c r="R9" s="77">
        <v>58</v>
      </c>
      <c r="S9" s="77">
        <v>718</v>
      </c>
      <c r="T9" s="77">
        <v>10</v>
      </c>
      <c r="U9" s="77">
        <v>72</v>
      </c>
      <c r="V9" s="77">
        <v>107</v>
      </c>
      <c r="W9" s="77">
        <v>297</v>
      </c>
      <c r="X9" s="77">
        <v>0</v>
      </c>
      <c r="Y9" s="77">
        <v>0</v>
      </c>
      <c r="Z9" s="77">
        <v>179</v>
      </c>
      <c r="AA9" s="77">
        <v>1583</v>
      </c>
      <c r="AB9" s="77">
        <f>Table4[[#This Row],[Total Attendance]]/Table4[[#This Row],[Total Events]]</f>
        <v>8.8435754189944138</v>
      </c>
      <c r="AC9" s="77">
        <f>Table4[[#This Row],[Total Attendance]]/AD9</f>
        <v>0.41537654159013382</v>
      </c>
      <c r="AD9" s="77">
        <v>3811</v>
      </c>
    </row>
    <row r="10" spans="1:30" ht="13.5" thickBot="1" x14ac:dyDescent="0.25">
      <c r="A10" s="2" t="s">
        <v>100</v>
      </c>
      <c r="B10" s="1" t="s">
        <v>99</v>
      </c>
      <c r="C10" s="2" t="s">
        <v>19</v>
      </c>
      <c r="D10" s="4">
        <v>56</v>
      </c>
      <c r="E10" s="4">
        <v>1279</v>
      </c>
      <c r="F10" s="4">
        <v>13</v>
      </c>
      <c r="G10" s="4">
        <v>95</v>
      </c>
      <c r="H10" s="4">
        <v>15</v>
      </c>
      <c r="I10" s="4">
        <v>761</v>
      </c>
      <c r="J10" s="4">
        <v>0</v>
      </c>
      <c r="K10" s="4">
        <v>0</v>
      </c>
      <c r="L10" s="4">
        <v>270</v>
      </c>
      <c r="M10" s="4">
        <v>0</v>
      </c>
      <c r="N10" s="4">
        <v>270</v>
      </c>
      <c r="O10" s="4">
        <v>71</v>
      </c>
      <c r="P10" s="4">
        <v>2040</v>
      </c>
      <c r="Q10" s="2" t="s">
        <v>872</v>
      </c>
      <c r="R10" s="4">
        <v>36</v>
      </c>
      <c r="S10" s="4">
        <v>389</v>
      </c>
      <c r="T10" s="4">
        <v>13</v>
      </c>
      <c r="U10" s="4">
        <v>95</v>
      </c>
      <c r="V10" s="4">
        <v>205</v>
      </c>
      <c r="W10" s="4">
        <v>1876</v>
      </c>
      <c r="X10" s="4">
        <v>15</v>
      </c>
      <c r="Y10" s="4">
        <v>733</v>
      </c>
      <c r="Z10" s="4">
        <v>304</v>
      </c>
      <c r="AA10" s="4">
        <v>4744</v>
      </c>
      <c r="AB10" s="77">
        <f>Table4[[#This Row],[Total Attendance]]/Table4[[#This Row],[Total Events]]</f>
        <v>15.605263157894736</v>
      </c>
      <c r="AC10" s="77">
        <f>Table4[[#This Row],[Total Attendance]]/AD10</f>
        <v>1.3094120894286503</v>
      </c>
      <c r="AD10" s="77">
        <v>3623</v>
      </c>
    </row>
    <row r="11" spans="1:30" ht="13.5" thickBot="1" x14ac:dyDescent="0.25">
      <c r="A11" s="2" t="s">
        <v>108</v>
      </c>
      <c r="B11" s="1" t="s">
        <v>107</v>
      </c>
      <c r="C11" s="2" t="s">
        <v>19</v>
      </c>
      <c r="D11" s="4">
        <v>18</v>
      </c>
      <c r="E11" s="4">
        <v>189</v>
      </c>
      <c r="F11" s="4">
        <v>0</v>
      </c>
      <c r="G11" s="4">
        <v>0</v>
      </c>
      <c r="H11" s="4">
        <v>8</v>
      </c>
      <c r="I11" s="4">
        <v>50</v>
      </c>
      <c r="J11" s="4">
        <v>0</v>
      </c>
      <c r="K11" s="4">
        <v>0</v>
      </c>
      <c r="L11" s="4">
        <v>28</v>
      </c>
      <c r="M11" s="77">
        <v>13</v>
      </c>
      <c r="N11" s="4">
        <v>41</v>
      </c>
      <c r="O11" s="4">
        <v>26</v>
      </c>
      <c r="P11" s="4">
        <v>239</v>
      </c>
      <c r="Q11" s="2" t="s">
        <v>872</v>
      </c>
      <c r="R11" s="4">
        <v>1</v>
      </c>
      <c r="S11" s="4">
        <v>7</v>
      </c>
      <c r="T11" s="4">
        <v>0</v>
      </c>
      <c r="U11" s="4">
        <v>0</v>
      </c>
      <c r="V11" s="4">
        <v>15</v>
      </c>
      <c r="W11" s="4">
        <v>106</v>
      </c>
      <c r="X11" s="77">
        <v>14</v>
      </c>
      <c r="Y11" s="77">
        <v>1127</v>
      </c>
      <c r="Z11" s="4">
        <v>55</v>
      </c>
      <c r="AA11" s="4">
        <v>1472</v>
      </c>
      <c r="AB11" s="77">
        <f>Table4[[#This Row],[Total Attendance]]/Table4[[#This Row],[Total Events]]</f>
        <v>26.763636363636362</v>
      </c>
      <c r="AC11" s="77">
        <f>Table4[[#This Row],[Total Attendance]]/AD11</f>
        <v>0.50119169220292814</v>
      </c>
      <c r="AD11" s="77">
        <v>2937</v>
      </c>
    </row>
    <row r="12" spans="1:30" ht="13.5" thickBot="1" x14ac:dyDescent="0.25">
      <c r="A12" s="2" t="s">
        <v>138</v>
      </c>
      <c r="B12" s="1" t="s">
        <v>137</v>
      </c>
      <c r="C12" s="2" t="s">
        <v>19</v>
      </c>
      <c r="D12" s="77">
        <v>3</v>
      </c>
      <c r="E12" s="77">
        <v>15</v>
      </c>
      <c r="F12" s="77">
        <v>0</v>
      </c>
      <c r="G12" s="77">
        <v>0</v>
      </c>
      <c r="H12" s="77">
        <v>7</v>
      </c>
      <c r="I12" s="77">
        <v>104</v>
      </c>
      <c r="J12" s="77">
        <v>0</v>
      </c>
      <c r="K12" s="77">
        <v>0</v>
      </c>
      <c r="L12" s="77">
        <v>9</v>
      </c>
      <c r="M12" s="77">
        <v>0</v>
      </c>
      <c r="N12" s="77">
        <v>9</v>
      </c>
      <c r="O12" s="77">
        <v>10</v>
      </c>
      <c r="P12" s="77">
        <v>119</v>
      </c>
      <c r="Q12" s="2" t="s">
        <v>873</v>
      </c>
      <c r="R12" s="77">
        <v>0</v>
      </c>
      <c r="S12" s="77">
        <v>0</v>
      </c>
      <c r="T12" s="77">
        <v>0</v>
      </c>
      <c r="U12" s="77">
        <v>0</v>
      </c>
      <c r="V12" s="77">
        <v>0</v>
      </c>
      <c r="W12" s="77">
        <v>0</v>
      </c>
      <c r="X12" s="77">
        <v>3</v>
      </c>
      <c r="Y12" s="77">
        <v>15</v>
      </c>
      <c r="Z12" s="77">
        <v>13</v>
      </c>
      <c r="AA12" s="77">
        <v>134</v>
      </c>
      <c r="AB12" s="77">
        <f>Table4[[#This Row],[Total Attendance]]/Table4[[#This Row],[Total Events]]</f>
        <v>10.307692307692308</v>
      </c>
      <c r="AC12" s="77">
        <f>Table4[[#This Row],[Total Attendance]]/AD12</f>
        <v>5.1321332822673309E-2</v>
      </c>
      <c r="AD12" s="77">
        <v>2611</v>
      </c>
    </row>
    <row r="13" spans="1:30" ht="13.5" thickBot="1" x14ac:dyDescent="0.25">
      <c r="A13" s="2" t="s">
        <v>154</v>
      </c>
      <c r="B13" s="1" t="s">
        <v>153</v>
      </c>
      <c r="C13" s="2" t="s">
        <v>19</v>
      </c>
      <c r="D13" s="4">
        <v>0</v>
      </c>
      <c r="E13" s="4">
        <v>0</v>
      </c>
      <c r="F13" s="4">
        <v>0</v>
      </c>
      <c r="G13" s="4">
        <v>0</v>
      </c>
      <c r="H13" s="4">
        <v>1</v>
      </c>
      <c r="I13" s="4">
        <v>0</v>
      </c>
      <c r="J13" s="4">
        <v>0</v>
      </c>
      <c r="K13" s="4">
        <v>0</v>
      </c>
      <c r="L13" s="4">
        <v>0</v>
      </c>
      <c r="M13" s="4">
        <v>0</v>
      </c>
      <c r="N13" s="4">
        <v>0</v>
      </c>
      <c r="O13" s="4">
        <v>1</v>
      </c>
      <c r="P13" s="4">
        <v>0</v>
      </c>
      <c r="Q13" s="2" t="s">
        <v>873</v>
      </c>
      <c r="R13" s="4">
        <v>0</v>
      </c>
      <c r="S13" s="4">
        <v>0</v>
      </c>
      <c r="T13" s="4">
        <v>0</v>
      </c>
      <c r="U13" s="4">
        <v>0</v>
      </c>
      <c r="V13" s="4">
        <v>0</v>
      </c>
      <c r="W13" s="4">
        <v>0</v>
      </c>
      <c r="X13" s="4">
        <v>0</v>
      </c>
      <c r="Y13" s="4">
        <v>0</v>
      </c>
      <c r="Z13" s="4">
        <v>1</v>
      </c>
      <c r="AA13" s="4">
        <v>0</v>
      </c>
      <c r="AB13" s="77">
        <f>Table4[[#This Row],[Total Attendance]]/Table4[[#This Row],[Total Events]]</f>
        <v>0</v>
      </c>
      <c r="AC13" s="77">
        <f>Table4[[#This Row],[Total Attendance]]/AD13</f>
        <v>0</v>
      </c>
      <c r="AD13" s="77">
        <v>722</v>
      </c>
    </row>
    <row r="14" spans="1:30" ht="13.5" thickBot="1" x14ac:dyDescent="0.25">
      <c r="A14" s="2" t="s">
        <v>164</v>
      </c>
      <c r="B14" s="1" t="s">
        <v>163</v>
      </c>
      <c r="C14" s="2" t="s">
        <v>19</v>
      </c>
      <c r="D14" s="4">
        <v>50</v>
      </c>
      <c r="E14" s="4">
        <v>500</v>
      </c>
      <c r="F14" s="4">
        <v>0</v>
      </c>
      <c r="G14" s="4">
        <v>0</v>
      </c>
      <c r="H14" s="4">
        <v>3</v>
      </c>
      <c r="I14" s="4">
        <v>16</v>
      </c>
      <c r="J14" s="4">
        <v>0</v>
      </c>
      <c r="K14" s="4">
        <v>0</v>
      </c>
      <c r="L14" s="4">
        <v>15</v>
      </c>
      <c r="M14" s="77">
        <v>0</v>
      </c>
      <c r="N14" s="4">
        <v>15</v>
      </c>
      <c r="O14" s="4">
        <v>53</v>
      </c>
      <c r="P14" s="4">
        <v>516</v>
      </c>
      <c r="Q14" s="2" t="s">
        <v>872</v>
      </c>
      <c r="R14" s="4">
        <v>50</v>
      </c>
      <c r="S14" s="4">
        <v>500</v>
      </c>
      <c r="T14" s="4">
        <v>0</v>
      </c>
      <c r="U14" s="4">
        <v>0</v>
      </c>
      <c r="V14" s="4">
        <v>235</v>
      </c>
      <c r="W14" s="4">
        <v>1645</v>
      </c>
      <c r="X14" s="4">
        <v>0</v>
      </c>
      <c r="Y14" s="4">
        <v>0</v>
      </c>
      <c r="Z14" s="4">
        <v>288</v>
      </c>
      <c r="AA14" s="4">
        <v>2161</v>
      </c>
      <c r="AB14" s="77">
        <f>Table4[[#This Row],[Total Attendance]]/Table4[[#This Row],[Total Events]]</f>
        <v>7.5034722222222223</v>
      </c>
      <c r="AC14" s="77">
        <f>Table4[[#This Row],[Total Attendance]]/AD14</f>
        <v>0.54092615769712138</v>
      </c>
      <c r="AD14" s="77">
        <v>3995</v>
      </c>
    </row>
    <row r="15" spans="1:30" ht="13.5" thickBot="1" x14ac:dyDescent="0.25">
      <c r="A15" s="2" t="s">
        <v>172</v>
      </c>
      <c r="B15" s="1" t="s">
        <v>171</v>
      </c>
      <c r="C15" s="2" t="s">
        <v>19</v>
      </c>
      <c r="D15" s="4">
        <v>19</v>
      </c>
      <c r="E15" s="4">
        <v>389</v>
      </c>
      <c r="F15" s="4">
        <v>0</v>
      </c>
      <c r="G15" s="4">
        <v>0</v>
      </c>
      <c r="H15" s="4">
        <v>9</v>
      </c>
      <c r="I15" s="4">
        <v>186</v>
      </c>
      <c r="J15" s="4">
        <v>0</v>
      </c>
      <c r="K15" s="4">
        <v>0</v>
      </c>
      <c r="L15" s="4">
        <v>38</v>
      </c>
      <c r="M15" s="78" t="s">
        <v>16</v>
      </c>
      <c r="N15" s="4">
        <v>38</v>
      </c>
      <c r="O15" s="4">
        <v>28</v>
      </c>
      <c r="P15" s="4">
        <v>575</v>
      </c>
      <c r="Q15" s="2" t="s">
        <v>873</v>
      </c>
      <c r="R15" s="4">
        <v>0</v>
      </c>
      <c r="S15" s="4">
        <v>0</v>
      </c>
      <c r="T15" s="4">
        <v>0</v>
      </c>
      <c r="U15" s="4">
        <v>0</v>
      </c>
      <c r="V15" s="4">
        <v>6</v>
      </c>
      <c r="W15" s="4">
        <v>57</v>
      </c>
      <c r="X15" s="77">
        <v>7</v>
      </c>
      <c r="Y15" s="77">
        <v>388</v>
      </c>
      <c r="Z15" s="4">
        <v>41</v>
      </c>
      <c r="AA15" s="4">
        <v>1020</v>
      </c>
      <c r="AB15" s="77">
        <f>Table4[[#This Row],[Total Attendance]]/Table4[[#This Row],[Total Events]]</f>
        <v>24.878048780487806</v>
      </c>
      <c r="AC15" s="77">
        <f>Table4[[#This Row],[Total Attendance]]/AD15</f>
        <v>0.55016181229773464</v>
      </c>
      <c r="AD15" s="77">
        <v>1854</v>
      </c>
    </row>
    <row r="16" spans="1:30" ht="13.5" thickBot="1" x14ac:dyDescent="0.25">
      <c r="A16" s="2" t="s">
        <v>184</v>
      </c>
      <c r="B16" s="1" t="s">
        <v>183</v>
      </c>
      <c r="C16" s="2" t="s">
        <v>19</v>
      </c>
      <c r="D16" s="4">
        <v>32</v>
      </c>
      <c r="E16" s="4">
        <v>800</v>
      </c>
      <c r="F16" s="4">
        <v>2</v>
      </c>
      <c r="G16" s="4">
        <v>70</v>
      </c>
      <c r="H16" s="4">
        <v>5</v>
      </c>
      <c r="I16" s="4">
        <v>150</v>
      </c>
      <c r="J16" s="4">
        <v>2</v>
      </c>
      <c r="K16" s="4">
        <v>14</v>
      </c>
      <c r="L16" s="4">
        <v>95</v>
      </c>
      <c r="M16" s="77">
        <v>15</v>
      </c>
      <c r="N16" s="4">
        <v>110</v>
      </c>
      <c r="O16" s="4">
        <v>37</v>
      </c>
      <c r="P16" s="4">
        <v>950</v>
      </c>
      <c r="Q16" s="2" t="s">
        <v>872</v>
      </c>
      <c r="R16" s="4">
        <v>26</v>
      </c>
      <c r="S16" s="4">
        <v>500</v>
      </c>
      <c r="T16" s="4">
        <v>4</v>
      </c>
      <c r="U16" s="4">
        <v>84</v>
      </c>
      <c r="V16" s="4">
        <v>28</v>
      </c>
      <c r="W16" s="4">
        <v>312</v>
      </c>
      <c r="X16" s="4">
        <v>6</v>
      </c>
      <c r="Y16" s="4">
        <v>67</v>
      </c>
      <c r="Z16" s="4">
        <v>75</v>
      </c>
      <c r="AA16" s="4">
        <v>1413</v>
      </c>
      <c r="AB16" s="77">
        <f>Table4[[#This Row],[Total Attendance]]/Table4[[#This Row],[Total Events]]</f>
        <v>18.84</v>
      </c>
      <c r="AC16" s="77">
        <f>Table4[[#This Row],[Total Attendance]]/AD16</f>
        <v>0.39206437291897889</v>
      </c>
      <c r="AD16" s="77">
        <v>3604</v>
      </c>
    </row>
    <row r="17" spans="1:30" ht="13.5" thickBot="1" x14ac:dyDescent="0.25">
      <c r="A17" s="2" t="s">
        <v>192</v>
      </c>
      <c r="B17" s="1" t="s">
        <v>191</v>
      </c>
      <c r="C17" s="2" t="s">
        <v>19</v>
      </c>
      <c r="D17" s="4">
        <v>42</v>
      </c>
      <c r="E17" s="4">
        <v>268</v>
      </c>
      <c r="F17" s="4">
        <v>0</v>
      </c>
      <c r="G17" s="4">
        <v>0</v>
      </c>
      <c r="H17" s="4">
        <v>7</v>
      </c>
      <c r="I17" s="4">
        <v>268</v>
      </c>
      <c r="J17" s="4">
        <v>0</v>
      </c>
      <c r="K17" s="4">
        <v>0</v>
      </c>
      <c r="L17" s="77">
        <v>68</v>
      </c>
      <c r="M17" s="77">
        <v>13</v>
      </c>
      <c r="N17" s="77">
        <v>81</v>
      </c>
      <c r="O17" s="4">
        <v>49</v>
      </c>
      <c r="P17" s="4">
        <v>536</v>
      </c>
      <c r="Q17" s="2" t="s">
        <v>873</v>
      </c>
      <c r="R17" s="4">
        <v>0</v>
      </c>
      <c r="S17" s="4">
        <v>0</v>
      </c>
      <c r="T17" s="4">
        <v>0</v>
      </c>
      <c r="U17" s="4">
        <v>0</v>
      </c>
      <c r="V17" s="4">
        <v>191</v>
      </c>
      <c r="W17" s="4">
        <v>1054</v>
      </c>
      <c r="X17" s="4">
        <v>4</v>
      </c>
      <c r="Y17" s="4">
        <v>523</v>
      </c>
      <c r="Z17" s="4">
        <v>244</v>
      </c>
      <c r="AA17" s="4">
        <v>2113</v>
      </c>
      <c r="AB17" s="77">
        <f>Table4[[#This Row],[Total Attendance]]/Table4[[#This Row],[Total Events]]</f>
        <v>8.6598360655737707</v>
      </c>
      <c r="AC17" s="77">
        <f>Table4[[#This Row],[Total Attendance]]/AD17</f>
        <v>0.55561398895608727</v>
      </c>
      <c r="AD17" s="77">
        <v>3803</v>
      </c>
    </row>
    <row r="18" spans="1:30" ht="13.5" thickBot="1" x14ac:dyDescent="0.25">
      <c r="A18" s="2" t="s">
        <v>194</v>
      </c>
      <c r="B18" s="1" t="s">
        <v>193</v>
      </c>
      <c r="C18" s="2" t="s">
        <v>19</v>
      </c>
      <c r="D18" s="4">
        <v>68</v>
      </c>
      <c r="E18" s="4">
        <v>623</v>
      </c>
      <c r="F18" s="4">
        <v>0</v>
      </c>
      <c r="G18" s="4">
        <v>0</v>
      </c>
      <c r="H18" s="4">
        <v>8</v>
      </c>
      <c r="I18" s="4">
        <v>109</v>
      </c>
      <c r="J18" s="77">
        <v>0</v>
      </c>
      <c r="K18" s="77">
        <v>0</v>
      </c>
      <c r="L18" s="4">
        <v>77</v>
      </c>
      <c r="M18" s="4">
        <v>30</v>
      </c>
      <c r="N18" s="4">
        <v>107</v>
      </c>
      <c r="O18" s="4">
        <v>76</v>
      </c>
      <c r="P18" s="4">
        <v>732</v>
      </c>
      <c r="Q18" s="2" t="s">
        <v>873</v>
      </c>
      <c r="R18" s="77">
        <v>0</v>
      </c>
      <c r="S18" s="77">
        <v>0</v>
      </c>
      <c r="T18" s="4">
        <v>0</v>
      </c>
      <c r="U18" s="4">
        <v>0</v>
      </c>
      <c r="V18" s="4">
        <v>16</v>
      </c>
      <c r="W18" s="77">
        <v>65</v>
      </c>
      <c r="X18" s="77">
        <v>3</v>
      </c>
      <c r="Y18" s="77">
        <v>62</v>
      </c>
      <c r="Z18" s="4">
        <v>95</v>
      </c>
      <c r="AA18" s="4">
        <v>859</v>
      </c>
      <c r="AB18" s="77">
        <f>Table4[[#This Row],[Total Attendance]]/Table4[[#This Row],[Total Events]]</f>
        <v>9.0421052631578949</v>
      </c>
      <c r="AC18" s="77">
        <f>Table4[[#This Row],[Total Attendance]]/AD18</f>
        <v>0.36198904340497262</v>
      </c>
      <c r="AD18" s="77">
        <v>2373</v>
      </c>
    </row>
    <row r="19" spans="1:30" ht="13.5" thickBot="1" x14ac:dyDescent="0.25">
      <c r="A19" s="2" t="s">
        <v>210</v>
      </c>
      <c r="B19" s="1" t="s">
        <v>209</v>
      </c>
      <c r="C19" s="2" t="s">
        <v>19</v>
      </c>
      <c r="D19" s="4">
        <v>53</v>
      </c>
      <c r="E19" s="4">
        <v>317</v>
      </c>
      <c r="F19" s="4">
        <v>0</v>
      </c>
      <c r="G19" s="4">
        <v>0</v>
      </c>
      <c r="H19" s="4">
        <v>7</v>
      </c>
      <c r="I19" s="4">
        <v>96</v>
      </c>
      <c r="J19" s="4">
        <v>0</v>
      </c>
      <c r="K19" s="4">
        <v>0</v>
      </c>
      <c r="L19" s="78" t="s">
        <v>16</v>
      </c>
      <c r="M19" s="78" t="s">
        <v>16</v>
      </c>
      <c r="N19" s="78" t="s">
        <v>16</v>
      </c>
      <c r="O19" s="4">
        <v>60</v>
      </c>
      <c r="P19" s="4">
        <v>413</v>
      </c>
      <c r="Q19" s="2" t="s">
        <v>872</v>
      </c>
      <c r="R19" s="4">
        <v>7</v>
      </c>
      <c r="S19" s="4">
        <v>15</v>
      </c>
      <c r="T19" s="4">
        <v>0</v>
      </c>
      <c r="U19" s="4">
        <v>0</v>
      </c>
      <c r="V19" s="4">
        <v>59</v>
      </c>
      <c r="W19" s="4">
        <v>447</v>
      </c>
      <c r="X19" s="4">
        <v>4</v>
      </c>
      <c r="Y19" s="4">
        <v>28</v>
      </c>
      <c r="Z19" s="4">
        <v>123</v>
      </c>
      <c r="AA19" s="4">
        <v>888</v>
      </c>
      <c r="AB19" s="77">
        <f>Table4[[#This Row],[Total Attendance]]/Table4[[#This Row],[Total Events]]</f>
        <v>7.2195121951219514</v>
      </c>
      <c r="AC19" s="77">
        <f>Table4[[#This Row],[Total Attendance]]/AD19</f>
        <v>0.22463951429294207</v>
      </c>
      <c r="AD19" s="77">
        <v>3953</v>
      </c>
    </row>
    <row r="20" spans="1:30" ht="13.5" thickBot="1" x14ac:dyDescent="0.25">
      <c r="A20" s="2" t="s">
        <v>212</v>
      </c>
      <c r="B20" s="1" t="s">
        <v>211</v>
      </c>
      <c r="C20" s="2" t="s">
        <v>19</v>
      </c>
      <c r="D20" s="4">
        <v>27</v>
      </c>
      <c r="E20" s="4">
        <v>352</v>
      </c>
      <c r="F20" s="4">
        <v>12</v>
      </c>
      <c r="G20" s="4">
        <v>36</v>
      </c>
      <c r="H20" s="4">
        <v>19</v>
      </c>
      <c r="I20" s="4">
        <v>368</v>
      </c>
      <c r="J20" s="4">
        <v>2</v>
      </c>
      <c r="K20" s="4">
        <v>15</v>
      </c>
      <c r="L20" s="77">
        <v>90</v>
      </c>
      <c r="M20" s="77">
        <v>15</v>
      </c>
      <c r="N20" s="77">
        <v>105</v>
      </c>
      <c r="O20" s="4">
        <v>46</v>
      </c>
      <c r="P20" s="4">
        <v>720</v>
      </c>
      <c r="Q20" s="2" t="s">
        <v>872</v>
      </c>
      <c r="R20" s="4">
        <v>30</v>
      </c>
      <c r="S20" s="4">
        <v>310</v>
      </c>
      <c r="T20" s="4">
        <v>14</v>
      </c>
      <c r="U20" s="4">
        <v>51</v>
      </c>
      <c r="V20" s="4">
        <v>35</v>
      </c>
      <c r="W20" s="4">
        <v>421</v>
      </c>
      <c r="X20" s="77">
        <v>2</v>
      </c>
      <c r="Y20" s="77">
        <v>56</v>
      </c>
      <c r="Z20" s="4">
        <v>97</v>
      </c>
      <c r="AA20" s="4">
        <v>1248</v>
      </c>
      <c r="AB20" s="77">
        <f>Table4[[#This Row],[Total Attendance]]/Table4[[#This Row],[Total Events]]</f>
        <v>12.865979381443299</v>
      </c>
      <c r="AC20" s="77">
        <f>Table4[[#This Row],[Total Attendance]]/AD20</f>
        <v>0.38661710037174724</v>
      </c>
      <c r="AD20" s="77">
        <v>3228</v>
      </c>
    </row>
    <row r="21" spans="1:30" ht="13.5" thickBot="1" x14ac:dyDescent="0.25">
      <c r="A21" s="2" t="s">
        <v>214</v>
      </c>
      <c r="B21" s="1" t="s">
        <v>213</v>
      </c>
      <c r="C21" s="2" t="s">
        <v>19</v>
      </c>
      <c r="D21" s="77">
        <v>11</v>
      </c>
      <c r="E21" s="77">
        <v>202</v>
      </c>
      <c r="F21" s="77">
        <v>0</v>
      </c>
      <c r="G21" s="77">
        <v>0</v>
      </c>
      <c r="H21" s="77">
        <v>0</v>
      </c>
      <c r="I21" s="77">
        <v>0</v>
      </c>
      <c r="J21" s="77">
        <v>0</v>
      </c>
      <c r="K21" s="77">
        <v>0</v>
      </c>
      <c r="L21" s="77">
        <v>0</v>
      </c>
      <c r="M21" s="77">
        <v>0</v>
      </c>
      <c r="N21" s="77">
        <v>0</v>
      </c>
      <c r="O21" s="77">
        <v>11</v>
      </c>
      <c r="P21" s="77">
        <v>202</v>
      </c>
      <c r="Q21" s="2" t="s">
        <v>873</v>
      </c>
      <c r="R21" s="77">
        <v>0</v>
      </c>
      <c r="S21" s="77">
        <v>0</v>
      </c>
      <c r="T21" s="77">
        <v>0</v>
      </c>
      <c r="U21" s="77">
        <v>0</v>
      </c>
      <c r="V21" s="77">
        <v>25</v>
      </c>
      <c r="W21" s="77">
        <v>139</v>
      </c>
      <c r="X21" s="77">
        <v>3</v>
      </c>
      <c r="Y21" s="77">
        <v>161</v>
      </c>
      <c r="Z21" s="77">
        <v>39</v>
      </c>
      <c r="AA21" s="77">
        <v>502</v>
      </c>
      <c r="AB21" s="77">
        <f>Table4[[#This Row],[Total Attendance]]/Table4[[#This Row],[Total Events]]</f>
        <v>12.871794871794872</v>
      </c>
      <c r="AC21" s="77">
        <f>Table4[[#This Row],[Total Attendance]]/AD21</f>
        <v>0.14538082826527657</v>
      </c>
      <c r="AD21" s="77">
        <v>3453</v>
      </c>
    </row>
    <row r="22" spans="1:30" ht="13.5" thickBot="1" x14ac:dyDescent="0.25">
      <c r="A22" s="2" t="s">
        <v>216</v>
      </c>
      <c r="B22" s="1" t="s">
        <v>215</v>
      </c>
      <c r="C22" s="2" t="s">
        <v>19</v>
      </c>
      <c r="D22" s="4">
        <v>4</v>
      </c>
      <c r="E22" s="4">
        <v>68</v>
      </c>
      <c r="F22" s="4">
        <v>0</v>
      </c>
      <c r="G22" s="4">
        <v>0</v>
      </c>
      <c r="H22" s="4">
        <v>0</v>
      </c>
      <c r="I22" s="4">
        <v>0</v>
      </c>
      <c r="J22" s="77">
        <v>0</v>
      </c>
      <c r="K22" s="77">
        <v>0</v>
      </c>
      <c r="L22" s="77">
        <v>2</v>
      </c>
      <c r="M22" s="77">
        <v>0</v>
      </c>
      <c r="N22" s="77">
        <v>2</v>
      </c>
      <c r="O22" s="4">
        <v>4</v>
      </c>
      <c r="P22" s="4">
        <v>68</v>
      </c>
      <c r="Q22" s="2" t="s">
        <v>873</v>
      </c>
      <c r="R22" s="4">
        <v>1</v>
      </c>
      <c r="S22" s="4">
        <v>11</v>
      </c>
      <c r="T22" s="4">
        <v>0</v>
      </c>
      <c r="U22" s="4">
        <v>0</v>
      </c>
      <c r="V22" s="4">
        <v>0</v>
      </c>
      <c r="W22" s="78" t="s">
        <v>16</v>
      </c>
      <c r="X22" s="4">
        <v>3</v>
      </c>
      <c r="Y22" s="4">
        <v>443</v>
      </c>
      <c r="Z22" s="4">
        <v>7</v>
      </c>
      <c r="AA22" s="4">
        <v>511</v>
      </c>
      <c r="AB22" s="77">
        <f>Table4[[#This Row],[Total Attendance]]/Table4[[#This Row],[Total Events]]</f>
        <v>73</v>
      </c>
      <c r="AC22" s="77">
        <f>Table4[[#This Row],[Total Attendance]]/AD22</f>
        <v>0.41343042071197411</v>
      </c>
      <c r="AD22" s="77">
        <v>1236</v>
      </c>
    </row>
    <row r="23" spans="1:30" ht="13.5" thickBot="1" x14ac:dyDescent="0.25">
      <c r="A23" s="2" t="s">
        <v>219</v>
      </c>
      <c r="B23" s="1" t="s">
        <v>218</v>
      </c>
      <c r="C23" s="2" t="s">
        <v>19</v>
      </c>
      <c r="D23" s="4">
        <v>7</v>
      </c>
      <c r="E23" s="4">
        <v>68</v>
      </c>
      <c r="F23" s="4">
        <v>0</v>
      </c>
      <c r="G23" s="4">
        <v>0</v>
      </c>
      <c r="H23" s="4">
        <v>5</v>
      </c>
      <c r="I23" s="4">
        <v>22</v>
      </c>
      <c r="J23" s="77">
        <v>0</v>
      </c>
      <c r="K23" s="77">
        <v>0</v>
      </c>
      <c r="L23" s="4">
        <v>26</v>
      </c>
      <c r="M23" s="4">
        <v>1</v>
      </c>
      <c r="N23" s="4">
        <v>27</v>
      </c>
      <c r="O23" s="4">
        <v>12</v>
      </c>
      <c r="P23" s="4">
        <v>90</v>
      </c>
      <c r="Q23" s="2" t="s">
        <v>872</v>
      </c>
      <c r="R23" s="77">
        <v>2</v>
      </c>
      <c r="S23" s="77">
        <v>5</v>
      </c>
      <c r="T23" s="4">
        <v>0</v>
      </c>
      <c r="U23" s="4">
        <v>0</v>
      </c>
      <c r="V23" s="4">
        <v>19</v>
      </c>
      <c r="W23" s="77">
        <v>428</v>
      </c>
      <c r="X23" s="77">
        <v>1</v>
      </c>
      <c r="Y23" s="77">
        <v>38</v>
      </c>
      <c r="Z23" s="4">
        <v>32</v>
      </c>
      <c r="AA23" s="4">
        <v>556</v>
      </c>
      <c r="AB23" s="77">
        <f>Table4[[#This Row],[Total Attendance]]/Table4[[#This Row],[Total Events]]</f>
        <v>17.375</v>
      </c>
      <c r="AC23" s="77">
        <f>Table4[[#This Row],[Total Attendance]]/AD23</f>
        <v>0.17489776659326833</v>
      </c>
      <c r="AD23" s="77">
        <v>3179</v>
      </c>
    </row>
    <row r="24" spans="1:30" ht="13.5" thickBot="1" x14ac:dyDescent="0.25">
      <c r="A24" s="2" t="s">
        <v>231</v>
      </c>
      <c r="B24" s="1" t="s">
        <v>230</v>
      </c>
      <c r="C24" s="2" t="s">
        <v>19</v>
      </c>
      <c r="D24" s="77">
        <v>50</v>
      </c>
      <c r="E24" s="77">
        <v>896</v>
      </c>
      <c r="F24" s="77">
        <v>0</v>
      </c>
      <c r="G24" s="77">
        <v>0</v>
      </c>
      <c r="H24" s="77">
        <v>10</v>
      </c>
      <c r="I24" s="77">
        <v>32</v>
      </c>
      <c r="J24" s="77">
        <v>0</v>
      </c>
      <c r="K24" s="77">
        <v>0</v>
      </c>
      <c r="L24" s="77">
        <v>16</v>
      </c>
      <c r="M24" s="78" t="s">
        <v>16</v>
      </c>
      <c r="N24" s="77">
        <v>16</v>
      </c>
      <c r="O24" s="77">
        <v>60</v>
      </c>
      <c r="P24" s="77">
        <v>928</v>
      </c>
      <c r="Q24" s="2" t="s">
        <v>873</v>
      </c>
      <c r="R24" s="77">
        <v>0</v>
      </c>
      <c r="S24" s="77">
        <v>0</v>
      </c>
      <c r="T24" s="77">
        <v>0</v>
      </c>
      <c r="U24" s="77">
        <v>0</v>
      </c>
      <c r="V24" s="77">
        <v>50</v>
      </c>
      <c r="W24" s="77">
        <v>910</v>
      </c>
      <c r="X24" s="77">
        <v>0</v>
      </c>
      <c r="Y24" s="77">
        <v>0</v>
      </c>
      <c r="Z24" s="77">
        <v>110</v>
      </c>
      <c r="AA24" s="77">
        <v>1838</v>
      </c>
      <c r="AB24" s="77">
        <f>Table4[[#This Row],[Total Attendance]]/Table4[[#This Row],[Total Events]]</f>
        <v>16.709090909090911</v>
      </c>
      <c r="AC24" s="77">
        <f>Table4[[#This Row],[Total Attendance]]/AD24</f>
        <v>0.8392694063926941</v>
      </c>
      <c r="AD24" s="77">
        <v>2190</v>
      </c>
    </row>
    <row r="25" spans="1:30" ht="13.5" thickBot="1" x14ac:dyDescent="0.25">
      <c r="A25" s="2" t="s">
        <v>267</v>
      </c>
      <c r="B25" s="1" t="s">
        <v>266</v>
      </c>
      <c r="C25" s="2" t="s">
        <v>19</v>
      </c>
      <c r="D25" s="4">
        <v>3</v>
      </c>
      <c r="E25" s="4">
        <v>40</v>
      </c>
      <c r="F25" s="4">
        <v>0</v>
      </c>
      <c r="G25" s="4">
        <v>0</v>
      </c>
      <c r="H25" s="4">
        <v>0</v>
      </c>
      <c r="I25" s="4">
        <v>0</v>
      </c>
      <c r="J25" s="4">
        <v>0</v>
      </c>
      <c r="K25" s="4">
        <v>0</v>
      </c>
      <c r="L25" s="4">
        <v>27</v>
      </c>
      <c r="M25" s="77">
        <v>12</v>
      </c>
      <c r="N25" s="4">
        <v>39</v>
      </c>
      <c r="O25" s="4">
        <v>3</v>
      </c>
      <c r="P25" s="4">
        <v>40</v>
      </c>
      <c r="Q25" s="2" t="s">
        <v>873</v>
      </c>
      <c r="R25" s="4">
        <v>0</v>
      </c>
      <c r="S25" s="4">
        <v>0</v>
      </c>
      <c r="T25" s="4">
        <v>0</v>
      </c>
      <c r="U25" s="4">
        <v>0</v>
      </c>
      <c r="V25" s="4">
        <v>0</v>
      </c>
      <c r="W25" s="4">
        <v>0</v>
      </c>
      <c r="X25" s="4">
        <v>0</v>
      </c>
      <c r="Y25" s="4">
        <v>0</v>
      </c>
      <c r="Z25" s="4">
        <v>3</v>
      </c>
      <c r="AA25" s="4">
        <v>40</v>
      </c>
      <c r="AB25" s="77">
        <f>Table4[[#This Row],[Total Attendance]]/Table4[[#This Row],[Total Events]]</f>
        <v>13.333333333333334</v>
      </c>
      <c r="AC25" s="77">
        <f>Table4[[#This Row],[Total Attendance]]/AD25</f>
        <v>1.444564824846515E-2</v>
      </c>
      <c r="AD25" s="77">
        <v>2769</v>
      </c>
    </row>
    <row r="26" spans="1:30" ht="13.5" thickBot="1" x14ac:dyDescent="0.25">
      <c r="A26" s="2" t="s">
        <v>269</v>
      </c>
      <c r="B26" s="1" t="s">
        <v>268</v>
      </c>
      <c r="C26" s="2" t="s">
        <v>19</v>
      </c>
      <c r="D26" s="4">
        <v>80</v>
      </c>
      <c r="E26" s="4">
        <v>1854</v>
      </c>
      <c r="F26" s="4">
        <v>1</v>
      </c>
      <c r="G26" s="4">
        <v>18</v>
      </c>
      <c r="H26" s="4">
        <v>12</v>
      </c>
      <c r="I26" s="4">
        <v>215</v>
      </c>
      <c r="J26" s="77">
        <v>0</v>
      </c>
      <c r="K26" s="77">
        <v>0</v>
      </c>
      <c r="L26" s="4">
        <v>161</v>
      </c>
      <c r="M26" s="77">
        <v>0</v>
      </c>
      <c r="N26" s="4">
        <v>161</v>
      </c>
      <c r="O26" s="4">
        <v>92</v>
      </c>
      <c r="P26" s="4">
        <v>2069</v>
      </c>
      <c r="Q26" s="2" t="s">
        <v>872</v>
      </c>
      <c r="R26" s="4">
        <v>74</v>
      </c>
      <c r="S26" s="4">
        <v>1188</v>
      </c>
      <c r="T26" s="4">
        <v>1</v>
      </c>
      <c r="U26" s="4">
        <v>18</v>
      </c>
      <c r="V26" s="4">
        <v>10</v>
      </c>
      <c r="W26" s="4">
        <v>74</v>
      </c>
      <c r="X26" s="4">
        <v>6</v>
      </c>
      <c r="Y26" s="4">
        <v>191</v>
      </c>
      <c r="Z26" s="4">
        <v>109</v>
      </c>
      <c r="AA26" s="4">
        <v>2352</v>
      </c>
      <c r="AB26" s="77">
        <f>Table4[[#This Row],[Total Attendance]]/Table4[[#This Row],[Total Events]]</f>
        <v>21.577981651376145</v>
      </c>
      <c r="AC26" s="77">
        <f>Table4[[#This Row],[Total Attendance]]/AD26</f>
        <v>0.6292134831460674</v>
      </c>
      <c r="AD26" s="77">
        <v>3738</v>
      </c>
    </row>
    <row r="27" spans="1:30" ht="13.5" thickBot="1" x14ac:dyDescent="0.25">
      <c r="A27" s="2" t="s">
        <v>275</v>
      </c>
      <c r="B27" s="1" t="s">
        <v>274</v>
      </c>
      <c r="C27" s="2" t="s">
        <v>19</v>
      </c>
      <c r="D27" s="4">
        <v>4</v>
      </c>
      <c r="E27" s="4">
        <v>80</v>
      </c>
      <c r="F27" s="4">
        <v>0</v>
      </c>
      <c r="G27" s="4">
        <v>0</v>
      </c>
      <c r="H27" s="4">
        <v>4</v>
      </c>
      <c r="I27" s="4">
        <v>40</v>
      </c>
      <c r="J27" s="4">
        <v>0</v>
      </c>
      <c r="K27" s="4">
        <v>0</v>
      </c>
      <c r="L27" s="4">
        <v>25</v>
      </c>
      <c r="M27" s="77">
        <v>0</v>
      </c>
      <c r="N27" s="4">
        <v>25</v>
      </c>
      <c r="O27" s="4">
        <v>8</v>
      </c>
      <c r="P27" s="4">
        <v>120</v>
      </c>
      <c r="Q27" s="2" t="s">
        <v>872</v>
      </c>
      <c r="R27" s="4">
        <v>1</v>
      </c>
      <c r="S27" s="4">
        <v>10</v>
      </c>
      <c r="T27" s="4">
        <v>0</v>
      </c>
      <c r="U27" s="4">
        <v>0</v>
      </c>
      <c r="V27" s="4">
        <v>1</v>
      </c>
      <c r="W27" s="77">
        <v>20</v>
      </c>
      <c r="X27" s="77">
        <v>0</v>
      </c>
      <c r="Y27" s="77">
        <v>0</v>
      </c>
      <c r="Z27" s="4">
        <v>9</v>
      </c>
      <c r="AA27" s="4">
        <v>140</v>
      </c>
      <c r="AB27" s="77">
        <f>Table4[[#This Row],[Total Attendance]]/Table4[[#This Row],[Total Events]]</f>
        <v>15.555555555555555</v>
      </c>
      <c r="AC27" s="77">
        <f>Table4[[#This Row],[Total Attendance]]/AD27</f>
        <v>4.4987146529562982E-2</v>
      </c>
      <c r="AD27" s="77">
        <v>3112</v>
      </c>
    </row>
    <row r="28" spans="1:30" ht="13.5" thickBot="1" x14ac:dyDescent="0.25">
      <c r="A28" s="2" t="s">
        <v>283</v>
      </c>
      <c r="B28" s="1" t="s">
        <v>282</v>
      </c>
      <c r="C28" s="2" t="s">
        <v>19</v>
      </c>
      <c r="D28" s="4">
        <v>50</v>
      </c>
      <c r="E28" s="4">
        <v>852</v>
      </c>
      <c r="F28" s="4">
        <v>12</v>
      </c>
      <c r="G28" s="4">
        <v>102</v>
      </c>
      <c r="H28" s="4">
        <v>21</v>
      </c>
      <c r="I28" s="4">
        <v>788</v>
      </c>
      <c r="J28" s="4">
        <v>1</v>
      </c>
      <c r="K28" s="4">
        <v>5</v>
      </c>
      <c r="L28" s="4">
        <v>122</v>
      </c>
      <c r="M28" s="77">
        <v>0</v>
      </c>
      <c r="N28" s="4">
        <v>122</v>
      </c>
      <c r="O28" s="4">
        <v>71</v>
      </c>
      <c r="P28" s="4">
        <v>1640</v>
      </c>
      <c r="Q28" s="2" t="s">
        <v>872</v>
      </c>
      <c r="R28" s="4">
        <v>43</v>
      </c>
      <c r="S28" s="4">
        <v>490</v>
      </c>
      <c r="T28" s="4">
        <v>13</v>
      </c>
      <c r="U28" s="4">
        <v>107</v>
      </c>
      <c r="V28" s="4">
        <v>197</v>
      </c>
      <c r="W28" s="4">
        <v>2508</v>
      </c>
      <c r="X28" s="4">
        <v>69</v>
      </c>
      <c r="Y28" s="4">
        <v>2513</v>
      </c>
      <c r="Z28" s="4">
        <v>350</v>
      </c>
      <c r="AA28" s="4">
        <v>6768</v>
      </c>
      <c r="AB28" s="77">
        <f>Table4[[#This Row],[Total Attendance]]/Table4[[#This Row],[Total Events]]</f>
        <v>19.337142857142858</v>
      </c>
      <c r="AC28" s="77">
        <f>Table4[[#This Row],[Total Attendance]]/AD28</f>
        <v>2.4249372984593336</v>
      </c>
      <c r="AD28" s="77">
        <v>2791</v>
      </c>
    </row>
    <row r="29" spans="1:30" ht="13.5" thickBot="1" x14ac:dyDescent="0.25">
      <c r="A29" s="2" t="s">
        <v>299</v>
      </c>
      <c r="B29" s="1" t="s">
        <v>298</v>
      </c>
      <c r="C29" s="2" t="s">
        <v>19</v>
      </c>
      <c r="D29" s="77">
        <v>33</v>
      </c>
      <c r="E29" s="77">
        <v>1165</v>
      </c>
      <c r="F29" s="77">
        <v>0</v>
      </c>
      <c r="G29" s="77">
        <v>0</v>
      </c>
      <c r="H29" s="77">
        <v>11</v>
      </c>
      <c r="I29" s="77">
        <v>158</v>
      </c>
      <c r="J29" s="77">
        <v>1</v>
      </c>
      <c r="K29" s="77">
        <v>4</v>
      </c>
      <c r="L29" s="77">
        <v>72</v>
      </c>
      <c r="M29" s="77">
        <v>20</v>
      </c>
      <c r="N29" s="77">
        <v>92</v>
      </c>
      <c r="O29" s="77">
        <v>44</v>
      </c>
      <c r="P29" s="77">
        <v>1323</v>
      </c>
      <c r="Q29" s="2" t="s">
        <v>872</v>
      </c>
      <c r="R29" s="77">
        <v>27</v>
      </c>
      <c r="S29" s="77">
        <v>501</v>
      </c>
      <c r="T29" s="77">
        <v>1</v>
      </c>
      <c r="U29" s="77">
        <v>4</v>
      </c>
      <c r="V29" s="77">
        <v>21</v>
      </c>
      <c r="W29" s="77">
        <v>288</v>
      </c>
      <c r="X29" s="77">
        <v>0</v>
      </c>
      <c r="Y29" s="77">
        <v>0</v>
      </c>
      <c r="Z29" s="77">
        <v>66</v>
      </c>
      <c r="AA29" s="77">
        <v>1615</v>
      </c>
      <c r="AB29" s="77">
        <f>Table4[[#This Row],[Total Attendance]]/Table4[[#This Row],[Total Events]]</f>
        <v>24.469696969696969</v>
      </c>
      <c r="AC29" s="77">
        <f>Table4[[#This Row],[Total Attendance]]/AD29</f>
        <v>0.51269841269841265</v>
      </c>
      <c r="AD29" s="77">
        <v>3150</v>
      </c>
    </row>
    <row r="30" spans="1:30" ht="13.5" thickBot="1" x14ac:dyDescent="0.25">
      <c r="A30" s="2" t="s">
        <v>311</v>
      </c>
      <c r="B30" s="1" t="s">
        <v>310</v>
      </c>
      <c r="C30" s="2" t="s">
        <v>19</v>
      </c>
      <c r="D30" s="4">
        <v>0</v>
      </c>
      <c r="E30" s="4">
        <v>0</v>
      </c>
      <c r="F30" s="4">
        <v>0</v>
      </c>
      <c r="G30" s="4">
        <v>0</v>
      </c>
      <c r="H30" s="4">
        <v>1</v>
      </c>
      <c r="I30" s="4">
        <v>44</v>
      </c>
      <c r="J30" s="4">
        <v>0</v>
      </c>
      <c r="K30" s="4">
        <v>0</v>
      </c>
      <c r="L30" s="4">
        <v>18</v>
      </c>
      <c r="M30" s="78" t="s">
        <v>16</v>
      </c>
      <c r="N30" s="4">
        <v>18</v>
      </c>
      <c r="O30" s="4">
        <v>1</v>
      </c>
      <c r="P30" s="4">
        <v>44</v>
      </c>
      <c r="Q30" s="2" t="s">
        <v>873</v>
      </c>
      <c r="R30" s="4">
        <v>0</v>
      </c>
      <c r="S30" s="4">
        <v>0</v>
      </c>
      <c r="T30" s="4">
        <v>0</v>
      </c>
      <c r="U30" s="4">
        <v>0</v>
      </c>
      <c r="V30" s="4">
        <v>4</v>
      </c>
      <c r="W30" s="4">
        <v>86</v>
      </c>
      <c r="X30" s="4">
        <v>0</v>
      </c>
      <c r="Y30" s="4">
        <v>0</v>
      </c>
      <c r="Z30" s="4">
        <v>5</v>
      </c>
      <c r="AA30" s="4">
        <v>130</v>
      </c>
      <c r="AB30" s="77">
        <f>Table4[[#This Row],[Total Attendance]]/Table4[[#This Row],[Total Events]]</f>
        <v>26</v>
      </c>
      <c r="AC30" s="77">
        <f>Table4[[#This Row],[Total Attendance]]/AD30</f>
        <v>4.2720999014130789E-2</v>
      </c>
      <c r="AD30" s="77">
        <v>3043</v>
      </c>
    </row>
    <row r="31" spans="1:30" ht="13.5" thickBot="1" x14ac:dyDescent="0.25">
      <c r="A31" s="2" t="s">
        <v>319</v>
      </c>
      <c r="B31" s="1" t="s">
        <v>318</v>
      </c>
      <c r="C31" s="2" t="s">
        <v>19</v>
      </c>
      <c r="D31" s="4">
        <v>4</v>
      </c>
      <c r="E31" s="4">
        <v>21</v>
      </c>
      <c r="F31" s="4">
        <v>0</v>
      </c>
      <c r="G31" s="4">
        <v>0</v>
      </c>
      <c r="H31" s="4">
        <v>8</v>
      </c>
      <c r="I31" s="4">
        <v>138</v>
      </c>
      <c r="J31" s="4">
        <v>8</v>
      </c>
      <c r="K31" s="4">
        <v>5</v>
      </c>
      <c r="L31" s="4">
        <v>25</v>
      </c>
      <c r="M31" s="77">
        <v>5</v>
      </c>
      <c r="N31" s="4">
        <v>30</v>
      </c>
      <c r="O31" s="4">
        <v>12</v>
      </c>
      <c r="P31" s="4">
        <v>159</v>
      </c>
      <c r="Q31" s="2" t="s">
        <v>872</v>
      </c>
      <c r="R31" s="4">
        <v>1</v>
      </c>
      <c r="S31" s="4">
        <v>9</v>
      </c>
      <c r="T31" s="4">
        <v>8</v>
      </c>
      <c r="U31" s="4">
        <v>5</v>
      </c>
      <c r="V31" s="4">
        <v>4</v>
      </c>
      <c r="W31" s="4">
        <v>15</v>
      </c>
      <c r="X31" s="4">
        <v>15</v>
      </c>
      <c r="Y31" s="4">
        <v>45</v>
      </c>
      <c r="Z31" s="4">
        <v>39</v>
      </c>
      <c r="AA31" s="4">
        <v>224</v>
      </c>
      <c r="AB31" s="77">
        <f>Table4[[#This Row],[Total Attendance]]/Table4[[#This Row],[Total Events]]</f>
        <v>5.7435897435897436</v>
      </c>
      <c r="AC31" s="77">
        <f>Table4[[#This Row],[Total Attendance]]/AD31</f>
        <v>0.10942843185148998</v>
      </c>
      <c r="AD31" s="77">
        <v>2047</v>
      </c>
    </row>
    <row r="32" spans="1:30" ht="13.5" thickBot="1" x14ac:dyDescent="0.25">
      <c r="A32" s="2" t="s">
        <v>327</v>
      </c>
      <c r="B32" s="1" t="s">
        <v>326</v>
      </c>
      <c r="C32" s="2" t="s">
        <v>19</v>
      </c>
      <c r="D32" s="4">
        <v>34</v>
      </c>
      <c r="E32" s="4">
        <v>280</v>
      </c>
      <c r="F32" s="4">
        <v>0</v>
      </c>
      <c r="G32" s="4">
        <v>0</v>
      </c>
      <c r="H32" s="4">
        <v>9</v>
      </c>
      <c r="I32" s="4">
        <v>180</v>
      </c>
      <c r="J32" s="4">
        <v>0</v>
      </c>
      <c r="K32" s="4">
        <v>0</v>
      </c>
      <c r="L32" s="4">
        <v>18</v>
      </c>
      <c r="M32" s="78" t="s">
        <v>16</v>
      </c>
      <c r="N32" s="4">
        <v>18</v>
      </c>
      <c r="O32" s="4">
        <v>43</v>
      </c>
      <c r="P32" s="4">
        <v>460</v>
      </c>
      <c r="Q32" s="2" t="s">
        <v>872</v>
      </c>
      <c r="R32" s="4">
        <v>39</v>
      </c>
      <c r="S32" s="4">
        <v>380</v>
      </c>
      <c r="T32" s="4">
        <v>0</v>
      </c>
      <c r="U32" s="4">
        <v>0</v>
      </c>
      <c r="V32" s="4">
        <v>20</v>
      </c>
      <c r="W32" s="4">
        <v>450</v>
      </c>
      <c r="X32" s="4">
        <v>0</v>
      </c>
      <c r="Y32" s="4">
        <v>0</v>
      </c>
      <c r="Z32" s="4">
        <v>63</v>
      </c>
      <c r="AA32" s="4">
        <v>910</v>
      </c>
      <c r="AB32" s="77">
        <f>Table4[[#This Row],[Total Attendance]]/Table4[[#This Row],[Total Events]]</f>
        <v>14.444444444444445</v>
      </c>
      <c r="AC32" s="77">
        <f>Table4[[#This Row],[Total Attendance]]/AD32</f>
        <v>0.24931506849315069</v>
      </c>
      <c r="AD32" s="77">
        <v>3650</v>
      </c>
    </row>
    <row r="33" spans="1:30" ht="13.5" thickBot="1" x14ac:dyDescent="0.25">
      <c r="A33" s="2" t="s">
        <v>329</v>
      </c>
      <c r="B33" s="1" t="s">
        <v>328</v>
      </c>
      <c r="C33" s="2" t="s">
        <v>19</v>
      </c>
      <c r="D33" s="4">
        <v>11</v>
      </c>
      <c r="E33" s="4">
        <v>54</v>
      </c>
      <c r="F33" s="4">
        <v>0</v>
      </c>
      <c r="G33" s="4">
        <v>0</v>
      </c>
      <c r="H33" s="4">
        <v>4</v>
      </c>
      <c r="I33" s="4">
        <v>76</v>
      </c>
      <c r="J33" s="4">
        <v>0</v>
      </c>
      <c r="K33" s="4">
        <v>0</v>
      </c>
      <c r="L33" s="78" t="s">
        <v>16</v>
      </c>
      <c r="M33" s="78" t="s">
        <v>16</v>
      </c>
      <c r="N33" s="78" t="s">
        <v>16</v>
      </c>
      <c r="O33" s="4">
        <v>15</v>
      </c>
      <c r="P33" s="4">
        <v>130</v>
      </c>
      <c r="Q33" s="2" t="s">
        <v>872</v>
      </c>
      <c r="R33" s="4">
        <v>9</v>
      </c>
      <c r="S33" s="4">
        <v>30</v>
      </c>
      <c r="T33" s="4">
        <v>0</v>
      </c>
      <c r="U33" s="4">
        <v>0</v>
      </c>
      <c r="V33" s="4">
        <v>5</v>
      </c>
      <c r="W33" s="4">
        <v>59</v>
      </c>
      <c r="X33" s="4">
        <v>4</v>
      </c>
      <c r="Y33" s="4">
        <v>60</v>
      </c>
      <c r="Z33" s="4">
        <v>24</v>
      </c>
      <c r="AA33" s="4">
        <v>249</v>
      </c>
      <c r="AB33" s="77">
        <f>Table4[[#This Row],[Total Attendance]]/Table4[[#This Row],[Total Events]]</f>
        <v>10.375</v>
      </c>
      <c r="AC33" s="77">
        <f>Table4[[#This Row],[Total Attendance]]/AD33</f>
        <v>0.1362144420131291</v>
      </c>
      <c r="AD33" s="77">
        <v>1828</v>
      </c>
    </row>
    <row r="34" spans="1:30" ht="13.5" thickBot="1" x14ac:dyDescent="0.25">
      <c r="A34" s="2" t="s">
        <v>379</v>
      </c>
      <c r="B34" s="1" t="s">
        <v>378</v>
      </c>
      <c r="C34" s="2" t="s">
        <v>19</v>
      </c>
      <c r="D34" s="4">
        <v>264</v>
      </c>
      <c r="E34" s="4">
        <v>1994</v>
      </c>
      <c r="F34" s="4">
        <v>9</v>
      </c>
      <c r="G34" s="4">
        <v>45</v>
      </c>
      <c r="H34" s="4">
        <v>193</v>
      </c>
      <c r="I34" s="4">
        <v>2698</v>
      </c>
      <c r="J34" s="77">
        <v>19</v>
      </c>
      <c r="K34" s="77">
        <v>339</v>
      </c>
      <c r="L34" s="4">
        <v>214</v>
      </c>
      <c r="M34" s="77">
        <v>118</v>
      </c>
      <c r="N34" s="4">
        <v>332</v>
      </c>
      <c r="O34" s="4">
        <v>457</v>
      </c>
      <c r="P34" s="4">
        <v>4692</v>
      </c>
      <c r="Q34" s="2" t="s">
        <v>872</v>
      </c>
      <c r="R34" s="4">
        <v>294</v>
      </c>
      <c r="S34" s="4">
        <v>2082</v>
      </c>
      <c r="T34" s="4">
        <v>28</v>
      </c>
      <c r="U34" s="4">
        <v>384</v>
      </c>
      <c r="V34" s="4">
        <v>108</v>
      </c>
      <c r="W34" s="4">
        <v>889</v>
      </c>
      <c r="X34" s="4">
        <v>0</v>
      </c>
      <c r="Y34" s="4">
        <v>0</v>
      </c>
      <c r="Z34" s="4">
        <v>593</v>
      </c>
      <c r="AA34" s="4">
        <v>5965</v>
      </c>
      <c r="AB34" s="77">
        <f>Table4[[#This Row],[Total Attendance]]/Table4[[#This Row],[Total Events]]</f>
        <v>10.059021922428331</v>
      </c>
      <c r="AC34" s="77">
        <f>Table4[[#This Row],[Total Attendance]]/AD34</f>
        <v>1.5193581253183903</v>
      </c>
      <c r="AD34" s="77">
        <v>3926</v>
      </c>
    </row>
    <row r="35" spans="1:30" ht="13.5" thickBot="1" x14ac:dyDescent="0.25">
      <c r="A35" s="2" t="s">
        <v>395</v>
      </c>
      <c r="B35" s="1" t="s">
        <v>394</v>
      </c>
      <c r="C35" s="2" t="s">
        <v>19</v>
      </c>
      <c r="D35" s="4">
        <v>22</v>
      </c>
      <c r="E35" s="4">
        <v>271</v>
      </c>
      <c r="F35" s="4">
        <v>4</v>
      </c>
      <c r="G35" s="4">
        <v>31</v>
      </c>
      <c r="H35" s="4">
        <v>26</v>
      </c>
      <c r="I35" s="4">
        <v>289</v>
      </c>
      <c r="J35" s="77">
        <v>9</v>
      </c>
      <c r="K35" s="77">
        <v>20</v>
      </c>
      <c r="L35" s="77">
        <v>51</v>
      </c>
      <c r="M35" s="77">
        <v>13</v>
      </c>
      <c r="N35" s="77">
        <v>64</v>
      </c>
      <c r="O35" s="4">
        <v>48</v>
      </c>
      <c r="P35" s="4">
        <v>560</v>
      </c>
      <c r="Q35" s="2" t="s">
        <v>872</v>
      </c>
      <c r="R35" s="4">
        <v>30</v>
      </c>
      <c r="S35" s="4">
        <v>276</v>
      </c>
      <c r="T35" s="4">
        <v>13</v>
      </c>
      <c r="U35" s="4">
        <v>51</v>
      </c>
      <c r="V35" s="4">
        <v>20</v>
      </c>
      <c r="W35" s="77">
        <v>83</v>
      </c>
      <c r="X35" s="4">
        <v>3</v>
      </c>
      <c r="Y35" s="4">
        <v>45</v>
      </c>
      <c r="Z35" s="4">
        <v>84</v>
      </c>
      <c r="AA35" s="4">
        <v>739</v>
      </c>
      <c r="AB35" s="77">
        <f>Table4[[#This Row],[Total Attendance]]/Table4[[#This Row],[Total Events]]</f>
        <v>8.7976190476190474</v>
      </c>
      <c r="AC35" s="77">
        <f>Table4[[#This Row],[Total Attendance]]/AD35</f>
        <v>0.24325213956550362</v>
      </c>
      <c r="AD35" s="77">
        <v>3038</v>
      </c>
    </row>
    <row r="36" spans="1:30" ht="13.5" thickBot="1" x14ac:dyDescent="0.25">
      <c r="A36" s="2" t="s">
        <v>427</v>
      </c>
      <c r="B36" s="1" t="s">
        <v>426</v>
      </c>
      <c r="C36" s="2" t="s">
        <v>19</v>
      </c>
      <c r="D36" s="4">
        <v>0</v>
      </c>
      <c r="E36" s="4">
        <v>0</v>
      </c>
      <c r="F36" s="4">
        <v>1</v>
      </c>
      <c r="G36" s="4">
        <v>15</v>
      </c>
      <c r="H36" s="4">
        <v>1</v>
      </c>
      <c r="I36" s="4">
        <v>48</v>
      </c>
      <c r="J36" s="4">
        <v>0</v>
      </c>
      <c r="K36" s="4">
        <v>0</v>
      </c>
      <c r="L36" s="4">
        <v>48</v>
      </c>
      <c r="M36" s="4">
        <v>0</v>
      </c>
      <c r="N36" s="4">
        <v>48</v>
      </c>
      <c r="O36" s="4">
        <v>1</v>
      </c>
      <c r="P36" s="4">
        <v>48</v>
      </c>
      <c r="Q36" s="2" t="s">
        <v>873</v>
      </c>
      <c r="R36" s="77">
        <v>0</v>
      </c>
      <c r="S36" s="77">
        <v>0</v>
      </c>
      <c r="T36" s="4">
        <v>1</v>
      </c>
      <c r="U36" s="4">
        <v>15</v>
      </c>
      <c r="V36" s="4">
        <v>2</v>
      </c>
      <c r="W36" s="4">
        <v>30</v>
      </c>
      <c r="X36" s="4">
        <v>1</v>
      </c>
      <c r="Y36" s="4">
        <v>25</v>
      </c>
      <c r="Z36" s="4">
        <v>5</v>
      </c>
      <c r="AA36" s="4">
        <v>118</v>
      </c>
      <c r="AB36" s="77">
        <f>Table4[[#This Row],[Total Attendance]]/Table4[[#This Row],[Total Events]]</f>
        <v>23.6</v>
      </c>
      <c r="AC36" s="77">
        <f>Table4[[#This Row],[Total Attendance]]/AD36</f>
        <v>3.1635388739946382E-2</v>
      </c>
      <c r="AD36" s="77">
        <v>3730</v>
      </c>
    </row>
    <row r="37" spans="1:30" ht="13.5" thickBot="1" x14ac:dyDescent="0.25">
      <c r="A37" s="2" t="s">
        <v>433</v>
      </c>
      <c r="B37" s="1" t="s">
        <v>432</v>
      </c>
      <c r="C37" s="2" t="s">
        <v>19</v>
      </c>
      <c r="D37" s="4">
        <v>32</v>
      </c>
      <c r="E37" s="4">
        <v>219</v>
      </c>
      <c r="F37" s="4">
        <v>0</v>
      </c>
      <c r="G37" s="4">
        <v>0</v>
      </c>
      <c r="H37" s="4">
        <v>2</v>
      </c>
      <c r="I37" s="4">
        <v>59</v>
      </c>
      <c r="J37" s="4">
        <v>0</v>
      </c>
      <c r="K37" s="4">
        <v>0</v>
      </c>
      <c r="L37" s="4">
        <v>23</v>
      </c>
      <c r="M37" s="77">
        <v>0</v>
      </c>
      <c r="N37" s="4">
        <v>23</v>
      </c>
      <c r="O37" s="4">
        <v>34</v>
      </c>
      <c r="P37" s="4">
        <v>278</v>
      </c>
      <c r="Q37" s="2" t="s">
        <v>873</v>
      </c>
      <c r="R37" s="4">
        <v>0</v>
      </c>
      <c r="S37" s="4">
        <v>0</v>
      </c>
      <c r="T37" s="4">
        <v>0</v>
      </c>
      <c r="U37" s="4">
        <v>0</v>
      </c>
      <c r="V37" s="4">
        <v>8</v>
      </c>
      <c r="W37" s="4">
        <v>37</v>
      </c>
      <c r="X37" s="4">
        <v>0</v>
      </c>
      <c r="Y37" s="4">
        <v>0</v>
      </c>
      <c r="Z37" s="4">
        <v>42</v>
      </c>
      <c r="AA37" s="4">
        <v>315</v>
      </c>
      <c r="AB37" s="77">
        <f>Table4[[#This Row],[Total Attendance]]/Table4[[#This Row],[Total Events]]</f>
        <v>7.5</v>
      </c>
      <c r="AC37" s="77">
        <f>Table4[[#This Row],[Total Attendance]]/AD37</f>
        <v>0.11517367458866545</v>
      </c>
      <c r="AD37" s="77">
        <v>2735</v>
      </c>
    </row>
    <row r="38" spans="1:30" ht="13.5" thickBot="1" x14ac:dyDescent="0.25">
      <c r="A38" s="2" t="s">
        <v>435</v>
      </c>
      <c r="B38" s="1" t="s">
        <v>434</v>
      </c>
      <c r="C38" s="2" t="s">
        <v>19</v>
      </c>
      <c r="D38" s="4">
        <v>50</v>
      </c>
      <c r="E38" s="4">
        <v>532</v>
      </c>
      <c r="F38" s="4">
        <v>1</v>
      </c>
      <c r="G38" s="4">
        <v>7</v>
      </c>
      <c r="H38" s="4">
        <v>17</v>
      </c>
      <c r="I38" s="4">
        <v>317</v>
      </c>
      <c r="J38" s="4">
        <v>1</v>
      </c>
      <c r="K38" s="4">
        <v>15</v>
      </c>
      <c r="L38" s="77">
        <v>130</v>
      </c>
      <c r="M38" s="77">
        <v>10</v>
      </c>
      <c r="N38" s="77">
        <v>140</v>
      </c>
      <c r="O38" s="4">
        <v>67</v>
      </c>
      <c r="P38" s="4">
        <v>849</v>
      </c>
      <c r="Q38" s="2" t="s">
        <v>872</v>
      </c>
      <c r="R38" s="4">
        <v>11</v>
      </c>
      <c r="S38" s="4">
        <v>49</v>
      </c>
      <c r="T38" s="4">
        <v>2</v>
      </c>
      <c r="U38" s="4">
        <v>22</v>
      </c>
      <c r="V38" s="4">
        <v>22</v>
      </c>
      <c r="W38" s="77">
        <v>219</v>
      </c>
      <c r="X38" s="4">
        <v>0</v>
      </c>
      <c r="Y38" s="4">
        <v>0</v>
      </c>
      <c r="Z38" s="4">
        <v>91</v>
      </c>
      <c r="AA38" s="4">
        <v>1090</v>
      </c>
      <c r="AB38" s="77">
        <f>Table4[[#This Row],[Total Attendance]]/Table4[[#This Row],[Total Events]]</f>
        <v>11.978021978021978</v>
      </c>
      <c r="AC38" s="77">
        <f>Table4[[#This Row],[Total Attendance]]/AD38</f>
        <v>0.5736842105263158</v>
      </c>
      <c r="AD38" s="77">
        <v>1900</v>
      </c>
    </row>
    <row r="39" spans="1:30" ht="13.5" thickBot="1" x14ac:dyDescent="0.25">
      <c r="A39" s="2" t="s">
        <v>439</v>
      </c>
      <c r="B39" s="1" t="s">
        <v>438</v>
      </c>
      <c r="C39" s="2" t="s">
        <v>19</v>
      </c>
      <c r="D39" s="4">
        <v>38</v>
      </c>
      <c r="E39" s="4">
        <v>407</v>
      </c>
      <c r="F39" s="4">
        <v>0</v>
      </c>
      <c r="G39" s="4">
        <v>0</v>
      </c>
      <c r="H39" s="4">
        <v>20</v>
      </c>
      <c r="I39" s="4">
        <v>530</v>
      </c>
      <c r="J39" s="77">
        <v>0</v>
      </c>
      <c r="K39" s="77">
        <v>0</v>
      </c>
      <c r="L39" s="77">
        <v>11</v>
      </c>
      <c r="M39" s="77">
        <v>0</v>
      </c>
      <c r="N39" s="77">
        <v>11</v>
      </c>
      <c r="O39" s="4">
        <v>58</v>
      </c>
      <c r="P39" s="4">
        <v>937</v>
      </c>
      <c r="Q39" s="2" t="s">
        <v>872</v>
      </c>
      <c r="R39" s="4">
        <v>46</v>
      </c>
      <c r="S39" s="4">
        <v>492</v>
      </c>
      <c r="T39" s="4">
        <v>0</v>
      </c>
      <c r="U39" s="4">
        <v>0</v>
      </c>
      <c r="V39" s="77">
        <v>22</v>
      </c>
      <c r="W39" s="77">
        <v>716</v>
      </c>
      <c r="X39" s="77">
        <v>0</v>
      </c>
      <c r="Y39" s="77">
        <v>0</v>
      </c>
      <c r="Z39" s="4">
        <v>80</v>
      </c>
      <c r="AA39" s="4">
        <v>1653</v>
      </c>
      <c r="AB39" s="77">
        <f>Table4[[#This Row],[Total Attendance]]/Table4[[#This Row],[Total Events]]</f>
        <v>20.662500000000001</v>
      </c>
      <c r="AC39" s="77">
        <f>Table4[[#This Row],[Total Attendance]]/AD39</f>
        <v>0.81549087321164282</v>
      </c>
      <c r="AD39" s="77">
        <v>2027</v>
      </c>
    </row>
    <row r="40" spans="1:30" ht="13.5" thickBot="1" x14ac:dyDescent="0.25">
      <c r="A40" s="2" t="s">
        <v>449</v>
      </c>
      <c r="B40" s="1" t="s">
        <v>448</v>
      </c>
      <c r="C40" s="2" t="s">
        <v>19</v>
      </c>
      <c r="D40" s="4">
        <v>7</v>
      </c>
      <c r="E40" s="4">
        <v>30</v>
      </c>
      <c r="F40" s="4">
        <v>0</v>
      </c>
      <c r="G40" s="4">
        <v>0</v>
      </c>
      <c r="H40" s="4">
        <v>7</v>
      </c>
      <c r="I40" s="4">
        <v>30</v>
      </c>
      <c r="J40" s="4">
        <v>0</v>
      </c>
      <c r="K40" s="4">
        <v>0</v>
      </c>
      <c r="L40" s="4">
        <v>44</v>
      </c>
      <c r="M40" s="77">
        <v>0</v>
      </c>
      <c r="N40" s="4">
        <v>44</v>
      </c>
      <c r="O40" s="4">
        <v>14</v>
      </c>
      <c r="P40" s="4">
        <v>60</v>
      </c>
      <c r="Q40" s="2" t="s">
        <v>873</v>
      </c>
      <c r="R40" s="4">
        <v>0</v>
      </c>
      <c r="S40" s="4">
        <v>0</v>
      </c>
      <c r="T40" s="4">
        <v>0</v>
      </c>
      <c r="U40" s="4">
        <v>0</v>
      </c>
      <c r="V40" s="4">
        <v>0</v>
      </c>
      <c r="W40" s="4">
        <v>0</v>
      </c>
      <c r="X40" s="77">
        <v>0</v>
      </c>
      <c r="Y40" s="77">
        <v>0</v>
      </c>
      <c r="Z40" s="4">
        <v>14</v>
      </c>
      <c r="AA40" s="4">
        <v>60</v>
      </c>
      <c r="AB40" s="77">
        <f>Table4[[#This Row],[Total Attendance]]/Table4[[#This Row],[Total Events]]</f>
        <v>4.2857142857142856</v>
      </c>
      <c r="AC40" s="77">
        <f>Table4[[#This Row],[Total Attendance]]/AD40</f>
        <v>2.1164021164021163E-2</v>
      </c>
      <c r="AD40" s="77">
        <v>2835</v>
      </c>
    </row>
    <row r="41" spans="1:30" ht="13.5" thickBot="1" x14ac:dyDescent="0.25">
      <c r="A41" s="2" t="s">
        <v>455</v>
      </c>
      <c r="B41" s="1" t="s">
        <v>454</v>
      </c>
      <c r="C41" s="2" t="s">
        <v>19</v>
      </c>
      <c r="D41" s="77">
        <v>23</v>
      </c>
      <c r="E41" s="77">
        <v>530</v>
      </c>
      <c r="F41" s="77">
        <v>0</v>
      </c>
      <c r="G41" s="77">
        <v>0</v>
      </c>
      <c r="H41" s="77">
        <v>20</v>
      </c>
      <c r="I41" s="77">
        <v>507</v>
      </c>
      <c r="J41" s="77">
        <v>2</v>
      </c>
      <c r="K41" s="77">
        <v>14</v>
      </c>
      <c r="L41" s="77">
        <v>60</v>
      </c>
      <c r="M41" s="77">
        <v>6</v>
      </c>
      <c r="N41" s="77">
        <v>66</v>
      </c>
      <c r="O41" s="77">
        <v>43</v>
      </c>
      <c r="P41" s="77">
        <v>1037</v>
      </c>
      <c r="Q41" s="2" t="s">
        <v>873</v>
      </c>
      <c r="R41" s="77">
        <v>2</v>
      </c>
      <c r="S41" s="77">
        <v>51</v>
      </c>
      <c r="T41" s="77">
        <v>2</v>
      </c>
      <c r="U41" s="77">
        <v>14</v>
      </c>
      <c r="V41" s="77">
        <v>2</v>
      </c>
      <c r="W41" s="77">
        <v>61</v>
      </c>
      <c r="X41" s="77">
        <v>2</v>
      </c>
      <c r="Y41" s="77">
        <v>40</v>
      </c>
      <c r="Z41" s="77">
        <v>49</v>
      </c>
      <c r="AA41" s="77">
        <v>1152</v>
      </c>
      <c r="AB41" s="77">
        <f>Table4[[#This Row],[Total Attendance]]/Table4[[#This Row],[Total Events]]</f>
        <v>23.510204081632654</v>
      </c>
      <c r="AC41" s="77">
        <f>Table4[[#This Row],[Total Attendance]]/AD41</f>
        <v>0.4856661045531197</v>
      </c>
      <c r="AD41" s="77">
        <v>2372</v>
      </c>
    </row>
    <row r="42" spans="1:30" ht="13.5" thickBot="1" x14ac:dyDescent="0.25">
      <c r="A42" s="2" t="s">
        <v>469</v>
      </c>
      <c r="B42" s="1" t="s">
        <v>468</v>
      </c>
      <c r="C42" s="2" t="s">
        <v>19</v>
      </c>
      <c r="D42" s="4">
        <v>8</v>
      </c>
      <c r="E42" s="4">
        <v>124</v>
      </c>
      <c r="F42" s="4">
        <v>1</v>
      </c>
      <c r="G42" s="4">
        <v>8</v>
      </c>
      <c r="H42" s="4">
        <v>6</v>
      </c>
      <c r="I42" s="4">
        <v>512</v>
      </c>
      <c r="J42" s="4">
        <v>0</v>
      </c>
      <c r="K42" s="4">
        <v>0</v>
      </c>
      <c r="L42" s="4">
        <v>110</v>
      </c>
      <c r="M42" s="77">
        <v>0</v>
      </c>
      <c r="N42" s="4">
        <v>110</v>
      </c>
      <c r="O42" s="4">
        <v>14</v>
      </c>
      <c r="P42" s="4">
        <v>636</v>
      </c>
      <c r="Q42" s="2" t="s">
        <v>872</v>
      </c>
      <c r="R42" s="4">
        <v>2</v>
      </c>
      <c r="S42" s="4">
        <v>25</v>
      </c>
      <c r="T42" s="4">
        <v>1</v>
      </c>
      <c r="U42" s="4">
        <v>8</v>
      </c>
      <c r="V42" s="4">
        <v>6</v>
      </c>
      <c r="W42" s="4">
        <v>120</v>
      </c>
      <c r="X42" s="4">
        <v>2</v>
      </c>
      <c r="Y42" s="4">
        <v>130</v>
      </c>
      <c r="Z42" s="4">
        <v>23</v>
      </c>
      <c r="AA42" s="4">
        <v>894</v>
      </c>
      <c r="AB42" s="77">
        <f>Table4[[#This Row],[Total Attendance]]/Table4[[#This Row],[Total Events]]</f>
        <v>38.869565217391305</v>
      </c>
      <c r="AC42" s="77">
        <f>Table4[[#This Row],[Total Attendance]]/AD42</f>
        <v>0.24379601854376876</v>
      </c>
      <c r="AD42" s="77">
        <v>3667</v>
      </c>
    </row>
    <row r="43" spans="1:30" ht="13.5" thickBot="1" x14ac:dyDescent="0.25">
      <c r="A43" s="2" t="s">
        <v>476</v>
      </c>
      <c r="B43" s="1" t="s">
        <v>475</v>
      </c>
      <c r="C43" s="2" t="s">
        <v>19</v>
      </c>
      <c r="D43" s="4">
        <v>2</v>
      </c>
      <c r="E43" s="4">
        <v>173</v>
      </c>
      <c r="F43" s="4">
        <v>0</v>
      </c>
      <c r="G43" s="4">
        <v>0</v>
      </c>
      <c r="H43" s="4">
        <v>1</v>
      </c>
      <c r="I43" s="4">
        <v>73</v>
      </c>
      <c r="J43" s="4">
        <v>0</v>
      </c>
      <c r="K43" s="4">
        <v>0</v>
      </c>
      <c r="L43" s="77">
        <v>9</v>
      </c>
      <c r="M43" s="78" t="s">
        <v>16</v>
      </c>
      <c r="N43" s="77">
        <v>9</v>
      </c>
      <c r="O43" s="4">
        <v>3</v>
      </c>
      <c r="P43" s="4">
        <v>246</v>
      </c>
      <c r="Q43" s="2" t="s">
        <v>873</v>
      </c>
      <c r="R43" s="4">
        <v>0</v>
      </c>
      <c r="S43" s="4">
        <v>0</v>
      </c>
      <c r="T43" s="4">
        <v>0</v>
      </c>
      <c r="U43" s="4">
        <v>0</v>
      </c>
      <c r="V43" s="4">
        <v>8</v>
      </c>
      <c r="W43" s="4">
        <v>365</v>
      </c>
      <c r="X43" s="4">
        <v>1</v>
      </c>
      <c r="Y43" s="4">
        <v>76</v>
      </c>
      <c r="Z43" s="4">
        <v>12</v>
      </c>
      <c r="AA43" s="4">
        <v>687</v>
      </c>
      <c r="AB43" s="77">
        <f>Table4[[#This Row],[Total Attendance]]/Table4[[#This Row],[Total Events]]</f>
        <v>57.25</v>
      </c>
      <c r="AC43" s="77">
        <f>Table4[[#This Row],[Total Attendance]]/AD43</f>
        <v>1.3963414634146341</v>
      </c>
      <c r="AD43" s="77">
        <v>492</v>
      </c>
    </row>
    <row r="44" spans="1:30" ht="13.5" thickBot="1" x14ac:dyDescent="0.25">
      <c r="A44" s="2" t="s">
        <v>492</v>
      </c>
      <c r="B44" s="1" t="s">
        <v>491</v>
      </c>
      <c r="C44" s="2" t="s">
        <v>19</v>
      </c>
      <c r="D44" s="4">
        <v>2</v>
      </c>
      <c r="E44" s="4">
        <v>11</v>
      </c>
      <c r="F44" s="4">
        <v>0</v>
      </c>
      <c r="G44" s="4">
        <v>0</v>
      </c>
      <c r="H44" s="4">
        <v>6</v>
      </c>
      <c r="I44" s="4">
        <v>39</v>
      </c>
      <c r="J44" s="77">
        <v>0</v>
      </c>
      <c r="K44" s="77">
        <v>0</v>
      </c>
      <c r="L44" s="4">
        <v>43</v>
      </c>
      <c r="M44" s="77">
        <v>0</v>
      </c>
      <c r="N44" s="4">
        <v>43</v>
      </c>
      <c r="O44" s="4">
        <v>8</v>
      </c>
      <c r="P44" s="4">
        <v>50</v>
      </c>
      <c r="Q44" s="2" t="s">
        <v>872</v>
      </c>
      <c r="R44" s="77">
        <v>2</v>
      </c>
      <c r="S44" s="77">
        <v>7</v>
      </c>
      <c r="T44" s="4">
        <v>0</v>
      </c>
      <c r="U44" s="4">
        <v>0</v>
      </c>
      <c r="V44" s="4">
        <v>0</v>
      </c>
      <c r="W44" s="77">
        <v>0</v>
      </c>
      <c r="X44" s="77">
        <v>0</v>
      </c>
      <c r="Y44" s="77">
        <v>0</v>
      </c>
      <c r="Z44" s="4">
        <v>8</v>
      </c>
      <c r="AA44" s="4">
        <v>50</v>
      </c>
      <c r="AB44" s="77">
        <f>Table4[[#This Row],[Total Attendance]]/Table4[[#This Row],[Total Events]]</f>
        <v>6.25</v>
      </c>
      <c r="AC44" s="77">
        <f>Table4[[#This Row],[Total Attendance]]/AD44</f>
        <v>1.6051364365971106E-2</v>
      </c>
      <c r="AD44" s="77">
        <v>3115</v>
      </c>
    </row>
    <row r="45" spans="1:30" ht="13.5" thickBot="1" x14ac:dyDescent="0.25">
      <c r="A45" s="2" t="s">
        <v>508</v>
      </c>
      <c r="B45" s="1" t="s">
        <v>507</v>
      </c>
      <c r="C45" s="2" t="s">
        <v>19</v>
      </c>
      <c r="D45" s="4">
        <v>0</v>
      </c>
      <c r="E45" s="4">
        <v>0</v>
      </c>
      <c r="F45" s="4">
        <v>0</v>
      </c>
      <c r="G45" s="4">
        <v>0</v>
      </c>
      <c r="H45" s="4">
        <v>0</v>
      </c>
      <c r="I45" s="4">
        <v>0</v>
      </c>
      <c r="J45" s="77">
        <v>0</v>
      </c>
      <c r="K45" s="77">
        <v>0</v>
      </c>
      <c r="L45" s="78" t="s">
        <v>16</v>
      </c>
      <c r="M45" s="78" t="s">
        <v>16</v>
      </c>
      <c r="N45" s="78" t="s">
        <v>16</v>
      </c>
      <c r="O45" s="4">
        <v>0</v>
      </c>
      <c r="P45" s="4">
        <v>0</v>
      </c>
      <c r="Q45" s="2" t="s">
        <v>873</v>
      </c>
      <c r="R45" s="77">
        <v>0</v>
      </c>
      <c r="S45" s="77">
        <v>0</v>
      </c>
      <c r="T45" s="4">
        <v>0</v>
      </c>
      <c r="U45" s="4">
        <v>0</v>
      </c>
      <c r="V45" s="4">
        <v>0</v>
      </c>
      <c r="W45" s="4">
        <v>0</v>
      </c>
      <c r="X45" s="4">
        <v>0</v>
      </c>
      <c r="Y45" s="4">
        <v>0</v>
      </c>
      <c r="Z45" s="4">
        <v>0</v>
      </c>
      <c r="AA45" s="4">
        <v>0</v>
      </c>
      <c r="AB45" s="77">
        <v>0</v>
      </c>
      <c r="AC45" s="77">
        <f>Table4[[#This Row],[Total Attendance]]/AD45</f>
        <v>0</v>
      </c>
      <c r="AD45" s="77">
        <v>2440</v>
      </c>
    </row>
    <row r="46" spans="1:30" ht="13.5" thickBot="1" x14ac:dyDescent="0.25">
      <c r="A46" s="2" t="s">
        <v>516</v>
      </c>
      <c r="B46" s="1" t="s">
        <v>515</v>
      </c>
      <c r="C46" s="2" t="s">
        <v>19</v>
      </c>
      <c r="D46" s="4">
        <v>30</v>
      </c>
      <c r="E46" s="4">
        <v>155</v>
      </c>
      <c r="F46" s="4">
        <v>0</v>
      </c>
      <c r="G46" s="4">
        <v>0</v>
      </c>
      <c r="H46" s="4">
        <v>1</v>
      </c>
      <c r="I46" s="4">
        <v>28</v>
      </c>
      <c r="J46" s="4">
        <v>0</v>
      </c>
      <c r="K46" s="4">
        <v>0</v>
      </c>
      <c r="L46" s="4">
        <v>72</v>
      </c>
      <c r="M46" s="4">
        <v>6</v>
      </c>
      <c r="N46" s="4">
        <v>78</v>
      </c>
      <c r="O46" s="4">
        <v>31</v>
      </c>
      <c r="P46" s="4">
        <v>183</v>
      </c>
      <c r="Q46" s="2" t="s">
        <v>872</v>
      </c>
      <c r="R46" s="77">
        <v>10</v>
      </c>
      <c r="S46" s="77">
        <v>100</v>
      </c>
      <c r="T46" s="4">
        <v>0</v>
      </c>
      <c r="U46" s="4">
        <v>0</v>
      </c>
      <c r="V46" s="4">
        <v>31</v>
      </c>
      <c r="W46" s="4">
        <v>214</v>
      </c>
      <c r="X46" s="4">
        <v>2</v>
      </c>
      <c r="Y46" s="4">
        <v>24</v>
      </c>
      <c r="Z46" s="4">
        <v>64</v>
      </c>
      <c r="AA46" s="4">
        <v>421</v>
      </c>
      <c r="AB46" s="77">
        <f>Table4[[#This Row],[Total Attendance]]/Table4[[#This Row],[Total Events]]</f>
        <v>6.578125</v>
      </c>
      <c r="AC46" s="77">
        <f>Table4[[#This Row],[Total Attendance]]/AD46</f>
        <v>0.12263326536556947</v>
      </c>
      <c r="AD46" s="77">
        <v>3433</v>
      </c>
    </row>
    <row r="47" spans="1:30" ht="13.5" thickBot="1" x14ac:dyDescent="0.25">
      <c r="A47" s="2" t="s">
        <v>536</v>
      </c>
      <c r="B47" s="1" t="s">
        <v>535</v>
      </c>
      <c r="C47" s="2" t="s">
        <v>19</v>
      </c>
      <c r="D47" s="77">
        <v>1</v>
      </c>
      <c r="E47" s="77">
        <v>14</v>
      </c>
      <c r="F47" s="77">
        <v>0</v>
      </c>
      <c r="G47" s="77">
        <v>0</v>
      </c>
      <c r="H47" s="77">
        <v>1</v>
      </c>
      <c r="I47" s="77">
        <v>14</v>
      </c>
      <c r="J47" s="77">
        <v>0</v>
      </c>
      <c r="K47" s="77">
        <v>0</v>
      </c>
      <c r="L47" s="77">
        <v>13</v>
      </c>
      <c r="M47" s="77">
        <v>8</v>
      </c>
      <c r="N47" s="77">
        <v>21</v>
      </c>
      <c r="O47" s="77">
        <v>2</v>
      </c>
      <c r="P47" s="77">
        <v>28</v>
      </c>
      <c r="Q47" s="2" t="s">
        <v>873</v>
      </c>
      <c r="R47" s="77">
        <v>0</v>
      </c>
      <c r="S47" s="77">
        <v>0</v>
      </c>
      <c r="T47" s="77">
        <v>0</v>
      </c>
      <c r="U47" s="77">
        <v>0</v>
      </c>
      <c r="V47" s="77">
        <v>3</v>
      </c>
      <c r="W47" s="77">
        <v>15</v>
      </c>
      <c r="X47" s="78" t="s">
        <v>16</v>
      </c>
      <c r="Y47" s="78" t="s">
        <v>16</v>
      </c>
      <c r="Z47" s="77">
        <v>5</v>
      </c>
      <c r="AA47" s="77">
        <v>43</v>
      </c>
      <c r="AB47" s="77">
        <f>Table4[[#This Row],[Total Attendance]]/Table4[[#This Row],[Total Events]]</f>
        <v>8.6</v>
      </c>
      <c r="AC47" s="77">
        <f>Table4[[#This Row],[Total Attendance]]/AD47</f>
        <v>2.3268398268398268E-2</v>
      </c>
      <c r="AD47" s="77">
        <v>1848</v>
      </c>
    </row>
    <row r="48" spans="1:30" ht="13.5" thickBot="1" x14ac:dyDescent="0.25">
      <c r="A48" s="2" t="s">
        <v>552</v>
      </c>
      <c r="B48" s="1" t="s">
        <v>551</v>
      </c>
      <c r="C48" s="2" t="s">
        <v>19</v>
      </c>
      <c r="D48" s="4">
        <v>25</v>
      </c>
      <c r="E48" s="4">
        <v>490</v>
      </c>
      <c r="F48" s="4">
        <v>8</v>
      </c>
      <c r="G48" s="4">
        <v>48</v>
      </c>
      <c r="H48" s="4">
        <v>13</v>
      </c>
      <c r="I48" s="4">
        <v>450</v>
      </c>
      <c r="J48" s="4">
        <v>4</v>
      </c>
      <c r="K48" s="4">
        <v>16</v>
      </c>
      <c r="L48" s="77">
        <v>200</v>
      </c>
      <c r="M48" s="77">
        <v>15</v>
      </c>
      <c r="N48" s="77">
        <v>215</v>
      </c>
      <c r="O48" s="4">
        <v>38</v>
      </c>
      <c r="P48" s="4">
        <v>940</v>
      </c>
      <c r="Q48" s="2" t="s">
        <v>872</v>
      </c>
      <c r="R48" s="4">
        <v>18</v>
      </c>
      <c r="S48" s="4">
        <v>126</v>
      </c>
      <c r="T48" s="4">
        <v>12</v>
      </c>
      <c r="U48" s="4">
        <v>64</v>
      </c>
      <c r="V48" s="4">
        <v>57</v>
      </c>
      <c r="W48" s="4">
        <v>588</v>
      </c>
      <c r="X48" s="77">
        <v>2</v>
      </c>
      <c r="Y48" s="77">
        <v>230</v>
      </c>
      <c r="Z48" s="4">
        <v>109</v>
      </c>
      <c r="AA48" s="4">
        <v>1822</v>
      </c>
      <c r="AB48" s="77">
        <f>Table4[[#This Row],[Total Attendance]]/Table4[[#This Row],[Total Events]]</f>
        <v>16.715596330275229</v>
      </c>
      <c r="AC48" s="77">
        <f>Table4[[#This Row],[Total Attendance]]/AD48</f>
        <v>0.49986282578875174</v>
      </c>
      <c r="AD48" s="77">
        <v>3645</v>
      </c>
    </row>
    <row r="49" spans="1:30" ht="13.5" thickBot="1" x14ac:dyDescent="0.25">
      <c r="A49" s="2" t="s">
        <v>566</v>
      </c>
      <c r="B49" s="1" t="s">
        <v>565</v>
      </c>
      <c r="C49" s="2" t="s">
        <v>19</v>
      </c>
      <c r="D49" s="4">
        <v>45</v>
      </c>
      <c r="E49" s="4">
        <v>282</v>
      </c>
      <c r="F49" s="4">
        <v>0</v>
      </c>
      <c r="G49" s="4">
        <v>0</v>
      </c>
      <c r="H49" s="4">
        <v>11</v>
      </c>
      <c r="I49" s="4">
        <v>124</v>
      </c>
      <c r="J49" s="78" t="s">
        <v>16</v>
      </c>
      <c r="K49" s="78" t="s">
        <v>16</v>
      </c>
      <c r="L49" s="4">
        <v>21</v>
      </c>
      <c r="M49" s="78" t="s">
        <v>16</v>
      </c>
      <c r="N49" s="4">
        <v>21</v>
      </c>
      <c r="O49" s="4">
        <v>56</v>
      </c>
      <c r="P49" s="4">
        <v>406</v>
      </c>
      <c r="Q49" s="2" t="s">
        <v>872</v>
      </c>
      <c r="R49" s="4">
        <v>40</v>
      </c>
      <c r="S49" s="4">
        <v>200</v>
      </c>
      <c r="T49" s="4">
        <v>0</v>
      </c>
      <c r="U49" s="4">
        <v>0</v>
      </c>
      <c r="V49" s="4">
        <v>16</v>
      </c>
      <c r="W49" s="4">
        <v>110</v>
      </c>
      <c r="X49" s="4">
        <v>3</v>
      </c>
      <c r="Y49" s="4">
        <v>312</v>
      </c>
      <c r="Z49" s="4">
        <v>75</v>
      </c>
      <c r="AA49" s="4">
        <v>828</v>
      </c>
      <c r="AB49" s="77">
        <f>Table4[[#This Row],[Total Attendance]]/Table4[[#This Row],[Total Events]]</f>
        <v>11.04</v>
      </c>
      <c r="AC49" s="77">
        <f>Table4[[#This Row],[Total Attendance]]/AD49</f>
        <v>0.22506115792334874</v>
      </c>
      <c r="AD49" s="77">
        <v>3679</v>
      </c>
    </row>
    <row r="50" spans="1:30" ht="13.5" thickBot="1" x14ac:dyDescent="0.25">
      <c r="A50" s="2" t="s">
        <v>570</v>
      </c>
      <c r="B50" s="1" t="s">
        <v>569</v>
      </c>
      <c r="C50" s="2" t="s">
        <v>19</v>
      </c>
      <c r="D50" s="4">
        <v>1</v>
      </c>
      <c r="E50" s="4">
        <v>40</v>
      </c>
      <c r="F50" s="4">
        <v>0</v>
      </c>
      <c r="G50" s="4">
        <v>0</v>
      </c>
      <c r="H50" s="4">
        <v>0</v>
      </c>
      <c r="I50" s="4">
        <v>0</v>
      </c>
      <c r="J50" s="4">
        <v>0</v>
      </c>
      <c r="K50" s="4">
        <v>0</v>
      </c>
      <c r="L50" s="4">
        <v>0</v>
      </c>
      <c r="M50" s="77">
        <v>0</v>
      </c>
      <c r="N50" s="4">
        <v>0</v>
      </c>
      <c r="O50" s="4">
        <v>1</v>
      </c>
      <c r="P50" s="4">
        <v>40</v>
      </c>
      <c r="Q50" s="2" t="s">
        <v>873</v>
      </c>
      <c r="R50" s="4">
        <v>0</v>
      </c>
      <c r="S50" s="4">
        <v>0</v>
      </c>
      <c r="T50" s="4">
        <v>0</v>
      </c>
      <c r="U50" s="4">
        <v>0</v>
      </c>
      <c r="V50" s="4">
        <v>0</v>
      </c>
      <c r="W50" s="4">
        <v>0</v>
      </c>
      <c r="X50" s="77">
        <v>0</v>
      </c>
      <c r="Y50" s="77">
        <v>0</v>
      </c>
      <c r="Z50" s="4">
        <v>1</v>
      </c>
      <c r="AA50" s="4">
        <v>40</v>
      </c>
      <c r="AB50" s="77">
        <f>Table4[[#This Row],[Total Attendance]]/Table4[[#This Row],[Total Events]]</f>
        <v>40</v>
      </c>
      <c r="AC50" s="77">
        <f>Table4[[#This Row],[Total Attendance]]/AD50</f>
        <v>2.185792349726776E-2</v>
      </c>
      <c r="AD50" s="77">
        <v>1830</v>
      </c>
    </row>
    <row r="51" spans="1:30" ht="13.5" thickBot="1" x14ac:dyDescent="0.25">
      <c r="A51" s="2" t="s">
        <v>592</v>
      </c>
      <c r="B51" s="1" t="s">
        <v>591</v>
      </c>
      <c r="C51" s="2" t="s">
        <v>19</v>
      </c>
      <c r="D51" s="77">
        <v>47</v>
      </c>
      <c r="E51" s="77">
        <v>1112</v>
      </c>
      <c r="F51" s="77">
        <v>4</v>
      </c>
      <c r="G51" s="77">
        <v>183</v>
      </c>
      <c r="H51" s="77">
        <v>13</v>
      </c>
      <c r="I51" s="77">
        <v>266</v>
      </c>
      <c r="J51" s="77">
        <v>1</v>
      </c>
      <c r="K51" s="77">
        <v>20</v>
      </c>
      <c r="L51" s="77">
        <v>73</v>
      </c>
      <c r="M51" s="77">
        <v>40</v>
      </c>
      <c r="N51" s="77">
        <v>113</v>
      </c>
      <c r="O51" s="77">
        <v>60</v>
      </c>
      <c r="P51" s="77">
        <v>1378</v>
      </c>
      <c r="Q51" s="2" t="s">
        <v>872</v>
      </c>
      <c r="R51" s="77">
        <v>32</v>
      </c>
      <c r="S51" s="77">
        <v>218</v>
      </c>
      <c r="T51" s="77">
        <v>5</v>
      </c>
      <c r="U51" s="77">
        <v>203</v>
      </c>
      <c r="V51" s="77">
        <v>23</v>
      </c>
      <c r="W51" s="77">
        <v>352</v>
      </c>
      <c r="X51" s="77">
        <v>62</v>
      </c>
      <c r="Y51" s="77">
        <v>326</v>
      </c>
      <c r="Z51" s="77">
        <v>150</v>
      </c>
      <c r="AA51" s="77">
        <v>2259</v>
      </c>
      <c r="AB51" s="77">
        <f>Table4[[#This Row],[Total Attendance]]/Table4[[#This Row],[Total Events]]</f>
        <v>15.06</v>
      </c>
      <c r="AC51" s="77">
        <f>Table4[[#This Row],[Total Attendance]]/AD51</f>
        <v>1.1650335224342445</v>
      </c>
      <c r="AD51" s="77">
        <v>1939</v>
      </c>
    </row>
    <row r="52" spans="1:30" ht="13.5" thickBot="1" x14ac:dyDescent="0.25">
      <c r="A52" s="2" t="s">
        <v>612</v>
      </c>
      <c r="B52" s="1" t="s">
        <v>611</v>
      </c>
      <c r="C52" s="2" t="s">
        <v>19</v>
      </c>
      <c r="D52" s="4">
        <v>5</v>
      </c>
      <c r="E52" s="4">
        <v>90</v>
      </c>
      <c r="F52" s="4">
        <v>0</v>
      </c>
      <c r="G52" s="4">
        <v>0</v>
      </c>
      <c r="H52" s="4">
        <v>1</v>
      </c>
      <c r="I52" s="4">
        <v>35</v>
      </c>
      <c r="J52" s="77">
        <v>0</v>
      </c>
      <c r="K52" s="77">
        <v>0</v>
      </c>
      <c r="L52" s="4">
        <v>45</v>
      </c>
      <c r="M52" s="77">
        <v>0</v>
      </c>
      <c r="N52" s="4">
        <v>45</v>
      </c>
      <c r="O52" s="4">
        <v>6</v>
      </c>
      <c r="P52" s="4">
        <v>125</v>
      </c>
      <c r="Q52" s="2" t="s">
        <v>872</v>
      </c>
      <c r="R52" s="4">
        <v>1</v>
      </c>
      <c r="S52" s="4">
        <v>7</v>
      </c>
      <c r="T52" s="4">
        <v>0</v>
      </c>
      <c r="U52" s="4">
        <v>0</v>
      </c>
      <c r="V52" s="4">
        <v>4</v>
      </c>
      <c r="W52" s="4">
        <v>50</v>
      </c>
      <c r="X52" s="4">
        <v>1</v>
      </c>
      <c r="Y52" s="4">
        <v>9</v>
      </c>
      <c r="Z52" s="4">
        <v>11</v>
      </c>
      <c r="AA52" s="4">
        <v>184</v>
      </c>
      <c r="AB52" s="77">
        <f>Table4[[#This Row],[Total Attendance]]/Table4[[#This Row],[Total Events]]</f>
        <v>16.727272727272727</v>
      </c>
      <c r="AC52" s="77">
        <f>Table4[[#This Row],[Total Attendance]]/AD52</f>
        <v>3.6558712497516389E-2</v>
      </c>
      <c r="AD52" s="77">
        <v>5033</v>
      </c>
    </row>
    <row r="53" spans="1:30" ht="13.5" thickBot="1" x14ac:dyDescent="0.25">
      <c r="A53" s="2" t="s">
        <v>632</v>
      </c>
      <c r="B53" s="1" t="s">
        <v>631</v>
      </c>
      <c r="C53" s="2" t="s">
        <v>19</v>
      </c>
      <c r="D53" s="4">
        <v>16</v>
      </c>
      <c r="E53" s="4">
        <v>184</v>
      </c>
      <c r="F53" s="4">
        <v>1</v>
      </c>
      <c r="G53" s="4">
        <v>0</v>
      </c>
      <c r="H53" s="4">
        <v>7</v>
      </c>
      <c r="I53" s="4">
        <v>158</v>
      </c>
      <c r="J53" s="77">
        <v>0</v>
      </c>
      <c r="K53" s="77">
        <v>0</v>
      </c>
      <c r="L53" s="4">
        <v>55</v>
      </c>
      <c r="M53" s="77">
        <v>6</v>
      </c>
      <c r="N53" s="4">
        <v>61</v>
      </c>
      <c r="O53" s="4">
        <v>23</v>
      </c>
      <c r="P53" s="4">
        <v>342</v>
      </c>
      <c r="Q53" s="2" t="s">
        <v>872</v>
      </c>
      <c r="R53" s="4">
        <v>2</v>
      </c>
      <c r="S53" s="4">
        <v>10</v>
      </c>
      <c r="T53" s="4">
        <v>1</v>
      </c>
      <c r="U53" s="4">
        <v>0</v>
      </c>
      <c r="V53" s="4">
        <v>4</v>
      </c>
      <c r="W53" s="4">
        <v>42</v>
      </c>
      <c r="X53" s="4">
        <v>1</v>
      </c>
      <c r="Y53" s="4">
        <v>8</v>
      </c>
      <c r="Z53" s="4">
        <v>29</v>
      </c>
      <c r="AA53" s="4">
        <v>392</v>
      </c>
      <c r="AB53" s="77">
        <f>Table4[[#This Row],[Total Attendance]]/Table4[[#This Row],[Total Events]]</f>
        <v>13.517241379310345</v>
      </c>
      <c r="AC53" s="77">
        <f>Table4[[#This Row],[Total Attendance]]/AD53</f>
        <v>0.10484086654185611</v>
      </c>
      <c r="AD53" s="77">
        <v>3739</v>
      </c>
    </row>
    <row r="54" spans="1:30" ht="13.5" thickBot="1" x14ac:dyDescent="0.25">
      <c r="A54" s="2" t="s">
        <v>642</v>
      </c>
      <c r="B54" s="1" t="s">
        <v>641</v>
      </c>
      <c r="C54" s="2" t="s">
        <v>19</v>
      </c>
      <c r="D54" s="77">
        <v>0</v>
      </c>
      <c r="E54" s="77">
        <v>0</v>
      </c>
      <c r="F54" s="77">
        <v>0</v>
      </c>
      <c r="G54" s="77">
        <v>0</v>
      </c>
      <c r="H54" s="77">
        <v>0</v>
      </c>
      <c r="I54" s="77">
        <v>0</v>
      </c>
      <c r="J54" s="77">
        <v>0</v>
      </c>
      <c r="K54" s="77">
        <v>0</v>
      </c>
      <c r="L54" s="77">
        <v>4</v>
      </c>
      <c r="M54" s="77">
        <v>0</v>
      </c>
      <c r="N54" s="77">
        <v>4</v>
      </c>
      <c r="O54" s="77">
        <v>0</v>
      </c>
      <c r="P54" s="77">
        <v>0</v>
      </c>
      <c r="Q54" s="2" t="s">
        <v>873</v>
      </c>
      <c r="R54" s="77">
        <v>0</v>
      </c>
      <c r="S54" s="77">
        <v>0</v>
      </c>
      <c r="T54" s="77">
        <v>0</v>
      </c>
      <c r="U54" s="77">
        <v>0</v>
      </c>
      <c r="V54" s="77">
        <v>0</v>
      </c>
      <c r="W54" s="77">
        <v>0</v>
      </c>
      <c r="X54" s="77">
        <v>0</v>
      </c>
      <c r="Y54" s="77">
        <v>0</v>
      </c>
      <c r="Z54" s="77">
        <v>0</v>
      </c>
      <c r="AA54" s="77">
        <v>0</v>
      </c>
      <c r="AB54" s="77">
        <v>0</v>
      </c>
      <c r="AC54" s="77">
        <f>Table4[[#This Row],[Total Attendance]]/AD54</f>
        <v>0</v>
      </c>
      <c r="AD54" s="77">
        <v>1508</v>
      </c>
    </row>
    <row r="55" spans="1:30" ht="13.5" thickBot="1" x14ac:dyDescent="0.25">
      <c r="A55" s="2" t="s">
        <v>644</v>
      </c>
      <c r="B55" s="1" t="s">
        <v>643</v>
      </c>
      <c r="C55" s="2" t="s">
        <v>19</v>
      </c>
      <c r="D55" s="4">
        <v>33</v>
      </c>
      <c r="E55" s="4">
        <v>647</v>
      </c>
      <c r="F55" s="4">
        <v>0</v>
      </c>
      <c r="G55" s="4">
        <v>0</v>
      </c>
      <c r="H55" s="4">
        <v>1</v>
      </c>
      <c r="I55" s="4">
        <v>48</v>
      </c>
      <c r="J55" s="77">
        <v>1</v>
      </c>
      <c r="K55" s="77">
        <v>0</v>
      </c>
      <c r="L55" s="4">
        <v>10</v>
      </c>
      <c r="M55" s="77">
        <v>5</v>
      </c>
      <c r="N55" s="4">
        <v>15</v>
      </c>
      <c r="O55" s="4">
        <v>34</v>
      </c>
      <c r="P55" s="4">
        <v>695</v>
      </c>
      <c r="Q55" s="2" t="s">
        <v>872</v>
      </c>
      <c r="R55" s="4">
        <v>10</v>
      </c>
      <c r="S55" s="4">
        <v>57</v>
      </c>
      <c r="T55" s="4">
        <v>1</v>
      </c>
      <c r="U55" s="4">
        <v>0</v>
      </c>
      <c r="V55" s="77">
        <v>19</v>
      </c>
      <c r="W55" s="77">
        <v>381</v>
      </c>
      <c r="X55" s="77">
        <v>16</v>
      </c>
      <c r="Y55" s="77">
        <v>252</v>
      </c>
      <c r="Z55" s="4">
        <v>70</v>
      </c>
      <c r="AA55" s="4">
        <v>1328</v>
      </c>
      <c r="AB55" s="77">
        <f>Table4[[#This Row],[Total Attendance]]/Table4[[#This Row],[Total Events]]</f>
        <v>18.971428571428572</v>
      </c>
      <c r="AC55" s="77">
        <f>Table4[[#This Row],[Total Attendance]]/AD55</f>
        <v>0.35593674618064863</v>
      </c>
      <c r="AD55" s="77">
        <v>3731</v>
      </c>
    </row>
    <row r="56" spans="1:30" ht="13.5" thickBot="1" x14ac:dyDescent="0.25">
      <c r="A56" s="2" t="s">
        <v>650</v>
      </c>
      <c r="B56" s="1" t="s">
        <v>649</v>
      </c>
      <c r="C56" s="2" t="s">
        <v>19</v>
      </c>
      <c r="D56" s="4">
        <v>24</v>
      </c>
      <c r="E56" s="4">
        <v>247</v>
      </c>
      <c r="F56" s="4">
        <v>0</v>
      </c>
      <c r="G56" s="4">
        <v>0</v>
      </c>
      <c r="H56" s="4">
        <v>4</v>
      </c>
      <c r="I56" s="4">
        <v>170</v>
      </c>
      <c r="J56" s="4">
        <v>0</v>
      </c>
      <c r="K56" s="4">
        <v>0</v>
      </c>
      <c r="L56" s="4">
        <v>56</v>
      </c>
      <c r="M56" s="4">
        <v>0</v>
      </c>
      <c r="N56" s="4">
        <v>56</v>
      </c>
      <c r="O56" s="4">
        <v>28</v>
      </c>
      <c r="P56" s="4">
        <v>417</v>
      </c>
      <c r="Q56" s="2" t="s">
        <v>872</v>
      </c>
      <c r="R56" s="4">
        <v>28</v>
      </c>
      <c r="S56" s="4">
        <v>247</v>
      </c>
      <c r="T56" s="4">
        <v>0</v>
      </c>
      <c r="U56" s="4">
        <v>0</v>
      </c>
      <c r="V56" s="4">
        <v>11</v>
      </c>
      <c r="W56" s="4">
        <v>60</v>
      </c>
      <c r="X56" s="77">
        <v>1</v>
      </c>
      <c r="Y56" s="77">
        <v>180</v>
      </c>
      <c r="Z56" s="4">
        <v>40</v>
      </c>
      <c r="AA56" s="4">
        <v>657</v>
      </c>
      <c r="AB56" s="77">
        <f>Table4[[#This Row],[Total Attendance]]/Table4[[#This Row],[Total Events]]</f>
        <v>16.425000000000001</v>
      </c>
      <c r="AC56" s="77">
        <f>Table4[[#This Row],[Total Attendance]]/AD56</f>
        <v>0.17882416984213392</v>
      </c>
      <c r="AD56" s="77">
        <v>3674</v>
      </c>
    </row>
    <row r="57" spans="1:30" ht="13.5" thickBot="1" x14ac:dyDescent="0.25">
      <c r="A57" s="2" t="s">
        <v>652</v>
      </c>
      <c r="B57" s="1" t="s">
        <v>651</v>
      </c>
      <c r="C57" s="2" t="s">
        <v>19</v>
      </c>
      <c r="D57" s="77">
        <v>2</v>
      </c>
      <c r="E57" s="77">
        <v>6</v>
      </c>
      <c r="F57" s="77">
        <v>2</v>
      </c>
      <c r="G57" s="77">
        <v>17</v>
      </c>
      <c r="H57" s="77">
        <v>6</v>
      </c>
      <c r="I57" s="77">
        <v>273</v>
      </c>
      <c r="J57" s="77">
        <v>4</v>
      </c>
      <c r="K57" s="77">
        <v>46</v>
      </c>
      <c r="L57" s="77">
        <v>68</v>
      </c>
      <c r="M57" s="77">
        <v>16</v>
      </c>
      <c r="N57" s="77">
        <v>84</v>
      </c>
      <c r="O57" s="77">
        <v>8</v>
      </c>
      <c r="P57" s="77">
        <v>279</v>
      </c>
      <c r="Q57" s="2" t="s">
        <v>872</v>
      </c>
      <c r="R57" s="77">
        <v>8</v>
      </c>
      <c r="S57" s="77">
        <v>279</v>
      </c>
      <c r="T57" s="77">
        <v>6</v>
      </c>
      <c r="U57" s="77">
        <v>63</v>
      </c>
      <c r="V57" s="77">
        <v>9</v>
      </c>
      <c r="W57" s="77">
        <v>128</v>
      </c>
      <c r="X57" s="77">
        <v>12</v>
      </c>
      <c r="Y57" s="77">
        <v>93</v>
      </c>
      <c r="Z57" s="77">
        <v>35</v>
      </c>
      <c r="AA57" s="77">
        <v>563</v>
      </c>
      <c r="AB57" s="77">
        <f>Table4[[#This Row],[Total Attendance]]/Table4[[#This Row],[Total Events]]</f>
        <v>16.085714285714285</v>
      </c>
      <c r="AC57" s="77">
        <f>Table4[[#This Row],[Total Attendance]]/AD57</f>
        <v>0.63832199546485258</v>
      </c>
      <c r="AD57" s="77">
        <v>882</v>
      </c>
    </row>
    <row r="58" spans="1:30" ht="13.5" thickBot="1" x14ac:dyDescent="0.25">
      <c r="A58" s="2" t="s">
        <v>672</v>
      </c>
      <c r="B58" s="1" t="s">
        <v>671</v>
      </c>
      <c r="C58" s="2" t="s">
        <v>19</v>
      </c>
      <c r="D58" s="4">
        <v>8</v>
      </c>
      <c r="E58" s="4">
        <v>295</v>
      </c>
      <c r="F58" s="4">
        <v>1</v>
      </c>
      <c r="G58" s="4">
        <v>2</v>
      </c>
      <c r="H58" s="4">
        <v>3</v>
      </c>
      <c r="I58" s="4">
        <v>51</v>
      </c>
      <c r="J58" s="77">
        <v>1</v>
      </c>
      <c r="K58" s="77">
        <v>3</v>
      </c>
      <c r="L58" s="4">
        <v>37</v>
      </c>
      <c r="M58" s="77">
        <v>0</v>
      </c>
      <c r="N58" s="4">
        <v>37</v>
      </c>
      <c r="O58" s="4">
        <v>11</v>
      </c>
      <c r="P58" s="4">
        <v>346</v>
      </c>
      <c r="Q58" s="2" t="s">
        <v>872</v>
      </c>
      <c r="R58" s="4">
        <v>3</v>
      </c>
      <c r="S58" s="4">
        <v>3</v>
      </c>
      <c r="T58" s="4">
        <v>2</v>
      </c>
      <c r="U58" s="4">
        <v>5</v>
      </c>
      <c r="V58" s="4">
        <v>4</v>
      </c>
      <c r="W58" s="4">
        <v>20</v>
      </c>
      <c r="X58" s="4">
        <v>0</v>
      </c>
      <c r="Y58" s="4">
        <v>0</v>
      </c>
      <c r="Z58" s="4">
        <v>17</v>
      </c>
      <c r="AA58" s="4">
        <v>371</v>
      </c>
      <c r="AB58" s="77">
        <f>Table4[[#This Row],[Total Attendance]]/Table4[[#This Row],[Total Events]]</f>
        <v>21.823529411764707</v>
      </c>
      <c r="AC58" s="77">
        <f>Table4[[#This Row],[Total Attendance]]/AD58</f>
        <v>0.15336916081025218</v>
      </c>
      <c r="AD58" s="77">
        <v>2419</v>
      </c>
    </row>
    <row r="59" spans="1:30" ht="13.5" thickBot="1" x14ac:dyDescent="0.25">
      <c r="A59" s="2" t="s">
        <v>698</v>
      </c>
      <c r="B59" s="1" t="s">
        <v>697</v>
      </c>
      <c r="C59" s="2" t="s">
        <v>19</v>
      </c>
      <c r="D59" s="4">
        <v>82</v>
      </c>
      <c r="E59" s="4">
        <v>3363</v>
      </c>
      <c r="F59" s="4">
        <v>20</v>
      </c>
      <c r="G59" s="4">
        <v>148</v>
      </c>
      <c r="H59" s="4">
        <v>35</v>
      </c>
      <c r="I59" s="4">
        <v>982</v>
      </c>
      <c r="J59" s="77">
        <v>4</v>
      </c>
      <c r="K59" s="77">
        <v>99</v>
      </c>
      <c r="L59" s="77">
        <v>178</v>
      </c>
      <c r="M59" s="77">
        <v>41</v>
      </c>
      <c r="N59" s="77">
        <v>219</v>
      </c>
      <c r="O59" s="4">
        <v>117</v>
      </c>
      <c r="P59" s="4">
        <v>4345</v>
      </c>
      <c r="Q59" s="2" t="s">
        <v>872</v>
      </c>
      <c r="R59" s="77">
        <v>65</v>
      </c>
      <c r="S59" s="77">
        <v>883</v>
      </c>
      <c r="T59" s="4">
        <v>24</v>
      </c>
      <c r="U59" s="4">
        <v>247</v>
      </c>
      <c r="V59" s="77">
        <v>29</v>
      </c>
      <c r="W59" s="77">
        <v>634</v>
      </c>
      <c r="X59" s="77">
        <v>7</v>
      </c>
      <c r="Y59" s="77">
        <v>356</v>
      </c>
      <c r="Z59" s="4">
        <v>177</v>
      </c>
      <c r="AA59" s="4">
        <v>5582</v>
      </c>
      <c r="AB59" s="77">
        <f>Table4[[#This Row],[Total Attendance]]/Table4[[#This Row],[Total Events]]</f>
        <v>31.536723163841806</v>
      </c>
      <c r="AC59" s="77">
        <f>Table4[[#This Row],[Total Attendance]]/AD59</f>
        <v>1.4786754966887417</v>
      </c>
      <c r="AD59" s="77">
        <v>3775</v>
      </c>
    </row>
    <row r="60" spans="1:30" ht="13.5" thickBot="1" x14ac:dyDescent="0.25">
      <c r="A60" s="2" t="s">
        <v>704</v>
      </c>
      <c r="B60" s="1" t="s">
        <v>703</v>
      </c>
      <c r="C60" s="2" t="s">
        <v>19</v>
      </c>
      <c r="D60" s="4">
        <v>10</v>
      </c>
      <c r="E60" s="4">
        <v>35</v>
      </c>
      <c r="F60" s="4">
        <v>11</v>
      </c>
      <c r="G60" s="4">
        <v>13</v>
      </c>
      <c r="H60" s="4">
        <v>20</v>
      </c>
      <c r="I60" s="4">
        <v>300</v>
      </c>
      <c r="J60" s="77">
        <v>11</v>
      </c>
      <c r="K60" s="77">
        <v>120</v>
      </c>
      <c r="L60" s="4">
        <v>25</v>
      </c>
      <c r="M60" s="77">
        <v>10</v>
      </c>
      <c r="N60" s="4">
        <v>35</v>
      </c>
      <c r="O60" s="4">
        <v>30</v>
      </c>
      <c r="P60" s="4">
        <v>335</v>
      </c>
      <c r="Q60" s="2" t="s">
        <v>872</v>
      </c>
      <c r="R60" s="4">
        <v>10</v>
      </c>
      <c r="S60" s="4">
        <v>20</v>
      </c>
      <c r="T60" s="4">
        <v>22</v>
      </c>
      <c r="U60" s="4">
        <v>133</v>
      </c>
      <c r="V60" s="4">
        <v>8</v>
      </c>
      <c r="W60" s="4">
        <v>95</v>
      </c>
      <c r="X60" s="4">
        <v>12</v>
      </c>
      <c r="Y60" s="4">
        <v>214</v>
      </c>
      <c r="Z60" s="4">
        <v>72</v>
      </c>
      <c r="AA60" s="4">
        <v>777</v>
      </c>
      <c r="AB60" s="77">
        <f>Table4[[#This Row],[Total Attendance]]/Table4[[#This Row],[Total Events]]</f>
        <v>10.791666666666666</v>
      </c>
      <c r="AC60" s="77">
        <f>Table4[[#This Row],[Total Attendance]]/AD60</f>
        <v>0.24760994263862332</v>
      </c>
      <c r="AD60" s="77">
        <v>3138</v>
      </c>
    </row>
    <row r="61" spans="1:30" ht="13.5" thickBot="1" x14ac:dyDescent="0.25">
      <c r="A61" s="2" t="s">
        <v>714</v>
      </c>
      <c r="B61" s="1" t="s">
        <v>713</v>
      </c>
      <c r="C61" s="2" t="s">
        <v>19</v>
      </c>
      <c r="D61" s="4">
        <v>16</v>
      </c>
      <c r="E61" s="4">
        <v>196</v>
      </c>
      <c r="F61" s="4">
        <v>0</v>
      </c>
      <c r="G61" s="4">
        <v>0</v>
      </c>
      <c r="H61" s="4">
        <v>6</v>
      </c>
      <c r="I61" s="4">
        <v>141</v>
      </c>
      <c r="J61" s="4">
        <v>0</v>
      </c>
      <c r="K61" s="4">
        <v>0</v>
      </c>
      <c r="L61" s="4">
        <v>41</v>
      </c>
      <c r="M61" s="78" t="s">
        <v>16</v>
      </c>
      <c r="N61" s="4">
        <v>41</v>
      </c>
      <c r="O61" s="4">
        <v>22</v>
      </c>
      <c r="P61" s="4">
        <v>337</v>
      </c>
      <c r="Q61" s="2" t="s">
        <v>872</v>
      </c>
      <c r="R61" s="4">
        <v>4</v>
      </c>
      <c r="S61" s="4">
        <v>17</v>
      </c>
      <c r="T61" s="4">
        <v>0</v>
      </c>
      <c r="U61" s="4">
        <v>0</v>
      </c>
      <c r="V61" s="4">
        <v>6</v>
      </c>
      <c r="W61" s="4">
        <v>83</v>
      </c>
      <c r="X61" s="77">
        <v>2</v>
      </c>
      <c r="Y61" s="77">
        <v>36</v>
      </c>
      <c r="Z61" s="4">
        <v>30</v>
      </c>
      <c r="AA61" s="4">
        <v>456</v>
      </c>
      <c r="AB61" s="77">
        <f>Table4[[#This Row],[Total Attendance]]/Table4[[#This Row],[Total Events]]</f>
        <v>15.2</v>
      </c>
      <c r="AC61" s="77">
        <f>Table4[[#This Row],[Total Attendance]]/AD61</f>
        <v>0.13302217036172695</v>
      </c>
      <c r="AD61" s="77">
        <v>3428</v>
      </c>
    </row>
    <row r="62" spans="1:30" ht="13.5" thickBot="1" x14ac:dyDescent="0.25">
      <c r="A62" s="2" t="s">
        <v>716</v>
      </c>
      <c r="B62" s="1" t="s">
        <v>715</v>
      </c>
      <c r="C62" s="2" t="s">
        <v>19</v>
      </c>
      <c r="D62" s="4">
        <v>3</v>
      </c>
      <c r="E62" s="4">
        <v>2</v>
      </c>
      <c r="F62" s="4">
        <v>0</v>
      </c>
      <c r="G62" s="4">
        <v>0</v>
      </c>
      <c r="H62" s="4">
        <v>2</v>
      </c>
      <c r="I62" s="4">
        <v>22</v>
      </c>
      <c r="J62" s="4">
        <v>0</v>
      </c>
      <c r="K62" s="4">
        <v>0</v>
      </c>
      <c r="L62" s="4">
        <v>19</v>
      </c>
      <c r="M62" s="77">
        <v>7</v>
      </c>
      <c r="N62" s="4">
        <v>26</v>
      </c>
      <c r="O62" s="4">
        <v>5</v>
      </c>
      <c r="P62" s="4">
        <v>24</v>
      </c>
      <c r="Q62" s="2" t="s">
        <v>873</v>
      </c>
      <c r="R62" s="4">
        <v>0</v>
      </c>
      <c r="S62" s="4">
        <v>0</v>
      </c>
      <c r="T62" s="4">
        <v>0</v>
      </c>
      <c r="U62" s="4">
        <v>0</v>
      </c>
      <c r="V62" s="4">
        <v>40</v>
      </c>
      <c r="W62" s="4">
        <v>163</v>
      </c>
      <c r="X62" s="4">
        <v>1</v>
      </c>
      <c r="Y62" s="4">
        <v>6</v>
      </c>
      <c r="Z62" s="4">
        <v>46</v>
      </c>
      <c r="AA62" s="4">
        <v>193</v>
      </c>
      <c r="AB62" s="77">
        <f>Table4[[#This Row],[Total Attendance]]/Table4[[#This Row],[Total Events]]</f>
        <v>4.1956521739130439</v>
      </c>
      <c r="AC62" s="77">
        <f>Table4[[#This Row],[Total Attendance]]/AD62</f>
        <v>9.9896480331262943E-2</v>
      </c>
      <c r="AD62" s="77">
        <v>1932</v>
      </c>
    </row>
    <row r="63" spans="1:30" ht="13.5" thickBot="1" x14ac:dyDescent="0.25">
      <c r="A63" s="2" t="s">
        <v>738</v>
      </c>
      <c r="B63" s="1" t="s">
        <v>737</v>
      </c>
      <c r="C63" s="2" t="s">
        <v>19</v>
      </c>
      <c r="D63" s="4">
        <v>4</v>
      </c>
      <c r="E63" s="4">
        <v>132</v>
      </c>
      <c r="F63" s="4">
        <v>0</v>
      </c>
      <c r="G63" s="4">
        <v>0</v>
      </c>
      <c r="H63" s="4">
        <v>7</v>
      </c>
      <c r="I63" s="4">
        <v>325</v>
      </c>
      <c r="J63" s="77">
        <v>0</v>
      </c>
      <c r="K63" s="77">
        <v>0</v>
      </c>
      <c r="L63" s="4">
        <v>70</v>
      </c>
      <c r="M63" s="77">
        <v>0</v>
      </c>
      <c r="N63" s="4">
        <v>70</v>
      </c>
      <c r="O63" s="4">
        <v>11</v>
      </c>
      <c r="P63" s="4">
        <v>457</v>
      </c>
      <c r="Q63" s="2" t="s">
        <v>873</v>
      </c>
      <c r="R63" s="4">
        <v>1</v>
      </c>
      <c r="S63" s="4">
        <v>6</v>
      </c>
      <c r="T63" s="4">
        <v>0</v>
      </c>
      <c r="U63" s="4">
        <v>0</v>
      </c>
      <c r="V63" s="4">
        <v>0</v>
      </c>
      <c r="W63" s="4">
        <v>0</v>
      </c>
      <c r="X63" s="4">
        <v>1</v>
      </c>
      <c r="Y63" s="4">
        <v>87</v>
      </c>
      <c r="Z63" s="4">
        <v>12</v>
      </c>
      <c r="AA63" s="4">
        <v>544</v>
      </c>
      <c r="AB63" s="77">
        <f>Table4[[#This Row],[Total Attendance]]/Table4[[#This Row],[Total Events]]</f>
        <v>45.333333333333336</v>
      </c>
      <c r="AC63" s="77">
        <f>Table4[[#This Row],[Total Attendance]]/AD63</f>
        <v>0.22790113112693758</v>
      </c>
      <c r="AD63" s="77">
        <v>2387</v>
      </c>
    </row>
    <row r="64" spans="1:30" ht="13.5" thickBot="1" x14ac:dyDescent="0.25">
      <c r="A64" s="2" t="s">
        <v>757</v>
      </c>
      <c r="B64" s="1" t="s">
        <v>756</v>
      </c>
      <c r="C64" s="2" t="s">
        <v>19</v>
      </c>
      <c r="D64" s="4">
        <v>1</v>
      </c>
      <c r="E64" s="4">
        <v>5</v>
      </c>
      <c r="F64" s="4">
        <v>0</v>
      </c>
      <c r="G64" s="4">
        <v>0</v>
      </c>
      <c r="H64" s="4">
        <v>5</v>
      </c>
      <c r="I64" s="4">
        <v>132</v>
      </c>
      <c r="J64" s="4">
        <v>1</v>
      </c>
      <c r="K64" s="4">
        <v>2</v>
      </c>
      <c r="L64" s="4">
        <v>29</v>
      </c>
      <c r="M64" s="78" t="s">
        <v>16</v>
      </c>
      <c r="N64" s="4">
        <v>29</v>
      </c>
      <c r="O64" s="4">
        <v>6</v>
      </c>
      <c r="P64" s="4">
        <v>137</v>
      </c>
      <c r="Q64" s="2" t="s">
        <v>872</v>
      </c>
      <c r="R64" s="4">
        <v>1</v>
      </c>
      <c r="S64" s="4">
        <v>5</v>
      </c>
      <c r="T64" s="4">
        <v>1</v>
      </c>
      <c r="U64" s="4">
        <v>2</v>
      </c>
      <c r="V64" s="4">
        <v>36</v>
      </c>
      <c r="W64" s="4">
        <v>410</v>
      </c>
      <c r="X64" s="77">
        <v>0</v>
      </c>
      <c r="Y64" s="77">
        <v>0</v>
      </c>
      <c r="Z64" s="4">
        <v>43</v>
      </c>
      <c r="AA64" s="4">
        <v>549</v>
      </c>
      <c r="AB64" s="77">
        <f>Table4[[#This Row],[Total Attendance]]/Table4[[#This Row],[Total Events]]</f>
        <v>12.767441860465116</v>
      </c>
      <c r="AC64" s="77">
        <f>Table4[[#This Row],[Total Attendance]]/AD64</f>
        <v>0.29311265349706356</v>
      </c>
      <c r="AD64" s="77">
        <v>1873</v>
      </c>
    </row>
    <row r="65" spans="1:30" ht="13.5" thickBot="1" x14ac:dyDescent="0.25">
      <c r="A65" s="2" t="s">
        <v>775</v>
      </c>
      <c r="B65" s="1" t="s">
        <v>774</v>
      </c>
      <c r="C65" s="2" t="s">
        <v>19</v>
      </c>
      <c r="D65" s="4">
        <v>2</v>
      </c>
      <c r="E65" s="4">
        <v>105</v>
      </c>
      <c r="F65" s="4">
        <v>0</v>
      </c>
      <c r="G65" s="4">
        <v>0</v>
      </c>
      <c r="H65" s="4">
        <v>7</v>
      </c>
      <c r="I65" s="4">
        <v>297</v>
      </c>
      <c r="J65" s="4">
        <v>0</v>
      </c>
      <c r="K65" s="4">
        <v>0</v>
      </c>
      <c r="L65" s="4">
        <v>0</v>
      </c>
      <c r="M65" s="78" t="s">
        <v>16</v>
      </c>
      <c r="N65" s="4">
        <v>0</v>
      </c>
      <c r="O65" s="4">
        <v>9</v>
      </c>
      <c r="P65" s="4">
        <v>402</v>
      </c>
      <c r="Q65" s="2" t="s">
        <v>873</v>
      </c>
      <c r="R65" s="4">
        <v>0</v>
      </c>
      <c r="S65" s="4">
        <v>0</v>
      </c>
      <c r="T65" s="4">
        <v>0</v>
      </c>
      <c r="U65" s="4">
        <v>0</v>
      </c>
      <c r="V65" s="4">
        <v>0</v>
      </c>
      <c r="W65" s="4">
        <v>0</v>
      </c>
      <c r="X65" s="77">
        <v>1</v>
      </c>
      <c r="Y65" s="77">
        <v>55</v>
      </c>
      <c r="Z65" s="4">
        <v>10</v>
      </c>
      <c r="AA65" s="4">
        <v>457</v>
      </c>
      <c r="AB65" s="77">
        <f>Table4[[#This Row],[Total Attendance]]/Table4[[#This Row],[Total Events]]</f>
        <v>45.7</v>
      </c>
      <c r="AC65" s="77">
        <f>Table4[[#This Row],[Total Attendance]]/AD65</f>
        <v>0.27663438256658596</v>
      </c>
      <c r="AD65" s="77">
        <v>1652</v>
      </c>
    </row>
    <row r="66" spans="1:30" ht="13.5" thickBot="1" x14ac:dyDescent="0.25">
      <c r="A66" s="2" t="s">
        <v>787</v>
      </c>
      <c r="B66" s="1" t="s">
        <v>786</v>
      </c>
      <c r="C66" s="2" t="s">
        <v>19</v>
      </c>
      <c r="D66" s="4">
        <v>67</v>
      </c>
      <c r="E66" s="4">
        <v>648</v>
      </c>
      <c r="F66" s="4">
        <v>0</v>
      </c>
      <c r="G66" s="4">
        <v>0</v>
      </c>
      <c r="H66" s="4">
        <v>16</v>
      </c>
      <c r="I66" s="4">
        <v>819</v>
      </c>
      <c r="J66" s="77">
        <v>0</v>
      </c>
      <c r="K66" s="77">
        <v>0</v>
      </c>
      <c r="L66" s="4">
        <v>70</v>
      </c>
      <c r="M66" s="78" t="s">
        <v>16</v>
      </c>
      <c r="N66" s="4">
        <v>70</v>
      </c>
      <c r="O66" s="4">
        <v>83</v>
      </c>
      <c r="P66" s="4">
        <v>1467</v>
      </c>
      <c r="Q66" s="2" t="s">
        <v>872</v>
      </c>
      <c r="R66" s="77">
        <v>45</v>
      </c>
      <c r="S66" s="77">
        <v>210</v>
      </c>
      <c r="T66" s="4">
        <v>0</v>
      </c>
      <c r="U66" s="4">
        <v>0</v>
      </c>
      <c r="V66" s="4">
        <v>12</v>
      </c>
      <c r="W66" s="4">
        <v>96</v>
      </c>
      <c r="X66" s="77">
        <v>0</v>
      </c>
      <c r="Y66" s="77">
        <v>0</v>
      </c>
      <c r="Z66" s="4">
        <v>95</v>
      </c>
      <c r="AA66" s="4">
        <v>1563</v>
      </c>
      <c r="AB66" s="77">
        <f>Table4[[#This Row],[Total Attendance]]/Table4[[#This Row],[Total Events]]</f>
        <v>16.452631578947368</v>
      </c>
      <c r="AC66" s="77">
        <f>Table4[[#This Row],[Total Attendance]]/AD66</f>
        <v>0.40128369704749678</v>
      </c>
      <c r="AD66" s="77">
        <v>3895</v>
      </c>
    </row>
    <row r="67" spans="1:30" ht="13.5" thickBot="1" x14ac:dyDescent="0.25">
      <c r="A67" s="2" t="s">
        <v>793</v>
      </c>
      <c r="B67" s="1" t="s">
        <v>792</v>
      </c>
      <c r="C67" s="2" t="s">
        <v>19</v>
      </c>
      <c r="D67" s="4">
        <v>21</v>
      </c>
      <c r="E67" s="4">
        <v>546</v>
      </c>
      <c r="F67" s="4">
        <v>0</v>
      </c>
      <c r="G67" s="4">
        <v>0</v>
      </c>
      <c r="H67" s="4">
        <v>5</v>
      </c>
      <c r="I67" s="4">
        <v>109</v>
      </c>
      <c r="J67" s="4">
        <v>0</v>
      </c>
      <c r="K67" s="4">
        <v>0</v>
      </c>
      <c r="L67" s="4">
        <v>21</v>
      </c>
      <c r="M67" s="77">
        <v>0</v>
      </c>
      <c r="N67" s="4">
        <v>21</v>
      </c>
      <c r="O67" s="4">
        <v>26</v>
      </c>
      <c r="P67" s="4">
        <v>655</v>
      </c>
      <c r="Q67" s="2" t="s">
        <v>872</v>
      </c>
      <c r="R67" s="4">
        <v>12</v>
      </c>
      <c r="S67" s="4">
        <v>176</v>
      </c>
      <c r="T67" s="4">
        <v>0</v>
      </c>
      <c r="U67" s="4">
        <v>0</v>
      </c>
      <c r="V67" s="4">
        <v>9</v>
      </c>
      <c r="W67" s="4">
        <v>39</v>
      </c>
      <c r="X67" s="4">
        <v>67</v>
      </c>
      <c r="Y67" s="4">
        <v>35</v>
      </c>
      <c r="Z67" s="4">
        <v>102</v>
      </c>
      <c r="AA67" s="4">
        <v>729</v>
      </c>
      <c r="AB67" s="77">
        <f>Table4[[#This Row],[Total Attendance]]/Table4[[#This Row],[Total Events]]</f>
        <v>7.1470588235294121</v>
      </c>
      <c r="AC67" s="77">
        <f>Table4[[#This Row],[Total Attendance]]/AD67</f>
        <v>0.33812615955473097</v>
      </c>
      <c r="AD67" s="77">
        <v>2156</v>
      </c>
    </row>
    <row r="68" spans="1:30" ht="13.5" thickBot="1" x14ac:dyDescent="0.25">
      <c r="A68" s="2" t="s">
        <v>795</v>
      </c>
      <c r="B68" s="1" t="s">
        <v>794</v>
      </c>
      <c r="C68" s="2" t="s">
        <v>19</v>
      </c>
      <c r="D68" s="4">
        <v>86</v>
      </c>
      <c r="E68" s="4">
        <v>714</v>
      </c>
      <c r="F68" s="4">
        <v>12</v>
      </c>
      <c r="G68" s="4">
        <v>18</v>
      </c>
      <c r="H68" s="4">
        <v>27</v>
      </c>
      <c r="I68" s="4">
        <v>221</v>
      </c>
      <c r="J68" s="4">
        <v>0</v>
      </c>
      <c r="K68" s="4">
        <v>0</v>
      </c>
      <c r="L68" s="4">
        <v>14</v>
      </c>
      <c r="M68" s="78" t="s">
        <v>16</v>
      </c>
      <c r="N68" s="4">
        <v>14</v>
      </c>
      <c r="O68" s="4">
        <v>113</v>
      </c>
      <c r="P68" s="4">
        <v>935</v>
      </c>
      <c r="Q68" s="2" t="s">
        <v>872</v>
      </c>
      <c r="R68" s="4">
        <v>49</v>
      </c>
      <c r="S68" s="4">
        <v>183</v>
      </c>
      <c r="T68" s="4">
        <v>12</v>
      </c>
      <c r="U68" s="4">
        <v>18</v>
      </c>
      <c r="V68" s="4">
        <v>26</v>
      </c>
      <c r="W68" s="4">
        <v>202</v>
      </c>
      <c r="X68" s="4">
        <v>2</v>
      </c>
      <c r="Y68" s="4">
        <v>81</v>
      </c>
      <c r="Z68" s="4">
        <v>153</v>
      </c>
      <c r="AA68" s="4">
        <v>1236</v>
      </c>
      <c r="AB68" s="77">
        <f>Table4[[#This Row],[Total Attendance]]/Table4[[#This Row],[Total Events]]</f>
        <v>8.0784313725490193</v>
      </c>
      <c r="AC68" s="77">
        <f>Table4[[#This Row],[Total Attendance]]/AD68</f>
        <v>0.49939393939393939</v>
      </c>
      <c r="AD68" s="77">
        <v>2475</v>
      </c>
    </row>
    <row r="69" spans="1:30" ht="13.5" thickBot="1" x14ac:dyDescent="0.25">
      <c r="A69" s="2" t="s">
        <v>799</v>
      </c>
      <c r="B69" s="1" t="s">
        <v>798</v>
      </c>
      <c r="C69" s="2" t="s">
        <v>19</v>
      </c>
      <c r="D69" s="4">
        <v>1</v>
      </c>
      <c r="E69" s="4">
        <v>20</v>
      </c>
      <c r="F69" s="4">
        <v>0</v>
      </c>
      <c r="G69" s="4">
        <v>0</v>
      </c>
      <c r="H69" s="4">
        <v>0</v>
      </c>
      <c r="I69" s="4">
        <v>0</v>
      </c>
      <c r="J69" s="77">
        <v>0</v>
      </c>
      <c r="K69" s="77">
        <v>0</v>
      </c>
      <c r="L69" s="4">
        <v>0</v>
      </c>
      <c r="M69" s="77">
        <v>0</v>
      </c>
      <c r="N69" s="4">
        <v>0</v>
      </c>
      <c r="O69" s="4">
        <v>1</v>
      </c>
      <c r="P69" s="4">
        <v>20</v>
      </c>
      <c r="Q69" s="2" t="s">
        <v>873</v>
      </c>
      <c r="R69" s="77">
        <v>0</v>
      </c>
      <c r="S69" s="77">
        <v>0</v>
      </c>
      <c r="T69" s="4">
        <v>0</v>
      </c>
      <c r="U69" s="4">
        <v>0</v>
      </c>
      <c r="V69" s="4">
        <v>0</v>
      </c>
      <c r="W69" s="77">
        <v>0</v>
      </c>
      <c r="X69" s="77">
        <v>0</v>
      </c>
      <c r="Y69" s="77">
        <v>0</v>
      </c>
      <c r="Z69" s="4">
        <v>1</v>
      </c>
      <c r="AA69" s="4">
        <v>20</v>
      </c>
      <c r="AB69" s="77">
        <f>Table4[[#This Row],[Total Attendance]]/Table4[[#This Row],[Total Events]]</f>
        <v>20</v>
      </c>
      <c r="AC69" s="77">
        <f>Table4[[#This Row],[Total Attendance]]/AD69</f>
        <v>1.016260162601626E-2</v>
      </c>
      <c r="AD69" s="77">
        <v>1968</v>
      </c>
    </row>
    <row r="70" spans="1:30" ht="13.5" thickBot="1" x14ac:dyDescent="0.25">
      <c r="A70" s="2" t="s">
        <v>809</v>
      </c>
      <c r="B70" s="1" t="s">
        <v>808</v>
      </c>
      <c r="C70" s="2" t="s">
        <v>19</v>
      </c>
      <c r="D70" s="4">
        <v>2</v>
      </c>
      <c r="E70" s="4">
        <v>118</v>
      </c>
      <c r="F70" s="4">
        <v>1</v>
      </c>
      <c r="G70" s="4">
        <v>16</v>
      </c>
      <c r="H70" s="4">
        <v>2</v>
      </c>
      <c r="I70" s="4">
        <v>67</v>
      </c>
      <c r="J70" s="77">
        <v>1</v>
      </c>
      <c r="K70" s="77">
        <v>16</v>
      </c>
      <c r="L70" s="77">
        <v>50</v>
      </c>
      <c r="M70" s="77">
        <v>16</v>
      </c>
      <c r="N70" s="77">
        <v>66</v>
      </c>
      <c r="O70" s="4">
        <v>4</v>
      </c>
      <c r="P70" s="4">
        <v>185</v>
      </c>
      <c r="Q70" s="2" t="s">
        <v>872</v>
      </c>
      <c r="R70" s="4">
        <v>0</v>
      </c>
      <c r="S70" s="4">
        <v>0</v>
      </c>
      <c r="T70" s="4">
        <v>2</v>
      </c>
      <c r="U70" s="4">
        <v>32</v>
      </c>
      <c r="V70" s="77">
        <v>2</v>
      </c>
      <c r="W70" s="77">
        <v>75</v>
      </c>
      <c r="X70" s="77">
        <v>1</v>
      </c>
      <c r="Y70" s="77">
        <v>65</v>
      </c>
      <c r="Z70" s="4">
        <v>9</v>
      </c>
      <c r="AA70" s="4">
        <v>357</v>
      </c>
      <c r="AB70" s="77">
        <f>Table4[[#This Row],[Total Attendance]]/Table4[[#This Row],[Total Events]]</f>
        <v>39.666666666666664</v>
      </c>
      <c r="AC70" s="77">
        <f>Table4[[#This Row],[Total Attendance]]/AD70</f>
        <v>0.16212534059945505</v>
      </c>
      <c r="AD70" s="77">
        <v>2202</v>
      </c>
    </row>
    <row r="71" spans="1:30" ht="13.5" thickBot="1" x14ac:dyDescent="0.25">
      <c r="A71" s="2" t="s">
        <v>821</v>
      </c>
      <c r="B71" s="1" t="s">
        <v>820</v>
      </c>
      <c r="C71" s="2" t="s">
        <v>19</v>
      </c>
      <c r="D71" s="4">
        <v>4</v>
      </c>
      <c r="E71" s="4">
        <v>65</v>
      </c>
      <c r="F71" s="4">
        <v>0</v>
      </c>
      <c r="G71" s="4">
        <v>0</v>
      </c>
      <c r="H71" s="4">
        <v>4</v>
      </c>
      <c r="I71" s="4">
        <v>39</v>
      </c>
      <c r="J71" s="4">
        <v>0</v>
      </c>
      <c r="K71" s="4">
        <v>0</v>
      </c>
      <c r="L71" s="4">
        <v>0</v>
      </c>
      <c r="M71" s="77">
        <v>0</v>
      </c>
      <c r="N71" s="4">
        <v>0</v>
      </c>
      <c r="O71" s="4">
        <v>8</v>
      </c>
      <c r="P71" s="4">
        <v>104</v>
      </c>
      <c r="Q71" s="2" t="s">
        <v>873</v>
      </c>
      <c r="R71" s="4">
        <v>0</v>
      </c>
      <c r="S71" s="4">
        <v>0</v>
      </c>
      <c r="T71" s="4">
        <v>0</v>
      </c>
      <c r="U71" s="4">
        <v>0</v>
      </c>
      <c r="V71" s="4">
        <v>0</v>
      </c>
      <c r="W71" s="4">
        <v>0</v>
      </c>
      <c r="X71" s="4">
        <v>0</v>
      </c>
      <c r="Y71" s="4">
        <v>0</v>
      </c>
      <c r="Z71" s="4">
        <v>8</v>
      </c>
      <c r="AA71" s="4">
        <v>104</v>
      </c>
      <c r="AB71" s="77">
        <f>Table4[[#This Row],[Total Attendance]]/Table4[[#This Row],[Total Events]]</f>
        <v>13</v>
      </c>
      <c r="AC71" s="77">
        <f>Table4[[#This Row],[Total Attendance]]/AD71</f>
        <v>3.5702025403364229E-2</v>
      </c>
      <c r="AD71" s="77">
        <v>2913</v>
      </c>
    </row>
    <row r="72" spans="1:30" ht="13.5" thickBot="1" x14ac:dyDescent="0.25">
      <c r="A72" s="2" t="s">
        <v>833</v>
      </c>
      <c r="B72" s="1" t="s">
        <v>832</v>
      </c>
      <c r="C72" s="2" t="s">
        <v>19</v>
      </c>
      <c r="D72" s="77">
        <v>2</v>
      </c>
      <c r="E72" s="77">
        <v>34</v>
      </c>
      <c r="F72" s="77">
        <v>0</v>
      </c>
      <c r="G72" s="77">
        <v>0</v>
      </c>
      <c r="H72" s="77">
        <v>12</v>
      </c>
      <c r="I72" s="77">
        <v>116</v>
      </c>
      <c r="J72" s="77">
        <v>6</v>
      </c>
      <c r="K72" s="77">
        <v>29</v>
      </c>
      <c r="L72" s="77">
        <v>15</v>
      </c>
      <c r="M72" s="77">
        <v>5</v>
      </c>
      <c r="N72" s="77">
        <v>20</v>
      </c>
      <c r="O72" s="77">
        <v>14</v>
      </c>
      <c r="P72" s="77">
        <v>150</v>
      </c>
      <c r="Q72" s="2" t="s">
        <v>872</v>
      </c>
      <c r="R72" s="77">
        <v>1</v>
      </c>
      <c r="S72" s="77">
        <v>7</v>
      </c>
      <c r="T72" s="77">
        <v>6</v>
      </c>
      <c r="U72" s="77">
        <v>29</v>
      </c>
      <c r="V72" s="77">
        <v>24</v>
      </c>
      <c r="W72" s="77">
        <v>217</v>
      </c>
      <c r="X72" s="77">
        <v>5</v>
      </c>
      <c r="Y72" s="77">
        <v>73</v>
      </c>
      <c r="Z72" s="77">
        <v>49</v>
      </c>
      <c r="AA72" s="77">
        <v>469</v>
      </c>
      <c r="AB72" s="77">
        <f>Table4[[#This Row],[Total Attendance]]/Table4[[#This Row],[Total Events]]</f>
        <v>9.5714285714285712</v>
      </c>
      <c r="AC72" s="77">
        <f>Table4[[#This Row],[Total Attendance]]/AD72</f>
        <v>0.81565217391304345</v>
      </c>
      <c r="AD72" s="77">
        <v>575</v>
      </c>
    </row>
    <row r="73" spans="1:30" ht="13.5" thickBot="1" x14ac:dyDescent="0.25">
      <c r="A73" s="2" t="s">
        <v>841</v>
      </c>
      <c r="B73" s="1" t="s">
        <v>840</v>
      </c>
      <c r="C73" s="2" t="s">
        <v>19</v>
      </c>
      <c r="D73" s="4">
        <v>5</v>
      </c>
      <c r="E73" s="4">
        <v>244</v>
      </c>
      <c r="F73" s="4">
        <v>1</v>
      </c>
      <c r="G73" s="4">
        <v>15</v>
      </c>
      <c r="H73" s="4">
        <v>8</v>
      </c>
      <c r="I73" s="4">
        <v>168</v>
      </c>
      <c r="J73" s="77">
        <v>0</v>
      </c>
      <c r="K73" s="77">
        <v>0</v>
      </c>
      <c r="L73" s="4">
        <v>25</v>
      </c>
      <c r="M73" s="4">
        <v>0</v>
      </c>
      <c r="N73" s="4">
        <v>25</v>
      </c>
      <c r="O73" s="4">
        <v>13</v>
      </c>
      <c r="P73" s="4">
        <v>412</v>
      </c>
      <c r="Q73" s="2" t="s">
        <v>873</v>
      </c>
      <c r="R73" s="77">
        <v>0</v>
      </c>
      <c r="S73" s="77">
        <v>0</v>
      </c>
      <c r="T73" s="4">
        <v>1</v>
      </c>
      <c r="U73" s="4">
        <v>15</v>
      </c>
      <c r="V73" s="4">
        <v>0</v>
      </c>
      <c r="W73" s="4">
        <v>0</v>
      </c>
      <c r="X73" s="77">
        <v>0</v>
      </c>
      <c r="Y73" s="77">
        <v>0</v>
      </c>
      <c r="Z73" s="4">
        <v>14</v>
      </c>
      <c r="AA73" s="4">
        <v>427</v>
      </c>
      <c r="AB73" s="77">
        <f>Table4[[#This Row],[Total Attendance]]/Table4[[#This Row],[Total Events]]</f>
        <v>30.5</v>
      </c>
      <c r="AC73" s="77">
        <f>Table4[[#This Row],[Total Attendance]]/AD73</f>
        <v>0.15595325054784515</v>
      </c>
      <c r="AD73" s="77">
        <v>2738</v>
      </c>
    </row>
    <row r="74" spans="1:30" ht="13.5" thickBot="1" x14ac:dyDescent="0.25">
      <c r="A74" s="2" t="s">
        <v>21</v>
      </c>
      <c r="B74" s="1" t="s">
        <v>20</v>
      </c>
      <c r="C74" s="2" t="s">
        <v>24</v>
      </c>
      <c r="D74" s="4">
        <v>55</v>
      </c>
      <c r="E74" s="4">
        <v>248</v>
      </c>
      <c r="F74" s="4">
        <v>1</v>
      </c>
      <c r="G74" s="4">
        <v>3</v>
      </c>
      <c r="H74" s="4">
        <v>8</v>
      </c>
      <c r="I74" s="4">
        <v>285</v>
      </c>
      <c r="J74" s="4">
        <v>1</v>
      </c>
      <c r="K74" s="4">
        <v>5</v>
      </c>
      <c r="L74" s="4">
        <v>112</v>
      </c>
      <c r="M74" s="4">
        <v>19</v>
      </c>
      <c r="N74" s="4">
        <v>131</v>
      </c>
      <c r="O74" s="4">
        <v>63</v>
      </c>
      <c r="P74" s="4">
        <v>533</v>
      </c>
      <c r="Q74" s="2" t="s">
        <v>872</v>
      </c>
      <c r="R74" s="4">
        <v>52</v>
      </c>
      <c r="S74" s="4">
        <v>207</v>
      </c>
      <c r="T74" s="4">
        <v>2</v>
      </c>
      <c r="U74" s="4">
        <v>8</v>
      </c>
      <c r="V74" s="4">
        <v>77</v>
      </c>
      <c r="W74" s="4">
        <v>484</v>
      </c>
      <c r="X74" s="77">
        <v>4</v>
      </c>
      <c r="Y74" s="77">
        <v>136</v>
      </c>
      <c r="Z74" s="4">
        <v>146</v>
      </c>
      <c r="AA74" s="4">
        <v>1161</v>
      </c>
      <c r="AB74" s="77">
        <f>Table4[[#This Row],[Total Attendance]]/Table4[[#This Row],[Total Events]]</f>
        <v>7.9520547945205475</v>
      </c>
      <c r="AC74" s="77">
        <f>Table4[[#This Row],[Total Attendance]]/AD74</f>
        <v>0.18280585734529994</v>
      </c>
      <c r="AD74" s="77">
        <v>6351</v>
      </c>
    </row>
    <row r="75" spans="1:30" ht="13.5" thickBot="1" x14ac:dyDescent="0.25">
      <c r="A75" s="2" t="s">
        <v>51</v>
      </c>
      <c r="B75" s="1" t="s">
        <v>50</v>
      </c>
      <c r="C75" s="2" t="s">
        <v>24</v>
      </c>
      <c r="D75" s="4">
        <v>47</v>
      </c>
      <c r="E75" s="4">
        <v>988</v>
      </c>
      <c r="F75" s="4">
        <v>0</v>
      </c>
      <c r="G75" s="4">
        <v>0</v>
      </c>
      <c r="H75" s="4">
        <v>12</v>
      </c>
      <c r="I75" s="4">
        <v>702</v>
      </c>
      <c r="J75" s="77">
        <v>0</v>
      </c>
      <c r="K75" s="77">
        <v>0</v>
      </c>
      <c r="L75" s="4">
        <v>167</v>
      </c>
      <c r="M75" s="77">
        <v>8</v>
      </c>
      <c r="N75" s="4">
        <v>175</v>
      </c>
      <c r="O75" s="4">
        <v>59</v>
      </c>
      <c r="P75" s="4">
        <v>1690</v>
      </c>
      <c r="Q75" s="2" t="s">
        <v>872</v>
      </c>
      <c r="R75" s="4">
        <v>36</v>
      </c>
      <c r="S75" s="4">
        <v>813</v>
      </c>
      <c r="T75" s="4">
        <v>0</v>
      </c>
      <c r="U75" s="4">
        <v>0</v>
      </c>
      <c r="V75" s="77">
        <v>1</v>
      </c>
      <c r="W75" s="77">
        <v>150</v>
      </c>
      <c r="X75" s="77">
        <v>0</v>
      </c>
      <c r="Y75" s="77">
        <v>0</v>
      </c>
      <c r="Z75" s="4">
        <v>60</v>
      </c>
      <c r="AA75" s="4">
        <v>1840</v>
      </c>
      <c r="AB75" s="77">
        <f>Table4[[#This Row],[Total Attendance]]/Table4[[#This Row],[Total Events]]</f>
        <v>30.666666666666668</v>
      </c>
      <c r="AC75" s="77">
        <f>Table4[[#This Row],[Total Attendance]]/AD75</f>
        <v>0.27950782318092054</v>
      </c>
      <c r="AD75" s="77">
        <v>6583</v>
      </c>
    </row>
    <row r="76" spans="1:30" ht="13.5" thickBot="1" x14ac:dyDescent="0.25">
      <c r="A76" s="2" t="s">
        <v>62</v>
      </c>
      <c r="B76" s="1" t="s">
        <v>61</v>
      </c>
      <c r="C76" s="2" t="s">
        <v>24</v>
      </c>
      <c r="D76" s="77">
        <v>32</v>
      </c>
      <c r="E76" s="77">
        <v>495</v>
      </c>
      <c r="F76" s="77">
        <v>0</v>
      </c>
      <c r="G76" s="77">
        <v>0</v>
      </c>
      <c r="H76" s="77">
        <v>12</v>
      </c>
      <c r="I76" s="77">
        <v>331</v>
      </c>
      <c r="J76" s="77">
        <v>6</v>
      </c>
      <c r="K76" s="77">
        <v>30</v>
      </c>
      <c r="L76" s="77">
        <v>99</v>
      </c>
      <c r="M76" s="77">
        <v>15</v>
      </c>
      <c r="N76" s="77">
        <v>114</v>
      </c>
      <c r="O76" s="77">
        <v>44</v>
      </c>
      <c r="P76" s="77">
        <v>826</v>
      </c>
      <c r="Q76" s="2" t="s">
        <v>873</v>
      </c>
      <c r="R76" s="77">
        <v>0</v>
      </c>
      <c r="S76" s="77">
        <v>0</v>
      </c>
      <c r="T76" s="77">
        <v>6</v>
      </c>
      <c r="U76" s="77">
        <v>30</v>
      </c>
      <c r="V76" s="77">
        <v>16</v>
      </c>
      <c r="W76" s="77">
        <v>321</v>
      </c>
      <c r="X76" s="77">
        <v>7</v>
      </c>
      <c r="Y76" s="77">
        <v>111</v>
      </c>
      <c r="Z76" s="77">
        <v>73</v>
      </c>
      <c r="AA76" s="77">
        <v>1288</v>
      </c>
      <c r="AB76" s="77">
        <f>Table4[[#This Row],[Total Attendance]]/Table4[[#This Row],[Total Events]]</f>
        <v>17.643835616438356</v>
      </c>
      <c r="AC76" s="77">
        <f>Table4[[#This Row],[Total Attendance]]/AD76</f>
        <v>0.23944971184234987</v>
      </c>
      <c r="AD76" s="77">
        <v>5379</v>
      </c>
    </row>
    <row r="77" spans="1:30" ht="13.5" thickBot="1" x14ac:dyDescent="0.25">
      <c r="A77" s="2" t="s">
        <v>66</v>
      </c>
      <c r="B77" s="1" t="s">
        <v>65</v>
      </c>
      <c r="C77" s="2" t="s">
        <v>24</v>
      </c>
      <c r="D77" s="4">
        <v>0</v>
      </c>
      <c r="E77" s="4">
        <v>0</v>
      </c>
      <c r="F77" s="4">
        <v>0</v>
      </c>
      <c r="G77" s="4">
        <v>0</v>
      </c>
      <c r="H77" s="4">
        <v>6</v>
      </c>
      <c r="I77" s="4">
        <v>6</v>
      </c>
      <c r="J77" s="4">
        <v>0</v>
      </c>
      <c r="K77" s="4">
        <v>0</v>
      </c>
      <c r="L77" s="4">
        <v>16</v>
      </c>
      <c r="M77" s="78" t="s">
        <v>16</v>
      </c>
      <c r="N77" s="4">
        <v>16</v>
      </c>
      <c r="O77" s="4">
        <v>6</v>
      </c>
      <c r="P77" s="4">
        <v>6</v>
      </c>
      <c r="Q77" s="2" t="s">
        <v>872</v>
      </c>
      <c r="R77" s="4">
        <v>0</v>
      </c>
      <c r="S77" s="4">
        <v>6</v>
      </c>
      <c r="T77" s="4">
        <v>0</v>
      </c>
      <c r="U77" s="4">
        <v>0</v>
      </c>
      <c r="V77" s="4">
        <v>12</v>
      </c>
      <c r="W77" s="4">
        <v>20</v>
      </c>
      <c r="X77" s="77">
        <v>0</v>
      </c>
      <c r="Y77" s="77">
        <v>0</v>
      </c>
      <c r="Z77" s="4">
        <v>18</v>
      </c>
      <c r="AA77" s="4">
        <v>26</v>
      </c>
      <c r="AB77" s="77">
        <f>Table4[[#This Row],[Total Attendance]]/Table4[[#This Row],[Total Events]]</f>
        <v>1.4444444444444444</v>
      </c>
      <c r="AC77" s="77">
        <f>Table4[[#This Row],[Total Attendance]]/AD77</f>
        <v>6.0961313012895665E-3</v>
      </c>
      <c r="AD77" s="77">
        <v>4265</v>
      </c>
    </row>
    <row r="78" spans="1:30" ht="13.5" thickBot="1" x14ac:dyDescent="0.25">
      <c r="A78" s="2" t="s">
        <v>78</v>
      </c>
      <c r="B78" s="1" t="s">
        <v>77</v>
      </c>
      <c r="C78" s="2" t="s">
        <v>24</v>
      </c>
      <c r="D78" s="4">
        <v>73</v>
      </c>
      <c r="E78" s="4">
        <v>1841</v>
      </c>
      <c r="F78" s="4">
        <v>24</v>
      </c>
      <c r="G78" s="4">
        <v>1176</v>
      </c>
      <c r="H78" s="4">
        <v>13</v>
      </c>
      <c r="I78" s="4">
        <v>324</v>
      </c>
      <c r="J78" s="4">
        <v>7</v>
      </c>
      <c r="K78" s="4">
        <v>26</v>
      </c>
      <c r="L78" s="4">
        <v>102</v>
      </c>
      <c r="M78" s="4">
        <v>20</v>
      </c>
      <c r="N78" s="4">
        <v>122</v>
      </c>
      <c r="O78" s="4">
        <v>86</v>
      </c>
      <c r="P78" s="4">
        <v>2165</v>
      </c>
      <c r="Q78" s="2" t="s">
        <v>872</v>
      </c>
      <c r="R78" s="4">
        <v>39</v>
      </c>
      <c r="S78" s="4">
        <v>614</v>
      </c>
      <c r="T78" s="4">
        <v>31</v>
      </c>
      <c r="U78" s="4">
        <v>1202</v>
      </c>
      <c r="V78" s="4">
        <v>70</v>
      </c>
      <c r="W78" s="4">
        <v>186</v>
      </c>
      <c r="X78" s="4">
        <v>21</v>
      </c>
      <c r="Y78" s="4">
        <v>506</v>
      </c>
      <c r="Z78" s="4">
        <v>208</v>
      </c>
      <c r="AA78" s="4">
        <v>4059</v>
      </c>
      <c r="AB78" s="77">
        <f>Table4[[#This Row],[Total Attendance]]/Table4[[#This Row],[Total Events]]</f>
        <v>19.514423076923077</v>
      </c>
      <c r="AC78" s="77">
        <f>Table4[[#This Row],[Total Attendance]]/AD78</f>
        <v>0.61304938830992295</v>
      </c>
      <c r="AD78" s="77">
        <v>6621</v>
      </c>
    </row>
    <row r="79" spans="1:30" ht="13.5" thickBot="1" x14ac:dyDescent="0.25">
      <c r="A79" s="2" t="s">
        <v>82</v>
      </c>
      <c r="B79" s="1" t="s">
        <v>81</v>
      </c>
      <c r="C79" s="2" t="s">
        <v>24</v>
      </c>
      <c r="D79" s="4">
        <v>1</v>
      </c>
      <c r="E79" s="4">
        <v>102</v>
      </c>
      <c r="F79" s="4">
        <v>0</v>
      </c>
      <c r="G79" s="4">
        <v>0</v>
      </c>
      <c r="H79" s="4">
        <v>4</v>
      </c>
      <c r="I79" s="4">
        <v>120</v>
      </c>
      <c r="J79" s="4">
        <v>0</v>
      </c>
      <c r="K79" s="4">
        <v>0</v>
      </c>
      <c r="L79" s="4">
        <v>73</v>
      </c>
      <c r="M79" s="4">
        <v>0</v>
      </c>
      <c r="N79" s="4">
        <v>73</v>
      </c>
      <c r="O79" s="4">
        <v>5</v>
      </c>
      <c r="P79" s="4">
        <v>222</v>
      </c>
      <c r="Q79" s="2" t="s">
        <v>873</v>
      </c>
      <c r="R79" s="4">
        <v>0</v>
      </c>
      <c r="S79" s="4">
        <v>0</v>
      </c>
      <c r="T79" s="4">
        <v>0</v>
      </c>
      <c r="U79" s="4">
        <v>0</v>
      </c>
      <c r="V79" s="4">
        <v>0</v>
      </c>
      <c r="W79" s="4">
        <v>0</v>
      </c>
      <c r="X79" s="77">
        <v>0</v>
      </c>
      <c r="Y79" s="77">
        <v>0</v>
      </c>
      <c r="Z79" s="4">
        <v>5</v>
      </c>
      <c r="AA79" s="4">
        <v>222</v>
      </c>
      <c r="AB79" s="77">
        <f>Table4[[#This Row],[Total Attendance]]/Table4[[#This Row],[Total Events]]</f>
        <v>44.4</v>
      </c>
      <c r="AC79" s="77">
        <f>Table4[[#This Row],[Total Attendance]]/AD79</f>
        <v>5.4478527607361965E-2</v>
      </c>
      <c r="AD79" s="77">
        <v>4075</v>
      </c>
    </row>
    <row r="80" spans="1:30" ht="13.5" thickBot="1" x14ac:dyDescent="0.25">
      <c r="A80" s="2" t="s">
        <v>106</v>
      </c>
      <c r="B80" s="1" t="s">
        <v>105</v>
      </c>
      <c r="C80" s="2" t="s">
        <v>24</v>
      </c>
      <c r="D80" s="77">
        <v>4</v>
      </c>
      <c r="E80" s="77">
        <v>160</v>
      </c>
      <c r="F80" s="77">
        <v>0</v>
      </c>
      <c r="G80" s="77">
        <v>0</v>
      </c>
      <c r="H80" s="77">
        <v>7</v>
      </c>
      <c r="I80" s="77">
        <v>96</v>
      </c>
      <c r="J80" s="77">
        <v>0</v>
      </c>
      <c r="K80" s="77">
        <v>0</v>
      </c>
      <c r="L80" s="77">
        <v>45</v>
      </c>
      <c r="M80" s="77">
        <v>10</v>
      </c>
      <c r="N80" s="77">
        <v>55</v>
      </c>
      <c r="O80" s="77">
        <v>11</v>
      </c>
      <c r="P80" s="77">
        <v>256</v>
      </c>
      <c r="Q80" s="2" t="s">
        <v>872</v>
      </c>
      <c r="R80" s="77">
        <v>1</v>
      </c>
      <c r="S80" s="77">
        <v>17</v>
      </c>
      <c r="T80" s="77">
        <v>0</v>
      </c>
      <c r="U80" s="77">
        <v>0</v>
      </c>
      <c r="V80" s="77">
        <v>2</v>
      </c>
      <c r="W80" s="77">
        <v>20</v>
      </c>
      <c r="X80" s="77">
        <v>0</v>
      </c>
      <c r="Y80" s="77">
        <v>0</v>
      </c>
      <c r="Z80" s="77">
        <v>13</v>
      </c>
      <c r="AA80" s="77">
        <v>276</v>
      </c>
      <c r="AB80" s="77">
        <f>Table4[[#This Row],[Total Attendance]]/Table4[[#This Row],[Total Events]]</f>
        <v>21.23076923076923</v>
      </c>
      <c r="AC80" s="77">
        <f>Table4[[#This Row],[Total Attendance]]/AD80</f>
        <v>5.0978943479867013E-2</v>
      </c>
      <c r="AD80" s="77">
        <v>5414</v>
      </c>
    </row>
    <row r="81" spans="1:30" ht="13.5" thickBot="1" x14ac:dyDescent="0.25">
      <c r="A81" s="2" t="s">
        <v>126</v>
      </c>
      <c r="B81" s="1" t="s">
        <v>125</v>
      </c>
      <c r="C81" s="2" t="s">
        <v>24</v>
      </c>
      <c r="D81" s="4">
        <v>272</v>
      </c>
      <c r="E81" s="4">
        <v>4360</v>
      </c>
      <c r="F81" s="4">
        <v>5</v>
      </c>
      <c r="G81" s="4">
        <v>77</v>
      </c>
      <c r="H81" s="4">
        <v>13</v>
      </c>
      <c r="I81" s="4">
        <v>585</v>
      </c>
      <c r="J81" s="77">
        <v>5</v>
      </c>
      <c r="K81" s="77">
        <v>13</v>
      </c>
      <c r="L81" s="4">
        <v>174</v>
      </c>
      <c r="M81" s="77">
        <v>10</v>
      </c>
      <c r="N81" s="4">
        <v>184</v>
      </c>
      <c r="O81" s="4">
        <v>285</v>
      </c>
      <c r="P81" s="4">
        <v>4945</v>
      </c>
      <c r="Q81" s="2" t="s">
        <v>872</v>
      </c>
      <c r="R81" s="4">
        <v>108</v>
      </c>
      <c r="S81" s="4">
        <v>1027</v>
      </c>
      <c r="T81" s="4">
        <v>10</v>
      </c>
      <c r="U81" s="4">
        <v>90</v>
      </c>
      <c r="V81" s="4">
        <v>190</v>
      </c>
      <c r="W81" s="4">
        <v>1422</v>
      </c>
      <c r="X81" s="4">
        <v>17</v>
      </c>
      <c r="Y81" s="4">
        <v>1086</v>
      </c>
      <c r="Z81" s="4">
        <v>502</v>
      </c>
      <c r="AA81" s="4">
        <v>7543</v>
      </c>
      <c r="AB81" s="77">
        <f>Table4[[#This Row],[Total Attendance]]/Table4[[#This Row],[Total Events]]</f>
        <v>15.025896414342629</v>
      </c>
      <c r="AC81" s="77">
        <f>Table4[[#This Row],[Total Attendance]]/AD81</f>
        <v>1.1980622617534942</v>
      </c>
      <c r="AD81" s="77">
        <v>6296</v>
      </c>
    </row>
    <row r="82" spans="1:30" ht="13.5" thickBot="1" x14ac:dyDescent="0.25">
      <c r="A82" s="2" t="s">
        <v>132</v>
      </c>
      <c r="B82" s="1" t="s">
        <v>131</v>
      </c>
      <c r="C82" s="2" t="s">
        <v>24</v>
      </c>
      <c r="D82" s="4">
        <v>2</v>
      </c>
      <c r="E82" s="4">
        <v>138</v>
      </c>
      <c r="F82" s="4">
        <v>1</v>
      </c>
      <c r="G82" s="4">
        <v>20</v>
      </c>
      <c r="H82" s="4">
        <v>1</v>
      </c>
      <c r="I82" s="4">
        <v>66</v>
      </c>
      <c r="J82" s="4">
        <v>1</v>
      </c>
      <c r="K82" s="4">
        <v>20</v>
      </c>
      <c r="L82" s="4">
        <v>72</v>
      </c>
      <c r="M82" s="77">
        <v>0</v>
      </c>
      <c r="N82" s="4">
        <v>72</v>
      </c>
      <c r="O82" s="4">
        <v>3</v>
      </c>
      <c r="P82" s="4">
        <v>204</v>
      </c>
      <c r="Q82" s="2" t="s">
        <v>873</v>
      </c>
      <c r="R82" s="4">
        <v>0</v>
      </c>
      <c r="S82" s="4">
        <v>0</v>
      </c>
      <c r="T82" s="4">
        <v>2</v>
      </c>
      <c r="U82" s="4">
        <v>40</v>
      </c>
      <c r="V82" s="4">
        <v>1</v>
      </c>
      <c r="W82" s="4">
        <v>24</v>
      </c>
      <c r="X82" s="4">
        <v>0</v>
      </c>
      <c r="Y82" s="4">
        <v>0</v>
      </c>
      <c r="Z82" s="4">
        <v>6</v>
      </c>
      <c r="AA82" s="4">
        <v>268</v>
      </c>
      <c r="AB82" s="77">
        <f>Table4[[#This Row],[Total Attendance]]/Table4[[#This Row],[Total Events]]</f>
        <v>44.666666666666664</v>
      </c>
      <c r="AC82" s="77">
        <f>Table4[[#This Row],[Total Attendance]]/AD82</f>
        <v>6.6916354556803989E-2</v>
      </c>
      <c r="AD82" s="77">
        <v>4005</v>
      </c>
    </row>
    <row r="83" spans="1:30" ht="13.5" thickBot="1" x14ac:dyDescent="0.25">
      <c r="A83" s="2" t="s">
        <v>146</v>
      </c>
      <c r="B83" s="1" t="s">
        <v>145</v>
      </c>
      <c r="C83" s="2" t="s">
        <v>24</v>
      </c>
      <c r="D83" s="77">
        <v>325</v>
      </c>
      <c r="E83" s="77">
        <v>5223</v>
      </c>
      <c r="F83" s="77">
        <v>2</v>
      </c>
      <c r="G83" s="77">
        <v>5</v>
      </c>
      <c r="H83" s="77">
        <v>21</v>
      </c>
      <c r="I83" s="77">
        <v>210</v>
      </c>
      <c r="J83" s="77">
        <v>4</v>
      </c>
      <c r="K83" s="77">
        <v>13</v>
      </c>
      <c r="L83" s="77">
        <v>50</v>
      </c>
      <c r="M83" s="77">
        <v>10</v>
      </c>
      <c r="N83" s="77">
        <v>60</v>
      </c>
      <c r="O83" s="77">
        <v>346</v>
      </c>
      <c r="P83" s="77">
        <v>5433</v>
      </c>
      <c r="Q83" s="2" t="s">
        <v>872</v>
      </c>
      <c r="R83" s="77">
        <v>33</v>
      </c>
      <c r="S83" s="77">
        <v>88</v>
      </c>
      <c r="T83" s="77">
        <v>6</v>
      </c>
      <c r="U83" s="77">
        <v>18</v>
      </c>
      <c r="V83" s="77">
        <v>4</v>
      </c>
      <c r="W83" s="77">
        <v>42</v>
      </c>
      <c r="X83" s="77">
        <v>1</v>
      </c>
      <c r="Y83" s="77">
        <v>74</v>
      </c>
      <c r="Z83" s="77">
        <v>357</v>
      </c>
      <c r="AA83" s="77">
        <v>5567</v>
      </c>
      <c r="AB83" s="77">
        <f>Table4[[#This Row],[Total Attendance]]/Table4[[#This Row],[Total Events]]</f>
        <v>15.593837535014005</v>
      </c>
      <c r="AC83" s="77">
        <f>Table4[[#This Row],[Total Attendance]]/AD83</f>
        <v>1.3283225960391314</v>
      </c>
      <c r="AD83" s="77">
        <v>4191</v>
      </c>
    </row>
    <row r="84" spans="1:30" ht="13.5" thickBot="1" x14ac:dyDescent="0.25">
      <c r="A84" s="2" t="s">
        <v>188</v>
      </c>
      <c r="B84" s="1" t="s">
        <v>187</v>
      </c>
      <c r="C84" s="2" t="s">
        <v>24</v>
      </c>
      <c r="D84" s="4">
        <v>17</v>
      </c>
      <c r="E84" s="4">
        <v>276</v>
      </c>
      <c r="F84" s="4">
        <v>0</v>
      </c>
      <c r="G84" s="4">
        <v>0</v>
      </c>
      <c r="H84" s="4">
        <v>13</v>
      </c>
      <c r="I84" s="4">
        <v>189</v>
      </c>
      <c r="J84" s="4">
        <v>0</v>
      </c>
      <c r="K84" s="77">
        <v>0</v>
      </c>
      <c r="L84" s="4">
        <v>53</v>
      </c>
      <c r="M84" s="4">
        <v>13</v>
      </c>
      <c r="N84" s="4">
        <v>66</v>
      </c>
      <c r="O84" s="4">
        <v>30</v>
      </c>
      <c r="P84" s="4">
        <v>465</v>
      </c>
      <c r="Q84" s="2" t="s">
        <v>872</v>
      </c>
      <c r="R84" s="4">
        <v>20</v>
      </c>
      <c r="S84" s="4">
        <v>101</v>
      </c>
      <c r="T84" s="4">
        <v>0</v>
      </c>
      <c r="U84" s="4">
        <v>0</v>
      </c>
      <c r="V84" s="4">
        <v>5</v>
      </c>
      <c r="W84" s="77">
        <v>66</v>
      </c>
      <c r="X84" s="78" t="s">
        <v>16</v>
      </c>
      <c r="Y84" s="78" t="s">
        <v>16</v>
      </c>
      <c r="Z84" s="4">
        <v>35</v>
      </c>
      <c r="AA84" s="4">
        <v>531</v>
      </c>
      <c r="AB84" s="77">
        <f>Table4[[#This Row],[Total Attendance]]/Table4[[#This Row],[Total Events]]</f>
        <v>15.171428571428571</v>
      </c>
      <c r="AC84" s="77">
        <f>Table4[[#This Row],[Total Attendance]]/AD84</f>
        <v>0.11488533102553007</v>
      </c>
      <c r="AD84" s="77">
        <v>4622</v>
      </c>
    </row>
    <row r="85" spans="1:30" ht="13.5" thickBot="1" x14ac:dyDescent="0.25">
      <c r="A85" s="2" t="s">
        <v>202</v>
      </c>
      <c r="B85" s="1" t="s">
        <v>201</v>
      </c>
      <c r="C85" s="2" t="s">
        <v>24</v>
      </c>
      <c r="D85" s="4">
        <v>60</v>
      </c>
      <c r="E85" s="4">
        <v>1128</v>
      </c>
      <c r="F85" s="4">
        <v>2</v>
      </c>
      <c r="G85" s="4">
        <v>31</v>
      </c>
      <c r="H85" s="4">
        <v>10</v>
      </c>
      <c r="I85" s="4">
        <v>637</v>
      </c>
      <c r="J85" s="4">
        <v>2</v>
      </c>
      <c r="K85" s="4">
        <v>20</v>
      </c>
      <c r="L85" s="4">
        <v>113</v>
      </c>
      <c r="M85" s="77">
        <v>20</v>
      </c>
      <c r="N85" s="4">
        <v>133</v>
      </c>
      <c r="O85" s="4">
        <v>70</v>
      </c>
      <c r="P85" s="4">
        <v>1765</v>
      </c>
      <c r="Q85" s="2" t="s">
        <v>872</v>
      </c>
      <c r="R85" s="77">
        <v>48</v>
      </c>
      <c r="S85" s="77">
        <v>723</v>
      </c>
      <c r="T85" s="4">
        <v>4</v>
      </c>
      <c r="U85" s="4">
        <v>51</v>
      </c>
      <c r="V85" s="4">
        <v>161</v>
      </c>
      <c r="W85" s="4">
        <v>161</v>
      </c>
      <c r="X85" s="77">
        <v>16</v>
      </c>
      <c r="Y85" s="77">
        <v>1047</v>
      </c>
      <c r="Z85" s="4">
        <v>251</v>
      </c>
      <c r="AA85" s="4">
        <v>3024</v>
      </c>
      <c r="AB85" s="77">
        <f>Table4[[#This Row],[Total Attendance]]/Table4[[#This Row],[Total Events]]</f>
        <v>12.047808764940239</v>
      </c>
      <c r="AC85" s="77">
        <f>Table4[[#This Row],[Total Attendance]]/AD85</f>
        <v>0.60649819494584833</v>
      </c>
      <c r="AD85" s="77">
        <v>4986</v>
      </c>
    </row>
    <row r="86" spans="1:30" ht="13.5" thickBot="1" x14ac:dyDescent="0.25">
      <c r="A86" s="2" t="s">
        <v>225</v>
      </c>
      <c r="B86" s="1" t="s">
        <v>224</v>
      </c>
      <c r="C86" s="2" t="s">
        <v>24</v>
      </c>
      <c r="D86" s="4">
        <v>11</v>
      </c>
      <c r="E86" s="4">
        <v>162</v>
      </c>
      <c r="F86" s="4">
        <v>3</v>
      </c>
      <c r="G86" s="4">
        <v>86</v>
      </c>
      <c r="H86" s="4">
        <v>8</v>
      </c>
      <c r="I86" s="4">
        <v>137</v>
      </c>
      <c r="J86" s="78" t="s">
        <v>16</v>
      </c>
      <c r="K86" s="78" t="s">
        <v>16</v>
      </c>
      <c r="L86" s="4">
        <v>79</v>
      </c>
      <c r="M86" s="78" t="s">
        <v>16</v>
      </c>
      <c r="N86" s="4">
        <v>79</v>
      </c>
      <c r="O86" s="4">
        <v>19</v>
      </c>
      <c r="P86" s="4">
        <v>299</v>
      </c>
      <c r="Q86" s="2" t="s">
        <v>872</v>
      </c>
      <c r="R86" s="4">
        <v>11</v>
      </c>
      <c r="S86" s="4">
        <v>187</v>
      </c>
      <c r="T86" s="4">
        <v>3</v>
      </c>
      <c r="U86" s="4">
        <v>86</v>
      </c>
      <c r="V86" s="4">
        <v>6</v>
      </c>
      <c r="W86" s="4">
        <v>77</v>
      </c>
      <c r="X86" s="4">
        <v>3</v>
      </c>
      <c r="Y86" s="4">
        <v>146</v>
      </c>
      <c r="Z86" s="4">
        <v>31</v>
      </c>
      <c r="AA86" s="4">
        <v>608</v>
      </c>
      <c r="AB86" s="77">
        <f>Table4[[#This Row],[Total Attendance]]/Table4[[#This Row],[Total Events]]</f>
        <v>19.612903225806452</v>
      </c>
      <c r="AC86" s="77">
        <f>Table4[[#This Row],[Total Attendance]]/AD86</f>
        <v>0.13469206911829862</v>
      </c>
      <c r="AD86" s="77">
        <v>4514</v>
      </c>
    </row>
    <row r="87" spans="1:30" ht="13.5" thickBot="1" x14ac:dyDescent="0.25">
      <c r="A87" s="2" t="s">
        <v>241</v>
      </c>
      <c r="B87" s="1" t="s">
        <v>240</v>
      </c>
      <c r="C87" s="2" t="s">
        <v>24</v>
      </c>
      <c r="D87" s="4">
        <v>16</v>
      </c>
      <c r="E87" s="4">
        <v>84</v>
      </c>
      <c r="F87" s="4">
        <v>0</v>
      </c>
      <c r="G87" s="4">
        <v>0</v>
      </c>
      <c r="H87" s="4">
        <v>2</v>
      </c>
      <c r="I87" s="4">
        <v>39</v>
      </c>
      <c r="J87" s="78" t="s">
        <v>16</v>
      </c>
      <c r="K87" s="78" t="s">
        <v>16</v>
      </c>
      <c r="L87" s="77">
        <v>100</v>
      </c>
      <c r="M87" s="78" t="s">
        <v>16</v>
      </c>
      <c r="N87" s="77">
        <v>100</v>
      </c>
      <c r="O87" s="4">
        <v>18</v>
      </c>
      <c r="P87" s="4">
        <v>123</v>
      </c>
      <c r="Q87" s="2" t="s">
        <v>872</v>
      </c>
      <c r="R87" s="4">
        <v>14</v>
      </c>
      <c r="S87" s="4">
        <v>58</v>
      </c>
      <c r="T87" s="4">
        <v>0</v>
      </c>
      <c r="U87" s="4">
        <v>0</v>
      </c>
      <c r="V87" s="78" t="s">
        <v>16</v>
      </c>
      <c r="W87" s="78" t="s">
        <v>16</v>
      </c>
      <c r="X87" s="78" t="s">
        <v>16</v>
      </c>
      <c r="Y87" s="78" t="s">
        <v>16</v>
      </c>
      <c r="Z87" s="4">
        <v>18</v>
      </c>
      <c r="AA87" s="4">
        <v>123</v>
      </c>
      <c r="AB87" s="77">
        <f>Table4[[#This Row],[Total Attendance]]/Table4[[#This Row],[Total Events]]</f>
        <v>6.833333333333333</v>
      </c>
      <c r="AC87" s="77">
        <f>Table4[[#This Row],[Total Attendance]]/AD87</f>
        <v>1.7987715706346885E-2</v>
      </c>
      <c r="AD87" s="77">
        <v>6838</v>
      </c>
    </row>
    <row r="88" spans="1:30" ht="13.5" thickBot="1" x14ac:dyDescent="0.25">
      <c r="A88" s="2" t="s">
        <v>247</v>
      </c>
      <c r="B88" s="1" t="s">
        <v>246</v>
      </c>
      <c r="C88" s="2" t="s">
        <v>24</v>
      </c>
      <c r="D88" s="77">
        <v>0</v>
      </c>
      <c r="E88" s="77">
        <v>15</v>
      </c>
      <c r="F88" s="77">
        <v>1</v>
      </c>
      <c r="G88" s="77">
        <v>3</v>
      </c>
      <c r="H88" s="77">
        <v>1</v>
      </c>
      <c r="I88" s="77">
        <v>12</v>
      </c>
      <c r="J88" s="77">
        <v>1</v>
      </c>
      <c r="K88" s="77">
        <v>3</v>
      </c>
      <c r="L88" s="77">
        <v>0</v>
      </c>
      <c r="M88" s="77">
        <v>0</v>
      </c>
      <c r="N88" s="77">
        <v>0</v>
      </c>
      <c r="O88" s="77">
        <v>1</v>
      </c>
      <c r="P88" s="77">
        <v>27</v>
      </c>
      <c r="Q88" s="2" t="s">
        <v>872</v>
      </c>
      <c r="R88" s="77">
        <v>1</v>
      </c>
      <c r="S88" s="77">
        <v>4</v>
      </c>
      <c r="T88" s="77">
        <v>2</v>
      </c>
      <c r="U88" s="77">
        <v>6</v>
      </c>
      <c r="V88" s="77">
        <v>1</v>
      </c>
      <c r="W88" s="77">
        <v>24</v>
      </c>
      <c r="X88" s="77">
        <v>0</v>
      </c>
      <c r="Y88" s="77">
        <v>0</v>
      </c>
      <c r="Z88" s="77">
        <v>4</v>
      </c>
      <c r="AA88" s="77">
        <v>57</v>
      </c>
      <c r="AB88" s="77">
        <f>Table4[[#This Row],[Total Attendance]]/Table4[[#This Row],[Total Events]]</f>
        <v>14.25</v>
      </c>
      <c r="AC88" s="77">
        <f>Table4[[#This Row],[Total Attendance]]/AD88</f>
        <v>1.1706715958102279E-2</v>
      </c>
      <c r="AD88" s="77">
        <v>4869</v>
      </c>
    </row>
    <row r="89" spans="1:30" ht="13.5" thickBot="1" x14ac:dyDescent="0.25">
      <c r="A89" s="2" t="s">
        <v>249</v>
      </c>
      <c r="B89" s="1" t="s">
        <v>248</v>
      </c>
      <c r="C89" s="2" t="s">
        <v>24</v>
      </c>
      <c r="D89" s="4">
        <v>56</v>
      </c>
      <c r="E89" s="4">
        <v>322</v>
      </c>
      <c r="F89" s="4">
        <v>4</v>
      </c>
      <c r="G89" s="4">
        <v>19</v>
      </c>
      <c r="H89" s="4">
        <v>6</v>
      </c>
      <c r="I89" s="4">
        <v>189</v>
      </c>
      <c r="J89" s="77">
        <v>1</v>
      </c>
      <c r="K89" s="77">
        <v>17</v>
      </c>
      <c r="L89" s="77">
        <v>41</v>
      </c>
      <c r="M89" s="77">
        <v>10</v>
      </c>
      <c r="N89" s="77">
        <v>51</v>
      </c>
      <c r="O89" s="4">
        <v>62</v>
      </c>
      <c r="P89" s="4">
        <v>511</v>
      </c>
      <c r="Q89" s="2" t="s">
        <v>872</v>
      </c>
      <c r="R89" s="4">
        <v>4</v>
      </c>
      <c r="S89" s="4">
        <v>59</v>
      </c>
      <c r="T89" s="4">
        <v>5</v>
      </c>
      <c r="U89" s="4">
        <v>36</v>
      </c>
      <c r="V89" s="77">
        <v>2</v>
      </c>
      <c r="W89" s="77">
        <v>17</v>
      </c>
      <c r="X89" s="77">
        <v>8</v>
      </c>
      <c r="Y89" s="77">
        <v>109</v>
      </c>
      <c r="Z89" s="4">
        <v>77</v>
      </c>
      <c r="AA89" s="4">
        <v>673</v>
      </c>
      <c r="AB89" s="77">
        <f>Table4[[#This Row],[Total Attendance]]/Table4[[#This Row],[Total Events]]</f>
        <v>8.7402597402597397</v>
      </c>
      <c r="AC89" s="77">
        <f>Table4[[#This Row],[Total Attendance]]/AD89</f>
        <v>0.1411493288590604</v>
      </c>
      <c r="AD89" s="77">
        <v>4768</v>
      </c>
    </row>
    <row r="90" spans="1:30" ht="13.5" thickBot="1" x14ac:dyDescent="0.25">
      <c r="A90" s="2" t="s">
        <v>263</v>
      </c>
      <c r="B90" s="1" t="s">
        <v>262</v>
      </c>
      <c r="C90" s="2" t="s">
        <v>24</v>
      </c>
      <c r="D90" s="4">
        <v>50</v>
      </c>
      <c r="E90" s="4">
        <v>1360</v>
      </c>
      <c r="F90" s="4">
        <v>0</v>
      </c>
      <c r="G90" s="4">
        <v>0</v>
      </c>
      <c r="H90" s="4">
        <v>5</v>
      </c>
      <c r="I90" s="4">
        <v>564</v>
      </c>
      <c r="J90" s="77">
        <v>0</v>
      </c>
      <c r="K90" s="78" t="s">
        <v>16</v>
      </c>
      <c r="L90" s="77">
        <v>0</v>
      </c>
      <c r="M90" s="77">
        <v>0</v>
      </c>
      <c r="N90" s="77">
        <v>0</v>
      </c>
      <c r="O90" s="4">
        <v>55</v>
      </c>
      <c r="P90" s="4">
        <v>1924</v>
      </c>
      <c r="Q90" s="2" t="s">
        <v>872</v>
      </c>
      <c r="R90" s="4">
        <v>33</v>
      </c>
      <c r="S90" s="4">
        <v>576</v>
      </c>
      <c r="T90" s="4">
        <v>0</v>
      </c>
      <c r="U90" s="4">
        <v>0</v>
      </c>
      <c r="V90" s="77">
        <v>53</v>
      </c>
      <c r="W90" s="77">
        <v>1207</v>
      </c>
      <c r="X90" s="77">
        <v>0</v>
      </c>
      <c r="Y90" s="77">
        <v>0</v>
      </c>
      <c r="Z90" s="4">
        <v>108</v>
      </c>
      <c r="AA90" s="4">
        <v>3131</v>
      </c>
      <c r="AB90" s="77">
        <f>Table4[[#This Row],[Total Attendance]]/Table4[[#This Row],[Total Events]]</f>
        <v>28.99074074074074</v>
      </c>
      <c r="AC90" s="77">
        <f>Table4[[#This Row],[Total Attendance]]/AD90</f>
        <v>0.57639911634756991</v>
      </c>
      <c r="AD90" s="77">
        <v>5432</v>
      </c>
    </row>
    <row r="91" spans="1:30" ht="13.5" thickBot="1" x14ac:dyDescent="0.25">
      <c r="A91" s="2" t="s">
        <v>293</v>
      </c>
      <c r="B91" s="1" t="s">
        <v>292</v>
      </c>
      <c r="C91" s="2" t="s">
        <v>24</v>
      </c>
      <c r="D91" s="4">
        <v>79</v>
      </c>
      <c r="E91" s="4">
        <v>1185</v>
      </c>
      <c r="F91" s="4">
        <v>0</v>
      </c>
      <c r="G91" s="4">
        <v>0</v>
      </c>
      <c r="H91" s="4">
        <v>34</v>
      </c>
      <c r="I91" s="4">
        <v>552</v>
      </c>
      <c r="J91" s="4">
        <v>0</v>
      </c>
      <c r="K91" s="4">
        <v>0</v>
      </c>
      <c r="L91" s="77">
        <v>149</v>
      </c>
      <c r="M91" s="77">
        <v>9</v>
      </c>
      <c r="N91" s="77">
        <v>158</v>
      </c>
      <c r="O91" s="4">
        <v>113</v>
      </c>
      <c r="P91" s="4">
        <v>1737</v>
      </c>
      <c r="Q91" s="2" t="s">
        <v>872</v>
      </c>
      <c r="R91" s="4">
        <v>48</v>
      </c>
      <c r="S91" s="4">
        <v>589</v>
      </c>
      <c r="T91" s="4">
        <v>0</v>
      </c>
      <c r="U91" s="4">
        <v>0</v>
      </c>
      <c r="V91" s="4">
        <v>18</v>
      </c>
      <c r="W91" s="4">
        <v>194</v>
      </c>
      <c r="X91" s="77">
        <v>8</v>
      </c>
      <c r="Y91" s="77">
        <v>160</v>
      </c>
      <c r="Z91" s="4">
        <v>139</v>
      </c>
      <c r="AA91" s="4">
        <v>2091</v>
      </c>
      <c r="AB91" s="77">
        <f>Table4[[#This Row],[Total Attendance]]/Table4[[#This Row],[Total Events]]</f>
        <v>15.043165467625899</v>
      </c>
      <c r="AC91" s="77">
        <f>Table4[[#This Row],[Total Attendance]]/AD91</f>
        <v>0.33922777417261518</v>
      </c>
      <c r="AD91" s="77">
        <v>6164</v>
      </c>
    </row>
    <row r="92" spans="1:30" ht="13.5" thickBot="1" x14ac:dyDescent="0.25">
      <c r="A92" s="2" t="s">
        <v>303</v>
      </c>
      <c r="B92" s="1" t="s">
        <v>302</v>
      </c>
      <c r="C92" s="2" t="s">
        <v>24</v>
      </c>
      <c r="D92" s="4">
        <v>23</v>
      </c>
      <c r="E92" s="4">
        <v>415</v>
      </c>
      <c r="F92" s="4">
        <v>0</v>
      </c>
      <c r="G92" s="4">
        <v>0</v>
      </c>
      <c r="H92" s="4">
        <v>6</v>
      </c>
      <c r="I92" s="4">
        <v>411</v>
      </c>
      <c r="J92" s="4">
        <v>0</v>
      </c>
      <c r="K92" s="4">
        <v>0</v>
      </c>
      <c r="L92" s="77">
        <v>98</v>
      </c>
      <c r="M92" s="77">
        <v>22</v>
      </c>
      <c r="N92" s="77">
        <v>120</v>
      </c>
      <c r="O92" s="4">
        <v>29</v>
      </c>
      <c r="P92" s="4">
        <v>826</v>
      </c>
      <c r="Q92" s="2" t="s">
        <v>872</v>
      </c>
      <c r="R92" s="4">
        <v>15</v>
      </c>
      <c r="S92" s="4">
        <v>245</v>
      </c>
      <c r="T92" s="4">
        <v>0</v>
      </c>
      <c r="U92" s="4">
        <v>0</v>
      </c>
      <c r="V92" s="4">
        <v>24</v>
      </c>
      <c r="W92" s="4">
        <v>624</v>
      </c>
      <c r="X92" s="77">
        <v>0</v>
      </c>
      <c r="Y92" s="77">
        <v>0</v>
      </c>
      <c r="Z92" s="4">
        <v>53</v>
      </c>
      <c r="AA92" s="4">
        <v>1450</v>
      </c>
      <c r="AB92" s="77">
        <f>Table4[[#This Row],[Total Attendance]]/Table4[[#This Row],[Total Events]]</f>
        <v>27.358490566037737</v>
      </c>
      <c r="AC92" s="77">
        <f>Table4[[#This Row],[Total Attendance]]/AD92</f>
        <v>0.25704662293919517</v>
      </c>
      <c r="AD92" s="77">
        <v>5641</v>
      </c>
    </row>
    <row r="93" spans="1:30" ht="13.5" thickBot="1" x14ac:dyDescent="0.25">
      <c r="A93" s="2" t="s">
        <v>347</v>
      </c>
      <c r="B93" s="1" t="s">
        <v>346</v>
      </c>
      <c r="C93" s="2" t="s">
        <v>24</v>
      </c>
      <c r="D93" s="4">
        <v>1</v>
      </c>
      <c r="E93" s="4">
        <v>11</v>
      </c>
      <c r="F93" s="4">
        <v>0</v>
      </c>
      <c r="G93" s="4">
        <v>0</v>
      </c>
      <c r="H93" s="4">
        <v>1</v>
      </c>
      <c r="I93" s="4">
        <v>67</v>
      </c>
      <c r="J93" s="77">
        <v>1</v>
      </c>
      <c r="K93" s="77">
        <v>13</v>
      </c>
      <c r="L93" s="77">
        <v>0</v>
      </c>
      <c r="M93" s="77">
        <v>0</v>
      </c>
      <c r="N93" s="77">
        <v>0</v>
      </c>
      <c r="O93" s="4">
        <v>2</v>
      </c>
      <c r="P93" s="4">
        <v>78</v>
      </c>
      <c r="Q93" s="2" t="s">
        <v>873</v>
      </c>
      <c r="R93" s="4">
        <v>0</v>
      </c>
      <c r="S93" s="4">
        <v>0</v>
      </c>
      <c r="T93" s="4">
        <v>1</v>
      </c>
      <c r="U93" s="4">
        <v>13</v>
      </c>
      <c r="V93" s="77">
        <v>0</v>
      </c>
      <c r="W93" s="77">
        <v>0</v>
      </c>
      <c r="X93" s="77">
        <v>0</v>
      </c>
      <c r="Y93" s="77">
        <v>0</v>
      </c>
      <c r="Z93" s="4">
        <v>3</v>
      </c>
      <c r="AA93" s="4">
        <v>91</v>
      </c>
      <c r="AB93" s="77">
        <f>Table4[[#This Row],[Total Attendance]]/Table4[[#This Row],[Total Events]]</f>
        <v>30.333333333333332</v>
      </c>
      <c r="AC93" s="77">
        <f>Table4[[#This Row],[Total Attendance]]/AD93</f>
        <v>1.3321622017274191E-2</v>
      </c>
      <c r="AD93" s="77">
        <v>6831</v>
      </c>
    </row>
    <row r="94" spans="1:30" ht="13.5" thickBot="1" x14ac:dyDescent="0.25">
      <c r="A94" s="2" t="s">
        <v>349</v>
      </c>
      <c r="B94" s="1" t="s">
        <v>348</v>
      </c>
      <c r="C94" s="2" t="s">
        <v>24</v>
      </c>
      <c r="D94" s="4">
        <v>15</v>
      </c>
      <c r="E94" s="4">
        <v>401</v>
      </c>
      <c r="F94" s="4">
        <v>0</v>
      </c>
      <c r="G94" s="4">
        <v>0</v>
      </c>
      <c r="H94" s="4">
        <v>8</v>
      </c>
      <c r="I94" s="4">
        <v>390</v>
      </c>
      <c r="J94" s="77">
        <v>0</v>
      </c>
      <c r="K94" s="77">
        <v>0</v>
      </c>
      <c r="L94" s="4">
        <v>107</v>
      </c>
      <c r="M94" s="77">
        <v>17</v>
      </c>
      <c r="N94" s="4">
        <v>124</v>
      </c>
      <c r="O94" s="4">
        <v>23</v>
      </c>
      <c r="P94" s="4">
        <v>791</v>
      </c>
      <c r="Q94" s="2" t="s">
        <v>873</v>
      </c>
      <c r="R94" s="4">
        <v>2</v>
      </c>
      <c r="S94" s="4">
        <v>53</v>
      </c>
      <c r="T94" s="4">
        <v>0</v>
      </c>
      <c r="U94" s="4">
        <v>0</v>
      </c>
      <c r="V94" s="4">
        <v>18</v>
      </c>
      <c r="W94" s="4">
        <v>110</v>
      </c>
      <c r="X94" s="4">
        <v>10</v>
      </c>
      <c r="Y94" s="4">
        <v>328</v>
      </c>
      <c r="Z94" s="4">
        <v>51</v>
      </c>
      <c r="AA94" s="4">
        <v>1229</v>
      </c>
      <c r="AB94" s="77">
        <f>Table4[[#This Row],[Total Attendance]]/Table4[[#This Row],[Total Events]]</f>
        <v>24.098039215686274</v>
      </c>
      <c r="AC94" s="77">
        <f>Table4[[#This Row],[Total Attendance]]/AD94</f>
        <v>0.20084981206079425</v>
      </c>
      <c r="AD94" s="77">
        <v>6119</v>
      </c>
    </row>
    <row r="95" spans="1:30" ht="13.5" thickBot="1" x14ac:dyDescent="0.25">
      <c r="A95" s="2" t="s">
        <v>359</v>
      </c>
      <c r="B95" s="1" t="s">
        <v>358</v>
      </c>
      <c r="C95" s="2" t="s">
        <v>24</v>
      </c>
      <c r="D95" s="4">
        <v>72</v>
      </c>
      <c r="E95" s="4">
        <v>2989</v>
      </c>
      <c r="F95" s="4">
        <v>4</v>
      </c>
      <c r="G95" s="4">
        <v>35</v>
      </c>
      <c r="H95" s="4">
        <v>35</v>
      </c>
      <c r="I95" s="4">
        <v>1528</v>
      </c>
      <c r="J95" s="4">
        <v>10</v>
      </c>
      <c r="K95" s="4">
        <v>50</v>
      </c>
      <c r="L95" s="4">
        <v>144</v>
      </c>
      <c r="M95" s="77">
        <v>12</v>
      </c>
      <c r="N95" s="4">
        <v>156</v>
      </c>
      <c r="O95" s="4">
        <v>107</v>
      </c>
      <c r="P95" s="4">
        <v>4517</v>
      </c>
      <c r="Q95" s="2" t="s">
        <v>872</v>
      </c>
      <c r="R95" s="4">
        <v>45</v>
      </c>
      <c r="S95" s="4">
        <v>195</v>
      </c>
      <c r="T95" s="4">
        <v>14</v>
      </c>
      <c r="U95" s="4">
        <v>85</v>
      </c>
      <c r="V95" s="4">
        <v>12</v>
      </c>
      <c r="W95" s="4">
        <v>65</v>
      </c>
      <c r="X95" s="4">
        <v>5</v>
      </c>
      <c r="Y95" s="4">
        <v>62</v>
      </c>
      <c r="Z95" s="4">
        <v>138</v>
      </c>
      <c r="AA95" s="4">
        <v>4729</v>
      </c>
      <c r="AB95" s="77">
        <f>Table4[[#This Row],[Total Attendance]]/Table4[[#This Row],[Total Events]]</f>
        <v>34.268115942028984</v>
      </c>
      <c r="AC95" s="77">
        <f>Table4[[#This Row],[Total Attendance]]/AD95</f>
        <v>0.71847462777271343</v>
      </c>
      <c r="AD95" s="77">
        <v>6582</v>
      </c>
    </row>
    <row r="96" spans="1:30" ht="13.5" thickBot="1" x14ac:dyDescent="0.25">
      <c r="A96" s="2" t="s">
        <v>369</v>
      </c>
      <c r="B96" s="1" t="s">
        <v>368</v>
      </c>
      <c r="C96" s="2" t="s">
        <v>24</v>
      </c>
      <c r="D96" s="4">
        <v>61</v>
      </c>
      <c r="E96" s="4">
        <v>493</v>
      </c>
      <c r="F96" s="4">
        <v>0</v>
      </c>
      <c r="G96" s="4">
        <v>0</v>
      </c>
      <c r="H96" s="4">
        <v>12</v>
      </c>
      <c r="I96" s="4">
        <v>289</v>
      </c>
      <c r="J96" s="77">
        <v>6</v>
      </c>
      <c r="K96" s="77">
        <v>90</v>
      </c>
      <c r="L96" s="4">
        <v>65</v>
      </c>
      <c r="M96" s="4">
        <v>23</v>
      </c>
      <c r="N96" s="4">
        <v>88</v>
      </c>
      <c r="O96" s="4">
        <v>73</v>
      </c>
      <c r="P96" s="4">
        <v>782</v>
      </c>
      <c r="Q96" s="2" t="s">
        <v>872</v>
      </c>
      <c r="R96" s="4">
        <v>52</v>
      </c>
      <c r="S96" s="4">
        <v>421</v>
      </c>
      <c r="T96" s="4">
        <v>6</v>
      </c>
      <c r="U96" s="4">
        <v>90</v>
      </c>
      <c r="V96" s="4">
        <v>3</v>
      </c>
      <c r="W96" s="4">
        <v>32</v>
      </c>
      <c r="X96" s="4">
        <v>1</v>
      </c>
      <c r="Y96" s="4">
        <v>68</v>
      </c>
      <c r="Z96" s="4">
        <v>83</v>
      </c>
      <c r="AA96" s="4">
        <v>972</v>
      </c>
      <c r="AB96" s="77">
        <f>Table4[[#This Row],[Total Attendance]]/Table4[[#This Row],[Total Events]]</f>
        <v>11.710843373493976</v>
      </c>
      <c r="AC96" s="77">
        <f>Table4[[#This Row],[Total Attendance]]/AD96</f>
        <v>0.16382942861958538</v>
      </c>
      <c r="AD96" s="77">
        <v>5933</v>
      </c>
    </row>
    <row r="97" spans="1:30" ht="13.5" thickBot="1" x14ac:dyDescent="0.25">
      <c r="A97" s="2" t="s">
        <v>377</v>
      </c>
      <c r="B97" s="1" t="s">
        <v>376</v>
      </c>
      <c r="C97" s="2" t="s">
        <v>24</v>
      </c>
      <c r="D97" s="4">
        <v>45</v>
      </c>
      <c r="E97" s="4">
        <v>294</v>
      </c>
      <c r="F97" s="4">
        <v>1</v>
      </c>
      <c r="G97" s="4">
        <v>32</v>
      </c>
      <c r="H97" s="4">
        <v>4</v>
      </c>
      <c r="I97" s="4">
        <v>80</v>
      </c>
      <c r="J97" s="77">
        <v>4</v>
      </c>
      <c r="K97" s="77">
        <v>24</v>
      </c>
      <c r="L97" s="77">
        <v>55</v>
      </c>
      <c r="M97" s="77">
        <v>13</v>
      </c>
      <c r="N97" s="77">
        <v>68</v>
      </c>
      <c r="O97" s="4">
        <v>49</v>
      </c>
      <c r="P97" s="4">
        <v>374</v>
      </c>
      <c r="Q97" s="2" t="s">
        <v>872</v>
      </c>
      <c r="R97" s="77">
        <v>0</v>
      </c>
      <c r="S97" s="77">
        <v>0</v>
      </c>
      <c r="T97" s="4">
        <v>5</v>
      </c>
      <c r="U97" s="4">
        <v>56</v>
      </c>
      <c r="V97" s="4">
        <v>13</v>
      </c>
      <c r="W97" s="4">
        <v>185</v>
      </c>
      <c r="X97" s="77">
        <v>1</v>
      </c>
      <c r="Y97" s="77">
        <v>51</v>
      </c>
      <c r="Z97" s="4">
        <v>68</v>
      </c>
      <c r="AA97" s="4">
        <v>666</v>
      </c>
      <c r="AB97" s="77">
        <f>Table4[[#This Row],[Total Attendance]]/Table4[[#This Row],[Total Events]]</f>
        <v>9.7941176470588243</v>
      </c>
      <c r="AC97" s="77">
        <f>Table4[[#This Row],[Total Attendance]]/AD97</f>
        <v>0.15781990521327013</v>
      </c>
      <c r="AD97" s="77">
        <v>4220</v>
      </c>
    </row>
    <row r="98" spans="1:30" ht="13.5" thickBot="1" x14ac:dyDescent="0.25">
      <c r="A98" s="2" t="s">
        <v>381</v>
      </c>
      <c r="B98" s="1" t="s">
        <v>380</v>
      </c>
      <c r="C98" s="2" t="s">
        <v>24</v>
      </c>
      <c r="D98" s="77">
        <v>70</v>
      </c>
      <c r="E98" s="77">
        <v>812</v>
      </c>
      <c r="F98" s="77">
        <v>40</v>
      </c>
      <c r="G98" s="77">
        <v>373</v>
      </c>
      <c r="H98" s="77">
        <v>30</v>
      </c>
      <c r="I98" s="77">
        <v>801</v>
      </c>
      <c r="J98" s="77">
        <v>8</v>
      </c>
      <c r="K98" s="77">
        <v>184</v>
      </c>
      <c r="L98" s="77">
        <v>185</v>
      </c>
      <c r="M98" s="77">
        <v>85</v>
      </c>
      <c r="N98" s="77">
        <v>270</v>
      </c>
      <c r="O98" s="77">
        <v>100</v>
      </c>
      <c r="P98" s="77">
        <v>1613</v>
      </c>
      <c r="Q98" s="2" t="s">
        <v>872</v>
      </c>
      <c r="R98" s="77">
        <v>6</v>
      </c>
      <c r="S98" s="77">
        <v>32</v>
      </c>
      <c r="T98" s="77">
        <v>48</v>
      </c>
      <c r="U98" s="77">
        <v>557</v>
      </c>
      <c r="V98" s="77">
        <v>168</v>
      </c>
      <c r="W98" s="77">
        <v>5886</v>
      </c>
      <c r="X98" s="77">
        <v>21</v>
      </c>
      <c r="Y98" s="77">
        <v>400</v>
      </c>
      <c r="Z98" s="77">
        <v>337</v>
      </c>
      <c r="AA98" s="77">
        <v>8456</v>
      </c>
      <c r="AB98" s="77">
        <f>Table4[[#This Row],[Total Attendance]]/Table4[[#This Row],[Total Events]]</f>
        <v>25.091988130563799</v>
      </c>
      <c r="AC98" s="77">
        <f>Table4[[#This Row],[Total Attendance]]/AD98</f>
        <v>1.8342733188720173</v>
      </c>
      <c r="AD98" s="77">
        <v>4610</v>
      </c>
    </row>
    <row r="99" spans="1:30" ht="13.5" thickBot="1" x14ac:dyDescent="0.25">
      <c r="A99" s="2" t="s">
        <v>387</v>
      </c>
      <c r="B99" s="1" t="s">
        <v>386</v>
      </c>
      <c r="C99" s="2" t="s">
        <v>24</v>
      </c>
      <c r="D99" s="4">
        <v>47</v>
      </c>
      <c r="E99" s="4">
        <v>375</v>
      </c>
      <c r="F99" s="4">
        <v>4</v>
      </c>
      <c r="G99" s="4">
        <v>15</v>
      </c>
      <c r="H99" s="4">
        <v>8</v>
      </c>
      <c r="I99" s="4">
        <v>209</v>
      </c>
      <c r="J99" s="77">
        <v>2</v>
      </c>
      <c r="K99" s="77">
        <v>4</v>
      </c>
      <c r="L99" s="77">
        <v>46</v>
      </c>
      <c r="M99" s="77">
        <v>5</v>
      </c>
      <c r="N99" s="77">
        <v>51</v>
      </c>
      <c r="O99" s="4">
        <v>55</v>
      </c>
      <c r="P99" s="4">
        <v>584</v>
      </c>
      <c r="Q99" s="2" t="s">
        <v>872</v>
      </c>
      <c r="R99" s="4">
        <v>8</v>
      </c>
      <c r="S99" s="4">
        <v>20</v>
      </c>
      <c r="T99" s="4">
        <v>6</v>
      </c>
      <c r="U99" s="4">
        <v>19</v>
      </c>
      <c r="V99" s="4">
        <v>72</v>
      </c>
      <c r="W99" s="4">
        <v>599</v>
      </c>
      <c r="X99" s="4">
        <v>1</v>
      </c>
      <c r="Y99" s="4">
        <v>619</v>
      </c>
      <c r="Z99" s="4">
        <v>134</v>
      </c>
      <c r="AA99" s="4">
        <v>1821</v>
      </c>
      <c r="AB99" s="77">
        <f>Table4[[#This Row],[Total Attendance]]/Table4[[#This Row],[Total Events]]</f>
        <v>13.58955223880597</v>
      </c>
      <c r="AC99" s="77">
        <f>Table4[[#This Row],[Total Attendance]]/AD99</f>
        <v>0.3292352196709456</v>
      </c>
      <c r="AD99" s="77">
        <v>5531</v>
      </c>
    </row>
    <row r="100" spans="1:30" ht="13.5" thickBot="1" x14ac:dyDescent="0.25">
      <c r="A100" s="2" t="s">
        <v>391</v>
      </c>
      <c r="B100" s="1" t="s">
        <v>390</v>
      </c>
      <c r="C100" s="2" t="s">
        <v>24</v>
      </c>
      <c r="D100" s="4">
        <v>92</v>
      </c>
      <c r="E100" s="4">
        <v>1765</v>
      </c>
      <c r="F100" s="4">
        <v>0</v>
      </c>
      <c r="G100" s="4">
        <v>0</v>
      </c>
      <c r="H100" s="4">
        <v>21</v>
      </c>
      <c r="I100" s="4">
        <v>496</v>
      </c>
      <c r="J100" s="4">
        <v>0</v>
      </c>
      <c r="K100" s="4">
        <v>0</v>
      </c>
      <c r="L100" s="4">
        <v>17</v>
      </c>
      <c r="M100" s="77">
        <v>3</v>
      </c>
      <c r="N100" s="4">
        <v>20</v>
      </c>
      <c r="O100" s="4">
        <v>113</v>
      </c>
      <c r="P100" s="4">
        <v>2261</v>
      </c>
      <c r="Q100" s="2" t="s">
        <v>872</v>
      </c>
      <c r="R100" s="4">
        <v>92</v>
      </c>
      <c r="S100" s="4">
        <v>1765</v>
      </c>
      <c r="T100" s="4">
        <v>0</v>
      </c>
      <c r="U100" s="4">
        <v>0</v>
      </c>
      <c r="V100" s="4">
        <v>35</v>
      </c>
      <c r="W100" s="4">
        <v>241</v>
      </c>
      <c r="X100" s="4">
        <v>0</v>
      </c>
      <c r="Y100" s="4">
        <v>0</v>
      </c>
      <c r="Z100" s="4">
        <v>148</v>
      </c>
      <c r="AA100" s="4">
        <v>2502</v>
      </c>
      <c r="AB100" s="77">
        <f>Table4[[#This Row],[Total Attendance]]/Table4[[#This Row],[Total Events]]</f>
        <v>16.905405405405407</v>
      </c>
      <c r="AC100" s="77">
        <f>Table4[[#This Row],[Total Attendance]]/AD100</f>
        <v>0.48991580184061095</v>
      </c>
      <c r="AD100" s="77">
        <v>5107</v>
      </c>
    </row>
    <row r="101" spans="1:30" ht="13.5" thickBot="1" x14ac:dyDescent="0.25">
      <c r="A101" s="2" t="s">
        <v>397</v>
      </c>
      <c r="B101" s="1" t="s">
        <v>396</v>
      </c>
      <c r="C101" s="2" t="s">
        <v>24</v>
      </c>
      <c r="D101" s="77">
        <v>120</v>
      </c>
      <c r="E101" s="77">
        <v>2101</v>
      </c>
      <c r="F101" s="77">
        <v>6</v>
      </c>
      <c r="G101" s="77">
        <v>63</v>
      </c>
      <c r="H101" s="77">
        <v>7</v>
      </c>
      <c r="I101" s="77">
        <v>575</v>
      </c>
      <c r="J101" s="77">
        <v>7</v>
      </c>
      <c r="K101" s="77">
        <v>9</v>
      </c>
      <c r="L101" s="77">
        <v>188</v>
      </c>
      <c r="M101" s="77">
        <v>18</v>
      </c>
      <c r="N101" s="77">
        <v>206</v>
      </c>
      <c r="O101" s="77">
        <v>127</v>
      </c>
      <c r="P101" s="77">
        <v>2676</v>
      </c>
      <c r="Q101" s="2" t="s">
        <v>872</v>
      </c>
      <c r="R101" s="77">
        <v>127</v>
      </c>
      <c r="S101" s="77">
        <v>2676</v>
      </c>
      <c r="T101" s="77">
        <v>13</v>
      </c>
      <c r="U101" s="77">
        <v>72</v>
      </c>
      <c r="V101" s="77">
        <v>167</v>
      </c>
      <c r="W101" s="77">
        <v>1240</v>
      </c>
      <c r="X101" s="77">
        <v>15</v>
      </c>
      <c r="Y101" s="77">
        <v>1326</v>
      </c>
      <c r="Z101" s="77">
        <v>322</v>
      </c>
      <c r="AA101" s="77">
        <v>5314</v>
      </c>
      <c r="AB101" s="77">
        <f>Table4[[#This Row],[Total Attendance]]/Table4[[#This Row],[Total Events]]</f>
        <v>16.503105590062113</v>
      </c>
      <c r="AC101" s="77">
        <f>Table4[[#This Row],[Total Attendance]]/AD101</f>
        <v>0.91874135546334712</v>
      </c>
      <c r="AD101" s="77">
        <v>5784</v>
      </c>
    </row>
    <row r="102" spans="1:30" ht="13.5" thickBot="1" x14ac:dyDescent="0.25">
      <c r="A102" s="2" t="s">
        <v>403</v>
      </c>
      <c r="B102" s="1" t="s">
        <v>402</v>
      </c>
      <c r="C102" s="2" t="s">
        <v>24</v>
      </c>
      <c r="D102" s="4">
        <v>63</v>
      </c>
      <c r="E102" s="4">
        <v>1423</v>
      </c>
      <c r="F102" s="4">
        <v>4</v>
      </c>
      <c r="G102" s="4">
        <v>90</v>
      </c>
      <c r="H102" s="4">
        <v>27</v>
      </c>
      <c r="I102" s="4">
        <v>845</v>
      </c>
      <c r="J102" s="77">
        <v>6</v>
      </c>
      <c r="K102" s="77">
        <v>139</v>
      </c>
      <c r="L102" s="77">
        <v>68</v>
      </c>
      <c r="M102" s="77">
        <v>14</v>
      </c>
      <c r="N102" s="77">
        <v>82</v>
      </c>
      <c r="O102" s="4">
        <v>90</v>
      </c>
      <c r="P102" s="4">
        <v>2268</v>
      </c>
      <c r="Q102" s="2" t="s">
        <v>872</v>
      </c>
      <c r="R102" s="77">
        <v>14</v>
      </c>
      <c r="S102" s="77">
        <v>387</v>
      </c>
      <c r="T102" s="4">
        <v>10</v>
      </c>
      <c r="U102" s="4">
        <v>229</v>
      </c>
      <c r="V102" s="77">
        <v>25</v>
      </c>
      <c r="W102" s="77">
        <v>155</v>
      </c>
      <c r="X102" s="77">
        <v>0</v>
      </c>
      <c r="Y102" s="77">
        <v>0</v>
      </c>
      <c r="Z102" s="4">
        <v>125</v>
      </c>
      <c r="AA102" s="4">
        <v>2652</v>
      </c>
      <c r="AB102" s="77">
        <f>Table4[[#This Row],[Total Attendance]]/Table4[[#This Row],[Total Events]]</f>
        <v>21.216000000000001</v>
      </c>
      <c r="AC102" s="77">
        <f>Table4[[#This Row],[Total Attendance]]/AD102</f>
        <v>0.4642044460003501</v>
      </c>
      <c r="AD102" s="77">
        <v>5713</v>
      </c>
    </row>
    <row r="103" spans="1:30" ht="13.5" thickBot="1" x14ac:dyDescent="0.25">
      <c r="A103" s="2" t="s">
        <v>407</v>
      </c>
      <c r="B103" s="1" t="s">
        <v>406</v>
      </c>
      <c r="C103" s="2" t="s">
        <v>24</v>
      </c>
      <c r="D103" s="4">
        <v>51</v>
      </c>
      <c r="E103" s="4">
        <v>1130</v>
      </c>
      <c r="F103" s="4">
        <v>15</v>
      </c>
      <c r="G103" s="4">
        <v>416</v>
      </c>
      <c r="H103" s="4">
        <v>15</v>
      </c>
      <c r="I103" s="4">
        <v>447</v>
      </c>
      <c r="J103" s="4">
        <v>7</v>
      </c>
      <c r="K103" s="4">
        <v>89</v>
      </c>
      <c r="L103" s="4">
        <v>110</v>
      </c>
      <c r="M103" s="77">
        <v>46</v>
      </c>
      <c r="N103" s="4">
        <v>156</v>
      </c>
      <c r="O103" s="4">
        <v>66</v>
      </c>
      <c r="P103" s="4">
        <v>1577</v>
      </c>
      <c r="Q103" s="2" t="s">
        <v>872</v>
      </c>
      <c r="R103" s="4">
        <v>37</v>
      </c>
      <c r="S103" s="4">
        <v>556</v>
      </c>
      <c r="T103" s="4">
        <v>22</v>
      </c>
      <c r="U103" s="4">
        <v>505</v>
      </c>
      <c r="V103" s="4">
        <v>46</v>
      </c>
      <c r="W103" s="4">
        <v>285</v>
      </c>
      <c r="X103" s="4">
        <v>4</v>
      </c>
      <c r="Y103" s="4">
        <v>151</v>
      </c>
      <c r="Z103" s="4">
        <v>138</v>
      </c>
      <c r="AA103" s="4">
        <v>2518</v>
      </c>
      <c r="AB103" s="77">
        <f>Table4[[#This Row],[Total Attendance]]/Table4[[#This Row],[Total Events]]</f>
        <v>18.246376811594203</v>
      </c>
      <c r="AC103" s="77">
        <f>Table4[[#This Row],[Total Attendance]]/AD103</f>
        <v>0.39081173366444205</v>
      </c>
      <c r="AD103" s="77">
        <v>6443</v>
      </c>
    </row>
    <row r="104" spans="1:30" ht="13.5" thickBot="1" x14ac:dyDescent="0.25">
      <c r="A104" s="2" t="s">
        <v>411</v>
      </c>
      <c r="B104" s="1" t="s">
        <v>410</v>
      </c>
      <c r="C104" s="2" t="s">
        <v>24</v>
      </c>
      <c r="D104" s="4">
        <v>3</v>
      </c>
      <c r="E104" s="4">
        <v>32</v>
      </c>
      <c r="F104" s="4">
        <v>1</v>
      </c>
      <c r="G104" s="4">
        <v>0</v>
      </c>
      <c r="H104" s="4">
        <v>5</v>
      </c>
      <c r="I104" s="4">
        <v>30</v>
      </c>
      <c r="J104" s="77">
        <v>5</v>
      </c>
      <c r="K104" s="77">
        <v>1</v>
      </c>
      <c r="L104" s="4">
        <v>10</v>
      </c>
      <c r="M104" s="77">
        <v>1</v>
      </c>
      <c r="N104" s="4">
        <v>11</v>
      </c>
      <c r="O104" s="4">
        <v>8</v>
      </c>
      <c r="P104" s="4">
        <v>62</v>
      </c>
      <c r="Q104" s="2" t="s">
        <v>873</v>
      </c>
      <c r="R104" s="4">
        <v>0</v>
      </c>
      <c r="S104" s="4">
        <v>0</v>
      </c>
      <c r="T104" s="4">
        <v>6</v>
      </c>
      <c r="U104" s="4">
        <v>1</v>
      </c>
      <c r="V104" s="4">
        <v>1</v>
      </c>
      <c r="W104" s="4">
        <v>2</v>
      </c>
      <c r="X104" s="4">
        <v>0</v>
      </c>
      <c r="Y104" s="4">
        <v>0</v>
      </c>
      <c r="Z104" s="4">
        <v>15</v>
      </c>
      <c r="AA104" s="4">
        <v>65</v>
      </c>
      <c r="AB104" s="77">
        <f>Table4[[#This Row],[Total Attendance]]/Table4[[#This Row],[Total Events]]</f>
        <v>4.333333333333333</v>
      </c>
      <c r="AC104" s="77">
        <f>Table4[[#This Row],[Total Attendance]]/AD104</f>
        <v>1.5931372549019607E-2</v>
      </c>
      <c r="AD104" s="77">
        <v>4080</v>
      </c>
    </row>
    <row r="105" spans="1:30" ht="13.5" thickBot="1" x14ac:dyDescent="0.25">
      <c r="A105" s="2" t="s">
        <v>413</v>
      </c>
      <c r="B105" s="1" t="s">
        <v>412</v>
      </c>
      <c r="C105" s="2" t="s">
        <v>24</v>
      </c>
      <c r="D105" s="4">
        <v>90</v>
      </c>
      <c r="E105" s="4">
        <v>2090</v>
      </c>
      <c r="F105" s="4">
        <v>9</v>
      </c>
      <c r="G105" s="4">
        <v>132</v>
      </c>
      <c r="H105" s="4">
        <v>10</v>
      </c>
      <c r="I105" s="4">
        <v>1463</v>
      </c>
      <c r="J105" s="77">
        <v>2</v>
      </c>
      <c r="K105" s="77">
        <v>24</v>
      </c>
      <c r="L105" s="4">
        <v>46</v>
      </c>
      <c r="M105" s="77">
        <v>23</v>
      </c>
      <c r="N105" s="4">
        <v>69</v>
      </c>
      <c r="O105" s="4">
        <v>100</v>
      </c>
      <c r="P105" s="4">
        <v>3553</v>
      </c>
      <c r="Q105" s="2" t="s">
        <v>872</v>
      </c>
      <c r="R105" s="77">
        <v>53</v>
      </c>
      <c r="S105" s="77">
        <v>1269</v>
      </c>
      <c r="T105" s="4">
        <v>11</v>
      </c>
      <c r="U105" s="4">
        <v>156</v>
      </c>
      <c r="V105" s="77">
        <v>54</v>
      </c>
      <c r="W105" s="77">
        <v>353</v>
      </c>
      <c r="X105" s="77">
        <v>10</v>
      </c>
      <c r="Y105" s="77">
        <v>609</v>
      </c>
      <c r="Z105" s="4">
        <v>175</v>
      </c>
      <c r="AA105" s="4">
        <v>4671</v>
      </c>
      <c r="AB105" s="77">
        <f>Table4[[#This Row],[Total Attendance]]/Table4[[#This Row],[Total Events]]</f>
        <v>26.69142857142857</v>
      </c>
      <c r="AC105" s="77">
        <f>Table4[[#This Row],[Total Attendance]]/AD105</f>
        <v>0.8965451055662188</v>
      </c>
      <c r="AD105" s="77">
        <v>5210</v>
      </c>
    </row>
    <row r="106" spans="1:30" ht="13.5" thickBot="1" x14ac:dyDescent="0.25">
      <c r="A106" s="2" t="s">
        <v>415</v>
      </c>
      <c r="B106" s="1" t="s">
        <v>414</v>
      </c>
      <c r="C106" s="2" t="s">
        <v>24</v>
      </c>
      <c r="D106" s="4">
        <v>54</v>
      </c>
      <c r="E106" s="4">
        <v>434</v>
      </c>
      <c r="F106" s="4">
        <v>211</v>
      </c>
      <c r="G106" s="4">
        <v>4655</v>
      </c>
      <c r="H106" s="4">
        <v>4</v>
      </c>
      <c r="I106" s="4">
        <v>254</v>
      </c>
      <c r="J106" s="77">
        <v>0</v>
      </c>
      <c r="K106" s="77">
        <v>0</v>
      </c>
      <c r="L106" s="77">
        <v>64</v>
      </c>
      <c r="M106" s="77">
        <v>0</v>
      </c>
      <c r="N106" s="77">
        <v>64</v>
      </c>
      <c r="O106" s="4">
        <v>58</v>
      </c>
      <c r="P106" s="4">
        <v>688</v>
      </c>
      <c r="Q106" s="2" t="s">
        <v>872</v>
      </c>
      <c r="R106" s="4">
        <v>54</v>
      </c>
      <c r="S106" s="4">
        <v>434</v>
      </c>
      <c r="T106" s="4">
        <v>211</v>
      </c>
      <c r="U106" s="4">
        <v>4655</v>
      </c>
      <c r="V106" s="4">
        <v>2</v>
      </c>
      <c r="W106" s="4">
        <v>28</v>
      </c>
      <c r="X106" s="4">
        <v>0</v>
      </c>
      <c r="Y106" s="4">
        <v>0</v>
      </c>
      <c r="Z106" s="4">
        <v>271</v>
      </c>
      <c r="AA106" s="4">
        <v>5371</v>
      </c>
      <c r="AB106" s="77">
        <f>Table4[[#This Row],[Total Attendance]]/Table4[[#This Row],[Total Events]]</f>
        <v>19.819188191881917</v>
      </c>
      <c r="AC106" s="77">
        <f>Table4[[#This Row],[Total Attendance]]/AD106</f>
        <v>0.76761469201086174</v>
      </c>
      <c r="AD106" s="77">
        <v>6997</v>
      </c>
    </row>
    <row r="107" spans="1:30" ht="13.5" thickBot="1" x14ac:dyDescent="0.25">
      <c r="A107" s="2" t="s">
        <v>429</v>
      </c>
      <c r="B107" s="1" t="s">
        <v>428</v>
      </c>
      <c r="C107" s="2" t="s">
        <v>24</v>
      </c>
      <c r="D107" s="4">
        <v>118</v>
      </c>
      <c r="E107" s="4">
        <v>1866</v>
      </c>
      <c r="F107" s="4">
        <v>22</v>
      </c>
      <c r="G107" s="4">
        <v>131</v>
      </c>
      <c r="H107" s="4">
        <v>7</v>
      </c>
      <c r="I107" s="4">
        <v>598</v>
      </c>
      <c r="J107" s="77">
        <v>6</v>
      </c>
      <c r="K107" s="77">
        <v>86</v>
      </c>
      <c r="L107" s="77">
        <v>162</v>
      </c>
      <c r="M107" s="77">
        <v>50</v>
      </c>
      <c r="N107" s="77">
        <v>212</v>
      </c>
      <c r="O107" s="4">
        <v>125</v>
      </c>
      <c r="P107" s="4">
        <v>2464</v>
      </c>
      <c r="Q107" s="2" t="s">
        <v>872</v>
      </c>
      <c r="R107" s="77">
        <v>65</v>
      </c>
      <c r="S107" s="77">
        <v>696</v>
      </c>
      <c r="T107" s="4">
        <v>28</v>
      </c>
      <c r="U107" s="4">
        <v>217</v>
      </c>
      <c r="V107" s="77">
        <v>74</v>
      </c>
      <c r="W107" s="77">
        <v>679</v>
      </c>
      <c r="X107" s="77">
        <v>17</v>
      </c>
      <c r="Y107" s="77">
        <v>764</v>
      </c>
      <c r="Z107" s="4">
        <v>244</v>
      </c>
      <c r="AA107" s="4">
        <v>4124</v>
      </c>
      <c r="AB107" s="77">
        <f>Table4[[#This Row],[Total Attendance]]/Table4[[#This Row],[Total Events]]</f>
        <v>16.901639344262296</v>
      </c>
      <c r="AC107" s="77">
        <f>Table4[[#This Row],[Total Attendance]]/AD107</f>
        <v>0.98944337811900196</v>
      </c>
      <c r="AD107" s="77">
        <v>4168</v>
      </c>
    </row>
    <row r="108" spans="1:30" ht="13.5" thickBot="1" x14ac:dyDescent="0.25">
      <c r="A108" s="2" t="s">
        <v>441</v>
      </c>
      <c r="B108" s="1" t="s">
        <v>440</v>
      </c>
      <c r="C108" s="2" t="s">
        <v>24</v>
      </c>
      <c r="D108" s="77">
        <v>108</v>
      </c>
      <c r="E108" s="77">
        <v>1644</v>
      </c>
      <c r="F108" s="77">
        <v>18</v>
      </c>
      <c r="G108" s="77">
        <v>76</v>
      </c>
      <c r="H108" s="77">
        <v>33</v>
      </c>
      <c r="I108" s="77">
        <v>623</v>
      </c>
      <c r="J108" s="77">
        <v>4</v>
      </c>
      <c r="K108" s="77">
        <v>15</v>
      </c>
      <c r="L108" s="77">
        <v>258</v>
      </c>
      <c r="M108" s="77">
        <v>33</v>
      </c>
      <c r="N108" s="77">
        <v>291</v>
      </c>
      <c r="O108" s="77">
        <v>141</v>
      </c>
      <c r="P108" s="77">
        <v>2267</v>
      </c>
      <c r="Q108" s="2" t="s">
        <v>872</v>
      </c>
      <c r="R108" s="77">
        <v>105</v>
      </c>
      <c r="S108" s="77">
        <v>1703</v>
      </c>
      <c r="T108" s="77">
        <v>22</v>
      </c>
      <c r="U108" s="77">
        <v>91</v>
      </c>
      <c r="V108" s="77">
        <v>32</v>
      </c>
      <c r="W108" s="77">
        <v>281</v>
      </c>
      <c r="X108" s="77">
        <v>19</v>
      </c>
      <c r="Y108" s="77">
        <v>309</v>
      </c>
      <c r="Z108" s="77">
        <v>214</v>
      </c>
      <c r="AA108" s="77">
        <v>2948</v>
      </c>
      <c r="AB108" s="77">
        <f>Table4[[#This Row],[Total Attendance]]/Table4[[#This Row],[Total Events]]</f>
        <v>13.77570093457944</v>
      </c>
      <c r="AC108" s="77">
        <f>Table4[[#This Row],[Total Attendance]]/AD108</f>
        <v>0.59748682610458048</v>
      </c>
      <c r="AD108" s="77">
        <v>4934</v>
      </c>
    </row>
    <row r="109" spans="1:30" ht="13.5" thickBot="1" x14ac:dyDescent="0.25">
      <c r="A109" s="2" t="s">
        <v>443</v>
      </c>
      <c r="B109" s="1" t="s">
        <v>442</v>
      </c>
      <c r="C109" s="2" t="s">
        <v>24</v>
      </c>
      <c r="D109" s="4">
        <v>38</v>
      </c>
      <c r="E109" s="4">
        <v>790</v>
      </c>
      <c r="F109" s="4">
        <v>18</v>
      </c>
      <c r="G109" s="4">
        <v>179</v>
      </c>
      <c r="H109" s="4">
        <v>9</v>
      </c>
      <c r="I109" s="4">
        <v>428</v>
      </c>
      <c r="J109" s="4">
        <v>0</v>
      </c>
      <c r="K109" s="4">
        <v>0</v>
      </c>
      <c r="L109" s="4">
        <v>126</v>
      </c>
      <c r="M109" s="4">
        <v>0</v>
      </c>
      <c r="N109" s="4">
        <v>126</v>
      </c>
      <c r="O109" s="4">
        <v>47</v>
      </c>
      <c r="P109" s="4">
        <v>1218</v>
      </c>
      <c r="Q109" s="2" t="s">
        <v>872</v>
      </c>
      <c r="R109" s="4">
        <v>38</v>
      </c>
      <c r="S109" s="4">
        <v>790</v>
      </c>
      <c r="T109" s="4">
        <v>18</v>
      </c>
      <c r="U109" s="4">
        <v>179</v>
      </c>
      <c r="V109" s="4">
        <v>32</v>
      </c>
      <c r="W109" s="4">
        <v>653</v>
      </c>
      <c r="X109" s="4">
        <v>9</v>
      </c>
      <c r="Y109" s="4">
        <v>522</v>
      </c>
      <c r="Z109" s="4">
        <v>106</v>
      </c>
      <c r="AA109" s="4">
        <v>2572</v>
      </c>
      <c r="AB109" s="77">
        <f>Table4[[#This Row],[Total Attendance]]/Table4[[#This Row],[Total Events]]</f>
        <v>24.264150943396228</v>
      </c>
      <c r="AC109" s="77">
        <f>Table4[[#This Row],[Total Attendance]]/AD109</f>
        <v>0.43913266177223836</v>
      </c>
      <c r="AD109" s="77">
        <v>5857</v>
      </c>
    </row>
    <row r="110" spans="1:30" ht="13.5" thickBot="1" x14ac:dyDescent="0.25">
      <c r="A110" s="2" t="s">
        <v>465</v>
      </c>
      <c r="B110" s="1" t="s">
        <v>464</v>
      </c>
      <c r="C110" s="2" t="s">
        <v>24</v>
      </c>
      <c r="D110" s="4">
        <v>60</v>
      </c>
      <c r="E110" s="4">
        <v>406</v>
      </c>
      <c r="F110" s="4">
        <v>0</v>
      </c>
      <c r="G110" s="4">
        <v>0</v>
      </c>
      <c r="H110" s="4">
        <v>5</v>
      </c>
      <c r="I110" s="4">
        <v>76</v>
      </c>
      <c r="J110" s="78" t="s">
        <v>16</v>
      </c>
      <c r="K110" s="78" t="s">
        <v>16</v>
      </c>
      <c r="L110" s="4">
        <v>63</v>
      </c>
      <c r="M110" s="78" t="s">
        <v>16</v>
      </c>
      <c r="N110" s="4">
        <v>63</v>
      </c>
      <c r="O110" s="4">
        <v>65</v>
      </c>
      <c r="P110" s="4">
        <v>482</v>
      </c>
      <c r="Q110" s="2" t="s">
        <v>872</v>
      </c>
      <c r="R110" s="77">
        <v>52</v>
      </c>
      <c r="S110" s="77">
        <v>247</v>
      </c>
      <c r="T110" s="4">
        <v>0</v>
      </c>
      <c r="U110" s="4">
        <v>0</v>
      </c>
      <c r="V110" s="77">
        <v>12</v>
      </c>
      <c r="W110" s="77">
        <v>98</v>
      </c>
      <c r="X110" s="77">
        <v>10</v>
      </c>
      <c r="Y110" s="77">
        <v>234</v>
      </c>
      <c r="Z110" s="4">
        <v>87</v>
      </c>
      <c r="AA110" s="4">
        <v>814</v>
      </c>
      <c r="AB110" s="77">
        <f>Table4[[#This Row],[Total Attendance]]/Table4[[#This Row],[Total Events]]</f>
        <v>9.3563218390804597</v>
      </c>
      <c r="AC110" s="77">
        <f>Table4[[#This Row],[Total Attendance]]/AD110</f>
        <v>0.19657087659985512</v>
      </c>
      <c r="AD110" s="77">
        <v>4141</v>
      </c>
    </row>
    <row r="111" spans="1:30" ht="13.5" thickBot="1" x14ac:dyDescent="0.25">
      <c r="A111" s="2" t="s">
        <v>472</v>
      </c>
      <c r="B111" s="1" t="s">
        <v>471</v>
      </c>
      <c r="C111" s="2" t="s">
        <v>24</v>
      </c>
      <c r="D111" s="4">
        <v>3</v>
      </c>
      <c r="E111" s="4">
        <v>224</v>
      </c>
      <c r="F111" s="4">
        <v>0</v>
      </c>
      <c r="G111" s="4">
        <v>0</v>
      </c>
      <c r="H111" s="4">
        <v>1</v>
      </c>
      <c r="I111" s="4">
        <v>85</v>
      </c>
      <c r="J111" s="4">
        <v>0</v>
      </c>
      <c r="K111" s="4">
        <v>0</v>
      </c>
      <c r="L111" s="4">
        <v>80</v>
      </c>
      <c r="M111" s="77">
        <v>7</v>
      </c>
      <c r="N111" s="4">
        <v>87</v>
      </c>
      <c r="O111" s="4">
        <v>4</v>
      </c>
      <c r="P111" s="4">
        <v>309</v>
      </c>
      <c r="Q111" s="2" t="s">
        <v>872</v>
      </c>
      <c r="R111" s="4">
        <v>1</v>
      </c>
      <c r="S111" s="4">
        <v>9</v>
      </c>
      <c r="T111" s="4">
        <v>0</v>
      </c>
      <c r="U111" s="4">
        <v>0</v>
      </c>
      <c r="V111" s="4">
        <v>5</v>
      </c>
      <c r="W111" s="4">
        <v>120</v>
      </c>
      <c r="X111" s="4">
        <v>2</v>
      </c>
      <c r="Y111" s="4">
        <v>130</v>
      </c>
      <c r="Z111" s="4">
        <v>11</v>
      </c>
      <c r="AA111" s="4">
        <v>559</v>
      </c>
      <c r="AB111" s="77">
        <f>Table4[[#This Row],[Total Attendance]]/Table4[[#This Row],[Total Events]]</f>
        <v>50.81818181818182</v>
      </c>
      <c r="AC111" s="77">
        <f>Table4[[#This Row],[Total Attendance]]/AD111</f>
        <v>0.13319037407672146</v>
      </c>
      <c r="AD111" s="77">
        <v>4197</v>
      </c>
    </row>
    <row r="112" spans="1:30" ht="13.5" thickBot="1" x14ac:dyDescent="0.25">
      <c r="A112" s="2" t="s">
        <v>478</v>
      </c>
      <c r="B112" s="1" t="s">
        <v>477</v>
      </c>
      <c r="C112" s="2" t="s">
        <v>24</v>
      </c>
      <c r="D112" s="4">
        <v>109</v>
      </c>
      <c r="E112" s="4">
        <v>1807</v>
      </c>
      <c r="F112" s="4">
        <v>0</v>
      </c>
      <c r="G112" s="4">
        <v>0</v>
      </c>
      <c r="H112" s="4">
        <v>12</v>
      </c>
      <c r="I112" s="4">
        <v>286</v>
      </c>
      <c r="J112" s="4">
        <v>0</v>
      </c>
      <c r="K112" s="77">
        <v>0</v>
      </c>
      <c r="L112" s="4">
        <v>30</v>
      </c>
      <c r="M112" s="77">
        <v>0</v>
      </c>
      <c r="N112" s="4">
        <v>30</v>
      </c>
      <c r="O112" s="4">
        <v>121</v>
      </c>
      <c r="P112" s="4">
        <v>2093</v>
      </c>
      <c r="Q112" s="2" t="s">
        <v>873</v>
      </c>
      <c r="R112" s="4">
        <v>50</v>
      </c>
      <c r="S112" s="4">
        <v>587</v>
      </c>
      <c r="T112" s="4">
        <v>0</v>
      </c>
      <c r="U112" s="4">
        <v>0</v>
      </c>
      <c r="V112" s="4">
        <v>0</v>
      </c>
      <c r="W112" s="4">
        <v>0</v>
      </c>
      <c r="X112" s="77">
        <v>155</v>
      </c>
      <c r="Y112" s="77">
        <v>926</v>
      </c>
      <c r="Z112" s="4">
        <v>276</v>
      </c>
      <c r="AA112" s="4">
        <v>3019</v>
      </c>
      <c r="AB112" s="77">
        <f>Table4[[#This Row],[Total Attendance]]/Table4[[#This Row],[Total Events]]</f>
        <v>10.938405797101449</v>
      </c>
      <c r="AC112" s="77">
        <f>Table4[[#This Row],[Total Attendance]]/AD112</f>
        <v>0.59569850039463301</v>
      </c>
      <c r="AD112" s="77">
        <v>5068</v>
      </c>
    </row>
    <row r="113" spans="1:30" ht="13.5" thickBot="1" x14ac:dyDescent="0.25">
      <c r="A113" s="2" t="s">
        <v>482</v>
      </c>
      <c r="B113" s="1" t="s">
        <v>481</v>
      </c>
      <c r="C113" s="2" t="s">
        <v>24</v>
      </c>
      <c r="D113" s="4">
        <v>42</v>
      </c>
      <c r="E113" s="4">
        <v>111</v>
      </c>
      <c r="F113" s="4">
        <v>0</v>
      </c>
      <c r="G113" s="4">
        <v>0</v>
      </c>
      <c r="H113" s="4">
        <v>1</v>
      </c>
      <c r="I113" s="4">
        <v>30</v>
      </c>
      <c r="J113" s="78" t="s">
        <v>16</v>
      </c>
      <c r="K113" s="78" t="s">
        <v>16</v>
      </c>
      <c r="L113" s="78" t="s">
        <v>16</v>
      </c>
      <c r="M113" s="78" t="s">
        <v>16</v>
      </c>
      <c r="N113" s="78" t="s">
        <v>16</v>
      </c>
      <c r="O113" s="4">
        <v>43</v>
      </c>
      <c r="P113" s="4">
        <v>141</v>
      </c>
      <c r="Q113" s="2" t="s">
        <v>872</v>
      </c>
      <c r="R113" s="77">
        <v>1</v>
      </c>
      <c r="S113" s="77">
        <v>27</v>
      </c>
      <c r="T113" s="4">
        <v>0</v>
      </c>
      <c r="U113" s="4">
        <v>0</v>
      </c>
      <c r="V113" s="4">
        <v>0</v>
      </c>
      <c r="W113" s="4">
        <v>0</v>
      </c>
      <c r="X113" s="4">
        <v>0</v>
      </c>
      <c r="Y113" s="4">
        <v>0</v>
      </c>
      <c r="Z113" s="4">
        <v>43</v>
      </c>
      <c r="AA113" s="4">
        <v>141</v>
      </c>
      <c r="AB113" s="77">
        <f>Table4[[#This Row],[Total Attendance]]/Table4[[#This Row],[Total Events]]</f>
        <v>3.2790697674418605</v>
      </c>
      <c r="AC113" s="77">
        <f>Table4[[#This Row],[Total Attendance]]/AD113</f>
        <v>2.8381642512077296E-2</v>
      </c>
      <c r="AD113" s="77">
        <v>4968</v>
      </c>
    </row>
    <row r="114" spans="1:30" ht="13.5" thickBot="1" x14ac:dyDescent="0.25">
      <c r="A114" s="2" t="s">
        <v>494</v>
      </c>
      <c r="B114" s="1" t="s">
        <v>493</v>
      </c>
      <c r="C114" s="2" t="s">
        <v>24</v>
      </c>
      <c r="D114" s="4">
        <v>12</v>
      </c>
      <c r="E114" s="4">
        <v>460</v>
      </c>
      <c r="F114" s="4">
        <v>0</v>
      </c>
      <c r="G114" s="4">
        <v>0</v>
      </c>
      <c r="H114" s="4">
        <v>15</v>
      </c>
      <c r="I114" s="4">
        <v>263</v>
      </c>
      <c r="J114" s="77">
        <v>0</v>
      </c>
      <c r="K114" s="77">
        <v>0</v>
      </c>
      <c r="L114" s="4">
        <v>0</v>
      </c>
      <c r="M114" s="77">
        <v>0</v>
      </c>
      <c r="N114" s="4">
        <v>0</v>
      </c>
      <c r="O114" s="4">
        <v>27</v>
      </c>
      <c r="P114" s="4">
        <v>723</v>
      </c>
      <c r="Q114" s="2" t="s">
        <v>872</v>
      </c>
      <c r="R114" s="77">
        <v>33</v>
      </c>
      <c r="S114" s="77">
        <v>270</v>
      </c>
      <c r="T114" s="4">
        <v>0</v>
      </c>
      <c r="U114" s="4">
        <v>0</v>
      </c>
      <c r="V114" s="4">
        <v>61</v>
      </c>
      <c r="W114" s="4">
        <v>1446</v>
      </c>
      <c r="X114" s="4">
        <v>3</v>
      </c>
      <c r="Y114" s="4">
        <v>76</v>
      </c>
      <c r="Z114" s="4">
        <v>91</v>
      </c>
      <c r="AA114" s="4">
        <v>2245</v>
      </c>
      <c r="AB114" s="77">
        <f>Table4[[#This Row],[Total Attendance]]/Table4[[#This Row],[Total Events]]</f>
        <v>24.670329670329672</v>
      </c>
      <c r="AC114" s="77">
        <f>Table4[[#This Row],[Total Attendance]]/AD114</f>
        <v>0.54742745671787374</v>
      </c>
      <c r="AD114" s="77">
        <v>4101</v>
      </c>
    </row>
    <row r="115" spans="1:30" ht="13.5" thickBot="1" x14ac:dyDescent="0.25">
      <c r="A115" s="2" t="s">
        <v>496</v>
      </c>
      <c r="B115" s="1" t="s">
        <v>495</v>
      </c>
      <c r="C115" s="2" t="s">
        <v>24</v>
      </c>
      <c r="D115" s="77">
        <v>3</v>
      </c>
      <c r="E115" s="77">
        <v>140</v>
      </c>
      <c r="F115" s="77">
        <v>0</v>
      </c>
      <c r="G115" s="77">
        <v>0</v>
      </c>
      <c r="H115" s="77">
        <v>2</v>
      </c>
      <c r="I115" s="77">
        <v>124</v>
      </c>
      <c r="J115" s="78" t="s">
        <v>16</v>
      </c>
      <c r="K115" s="78" t="s">
        <v>16</v>
      </c>
      <c r="L115" s="77">
        <v>121</v>
      </c>
      <c r="M115" s="77">
        <v>20</v>
      </c>
      <c r="N115" s="77">
        <v>141</v>
      </c>
      <c r="O115" s="77">
        <v>5</v>
      </c>
      <c r="P115" s="77">
        <v>264</v>
      </c>
      <c r="Q115" s="2" t="s">
        <v>872</v>
      </c>
      <c r="R115" s="77">
        <v>0</v>
      </c>
      <c r="S115" s="77">
        <v>0</v>
      </c>
      <c r="T115" s="77">
        <v>0</v>
      </c>
      <c r="U115" s="77">
        <v>0</v>
      </c>
      <c r="V115" s="77">
        <v>12</v>
      </c>
      <c r="W115" s="77">
        <v>107</v>
      </c>
      <c r="X115" s="77">
        <v>1</v>
      </c>
      <c r="Y115" s="77">
        <v>60</v>
      </c>
      <c r="Z115" s="77">
        <v>18</v>
      </c>
      <c r="AA115" s="77">
        <v>431</v>
      </c>
      <c r="AB115" s="77">
        <f>Table4[[#This Row],[Total Attendance]]/Table4[[#This Row],[Total Events]]</f>
        <v>23.944444444444443</v>
      </c>
      <c r="AC115" s="77">
        <f>Table4[[#This Row],[Total Attendance]]/AD115</f>
        <v>8.2236214462888757E-2</v>
      </c>
      <c r="AD115" s="77">
        <v>5241</v>
      </c>
    </row>
    <row r="116" spans="1:30" ht="13.5" thickBot="1" x14ac:dyDescent="0.25">
      <c r="A116" s="2" t="s">
        <v>504</v>
      </c>
      <c r="B116" s="1" t="s">
        <v>503</v>
      </c>
      <c r="C116" s="2" t="s">
        <v>24</v>
      </c>
      <c r="D116" s="4">
        <v>33</v>
      </c>
      <c r="E116" s="4">
        <v>334</v>
      </c>
      <c r="F116" s="4">
        <v>0</v>
      </c>
      <c r="G116" s="4">
        <v>0</v>
      </c>
      <c r="H116" s="4">
        <v>12</v>
      </c>
      <c r="I116" s="4">
        <v>846</v>
      </c>
      <c r="J116" s="77">
        <v>0</v>
      </c>
      <c r="K116" s="77">
        <v>0</v>
      </c>
      <c r="L116" s="77">
        <v>141</v>
      </c>
      <c r="M116" s="78" t="s">
        <v>16</v>
      </c>
      <c r="N116" s="77">
        <v>141</v>
      </c>
      <c r="O116" s="4">
        <v>45</v>
      </c>
      <c r="P116" s="4">
        <v>1180</v>
      </c>
      <c r="Q116" s="2" t="s">
        <v>872</v>
      </c>
      <c r="R116" s="4">
        <v>20</v>
      </c>
      <c r="S116" s="4">
        <v>208</v>
      </c>
      <c r="T116" s="4">
        <v>0</v>
      </c>
      <c r="U116" s="4">
        <v>0</v>
      </c>
      <c r="V116" s="4">
        <v>15</v>
      </c>
      <c r="W116" s="4">
        <v>99</v>
      </c>
      <c r="X116" s="4">
        <v>34</v>
      </c>
      <c r="Y116" s="4">
        <v>740</v>
      </c>
      <c r="Z116" s="4">
        <v>94</v>
      </c>
      <c r="AA116" s="4">
        <v>2019</v>
      </c>
      <c r="AB116" s="77">
        <f>Table4[[#This Row],[Total Attendance]]/Table4[[#This Row],[Total Events]]</f>
        <v>21.478723404255319</v>
      </c>
      <c r="AC116" s="77">
        <f>Table4[[#This Row],[Total Attendance]]/AD116</f>
        <v>0.39127906976744187</v>
      </c>
      <c r="AD116" s="77">
        <v>5160</v>
      </c>
    </row>
    <row r="117" spans="1:30" ht="13.5" thickBot="1" x14ac:dyDescent="0.25">
      <c r="A117" s="2" t="s">
        <v>506</v>
      </c>
      <c r="B117" s="1" t="s">
        <v>505</v>
      </c>
      <c r="C117" s="2" t="s">
        <v>24</v>
      </c>
      <c r="D117" s="4">
        <v>494</v>
      </c>
      <c r="E117" s="4">
        <v>11250</v>
      </c>
      <c r="F117" s="4">
        <v>0</v>
      </c>
      <c r="G117" s="4">
        <v>0</v>
      </c>
      <c r="H117" s="4">
        <v>10</v>
      </c>
      <c r="I117" s="4">
        <v>380</v>
      </c>
      <c r="J117" s="78" t="s">
        <v>16</v>
      </c>
      <c r="K117" s="78" t="s">
        <v>16</v>
      </c>
      <c r="L117" s="4">
        <v>50</v>
      </c>
      <c r="M117" s="4">
        <v>0</v>
      </c>
      <c r="N117" s="4">
        <v>50</v>
      </c>
      <c r="O117" s="4">
        <v>504</v>
      </c>
      <c r="P117" s="4">
        <v>11630</v>
      </c>
      <c r="Q117" s="2" t="s">
        <v>872</v>
      </c>
      <c r="R117" s="4">
        <v>39</v>
      </c>
      <c r="S117" s="4">
        <v>540</v>
      </c>
      <c r="T117" s="4">
        <v>0</v>
      </c>
      <c r="U117" s="4">
        <v>0</v>
      </c>
      <c r="V117" s="4">
        <v>0</v>
      </c>
      <c r="W117" s="4">
        <v>0</v>
      </c>
      <c r="X117" s="77">
        <v>7</v>
      </c>
      <c r="Y117" s="77">
        <v>210</v>
      </c>
      <c r="Z117" s="4">
        <v>511</v>
      </c>
      <c r="AA117" s="4">
        <v>11840</v>
      </c>
      <c r="AB117" s="77">
        <f>Table4[[#This Row],[Total Attendance]]/Table4[[#This Row],[Total Events]]</f>
        <v>23.170254403131114</v>
      </c>
      <c r="AC117" s="77">
        <f>Table4[[#This Row],[Total Attendance]]/AD117</f>
        <v>2.0270501626433828</v>
      </c>
      <c r="AD117" s="77">
        <v>5841</v>
      </c>
    </row>
    <row r="118" spans="1:30" ht="13.5" thickBot="1" x14ac:dyDescent="0.25">
      <c r="A118" s="2" t="s">
        <v>512</v>
      </c>
      <c r="B118" s="1" t="s">
        <v>511</v>
      </c>
      <c r="C118" s="2" t="s">
        <v>24</v>
      </c>
      <c r="D118" s="77">
        <v>60</v>
      </c>
      <c r="E118" s="77">
        <v>375</v>
      </c>
      <c r="F118" s="77">
        <v>0</v>
      </c>
      <c r="G118" s="77">
        <v>0</v>
      </c>
      <c r="H118" s="77">
        <v>6</v>
      </c>
      <c r="I118" s="77">
        <v>76</v>
      </c>
      <c r="J118" s="77">
        <v>0</v>
      </c>
      <c r="K118" s="77">
        <v>0</v>
      </c>
      <c r="L118" s="77">
        <v>76</v>
      </c>
      <c r="M118" s="77">
        <v>0</v>
      </c>
      <c r="N118" s="77">
        <v>76</v>
      </c>
      <c r="O118" s="77">
        <v>66</v>
      </c>
      <c r="P118" s="77">
        <v>451</v>
      </c>
      <c r="Q118" s="2" t="s">
        <v>872</v>
      </c>
      <c r="R118" s="77">
        <v>36</v>
      </c>
      <c r="S118" s="78" t="s">
        <v>16</v>
      </c>
      <c r="T118" s="77">
        <v>0</v>
      </c>
      <c r="U118" s="77">
        <v>0</v>
      </c>
      <c r="V118" s="77">
        <v>0</v>
      </c>
      <c r="W118" s="77">
        <v>0</v>
      </c>
      <c r="X118" s="77">
        <v>102</v>
      </c>
      <c r="Y118" s="77">
        <v>214</v>
      </c>
      <c r="Z118" s="77">
        <v>168</v>
      </c>
      <c r="AA118" s="77">
        <v>665</v>
      </c>
      <c r="AB118" s="77">
        <f>Table4[[#This Row],[Total Attendance]]/Table4[[#This Row],[Total Events]]</f>
        <v>3.9583333333333335</v>
      </c>
      <c r="AC118" s="77">
        <f>Table4[[#This Row],[Total Attendance]]/AD118</f>
        <v>0.14059196617336153</v>
      </c>
      <c r="AD118" s="77">
        <v>4730</v>
      </c>
    </row>
    <row r="119" spans="1:30" ht="13.5" thickBot="1" x14ac:dyDescent="0.25">
      <c r="A119" s="2" t="s">
        <v>530</v>
      </c>
      <c r="B119" s="1" t="s">
        <v>529</v>
      </c>
      <c r="C119" s="2" t="s">
        <v>24</v>
      </c>
      <c r="D119" s="4">
        <v>25</v>
      </c>
      <c r="E119" s="4">
        <v>119</v>
      </c>
      <c r="F119" s="4">
        <v>1</v>
      </c>
      <c r="G119" s="4">
        <v>5</v>
      </c>
      <c r="H119" s="4">
        <v>6</v>
      </c>
      <c r="I119" s="4">
        <v>107</v>
      </c>
      <c r="J119" s="77">
        <v>3</v>
      </c>
      <c r="K119" s="77">
        <v>11</v>
      </c>
      <c r="L119" s="77">
        <v>53</v>
      </c>
      <c r="M119" s="77">
        <v>16</v>
      </c>
      <c r="N119" s="77">
        <v>69</v>
      </c>
      <c r="O119" s="4">
        <v>31</v>
      </c>
      <c r="P119" s="4">
        <v>226</v>
      </c>
      <c r="Q119" s="2" t="s">
        <v>873</v>
      </c>
      <c r="R119" s="4">
        <v>0</v>
      </c>
      <c r="S119" s="4">
        <v>0</v>
      </c>
      <c r="T119" s="4">
        <v>4</v>
      </c>
      <c r="U119" s="4">
        <v>16</v>
      </c>
      <c r="V119" s="4">
        <v>70</v>
      </c>
      <c r="W119" s="4">
        <v>451</v>
      </c>
      <c r="X119" s="77">
        <v>2</v>
      </c>
      <c r="Y119" s="77">
        <v>85</v>
      </c>
      <c r="Z119" s="4">
        <v>107</v>
      </c>
      <c r="AA119" s="4">
        <v>778</v>
      </c>
      <c r="AB119" s="77">
        <f>Table4[[#This Row],[Total Attendance]]/Table4[[#This Row],[Total Events]]</f>
        <v>7.2710280373831777</v>
      </c>
      <c r="AC119" s="77">
        <f>Table4[[#This Row],[Total Attendance]]/AD119</f>
        <v>0.15339116719242901</v>
      </c>
      <c r="AD119" s="77">
        <v>5072</v>
      </c>
    </row>
    <row r="120" spans="1:30" ht="13.5" thickBot="1" x14ac:dyDescent="0.25">
      <c r="A120" s="2" t="s">
        <v>532</v>
      </c>
      <c r="B120" s="1" t="s">
        <v>531</v>
      </c>
      <c r="C120" s="2" t="s">
        <v>24</v>
      </c>
      <c r="D120" s="4">
        <v>79</v>
      </c>
      <c r="E120" s="4">
        <v>1949</v>
      </c>
      <c r="F120" s="4">
        <v>0</v>
      </c>
      <c r="G120" s="4">
        <v>0</v>
      </c>
      <c r="H120" s="4">
        <v>30</v>
      </c>
      <c r="I120" s="4">
        <v>1569</v>
      </c>
      <c r="J120" s="77">
        <v>6</v>
      </c>
      <c r="K120" s="77">
        <v>198</v>
      </c>
      <c r="L120" s="4">
        <v>210</v>
      </c>
      <c r="M120" s="77">
        <v>35</v>
      </c>
      <c r="N120" s="4">
        <v>245</v>
      </c>
      <c r="O120" s="4">
        <v>109</v>
      </c>
      <c r="P120" s="4">
        <v>3518</v>
      </c>
      <c r="Q120" s="2" t="s">
        <v>872</v>
      </c>
      <c r="R120" s="4">
        <v>65</v>
      </c>
      <c r="S120" s="4">
        <v>1575</v>
      </c>
      <c r="T120" s="4">
        <v>6</v>
      </c>
      <c r="U120" s="4">
        <v>198</v>
      </c>
      <c r="V120" s="4">
        <v>18</v>
      </c>
      <c r="W120" s="4">
        <v>362</v>
      </c>
      <c r="X120" s="4">
        <v>4</v>
      </c>
      <c r="Y120" s="4">
        <v>579</v>
      </c>
      <c r="Z120" s="4">
        <v>137</v>
      </c>
      <c r="AA120" s="4">
        <v>4657</v>
      </c>
      <c r="AB120" s="77">
        <f>Table4[[#This Row],[Total Attendance]]/Table4[[#This Row],[Total Events]]</f>
        <v>33.992700729927009</v>
      </c>
      <c r="AC120" s="77">
        <f>Table4[[#This Row],[Total Attendance]]/AD120</f>
        <v>0.70198974977389206</v>
      </c>
      <c r="AD120" s="77">
        <v>6634</v>
      </c>
    </row>
    <row r="121" spans="1:30" ht="13.5" thickBot="1" x14ac:dyDescent="0.25">
      <c r="A121" s="2" t="s">
        <v>544</v>
      </c>
      <c r="B121" s="1" t="s">
        <v>543</v>
      </c>
      <c r="C121" s="2" t="s">
        <v>24</v>
      </c>
      <c r="D121" s="77">
        <v>78</v>
      </c>
      <c r="E121" s="77">
        <v>1507</v>
      </c>
      <c r="F121" s="77">
        <v>34</v>
      </c>
      <c r="G121" s="77">
        <v>301</v>
      </c>
      <c r="H121" s="77">
        <v>8</v>
      </c>
      <c r="I121" s="77">
        <v>548</v>
      </c>
      <c r="J121" s="77">
        <v>1</v>
      </c>
      <c r="K121" s="77">
        <v>20</v>
      </c>
      <c r="L121" s="77">
        <v>146</v>
      </c>
      <c r="M121" s="77">
        <v>20</v>
      </c>
      <c r="N121" s="77">
        <v>166</v>
      </c>
      <c r="O121" s="77">
        <v>86</v>
      </c>
      <c r="P121" s="77">
        <v>2055</v>
      </c>
      <c r="Q121" s="2" t="s">
        <v>872</v>
      </c>
      <c r="R121" s="77">
        <v>143</v>
      </c>
      <c r="S121" s="77">
        <v>938</v>
      </c>
      <c r="T121" s="77">
        <v>35</v>
      </c>
      <c r="U121" s="77">
        <v>321</v>
      </c>
      <c r="V121" s="77">
        <v>38</v>
      </c>
      <c r="W121" s="77">
        <v>982</v>
      </c>
      <c r="X121" s="77">
        <v>6</v>
      </c>
      <c r="Y121" s="77">
        <v>228</v>
      </c>
      <c r="Z121" s="77">
        <v>165</v>
      </c>
      <c r="AA121" s="77">
        <v>3586</v>
      </c>
      <c r="AB121" s="77">
        <f>Table4[[#This Row],[Total Attendance]]/Table4[[#This Row],[Total Events]]</f>
        <v>21.733333333333334</v>
      </c>
      <c r="AC121" s="77">
        <f>Table4[[#This Row],[Total Attendance]]/AD121</f>
        <v>0.67634854771784236</v>
      </c>
      <c r="AD121" s="77">
        <v>5302</v>
      </c>
    </row>
    <row r="122" spans="1:30" ht="13.5" thickBot="1" x14ac:dyDescent="0.25">
      <c r="A122" s="2" t="s">
        <v>546</v>
      </c>
      <c r="B122" s="1" t="s">
        <v>545</v>
      </c>
      <c r="C122" s="2" t="s">
        <v>24</v>
      </c>
      <c r="D122" s="77">
        <v>12</v>
      </c>
      <c r="E122" s="77">
        <v>822</v>
      </c>
      <c r="F122" s="77">
        <v>49</v>
      </c>
      <c r="G122" s="77">
        <v>289</v>
      </c>
      <c r="H122" s="77">
        <v>7</v>
      </c>
      <c r="I122" s="77">
        <v>756</v>
      </c>
      <c r="J122" s="77">
        <v>2</v>
      </c>
      <c r="K122" s="77">
        <v>14</v>
      </c>
      <c r="L122" s="77">
        <v>415</v>
      </c>
      <c r="M122" s="77">
        <v>152</v>
      </c>
      <c r="N122" s="77">
        <v>567</v>
      </c>
      <c r="O122" s="77">
        <v>19</v>
      </c>
      <c r="P122" s="77">
        <v>1578</v>
      </c>
      <c r="Q122" s="2" t="s">
        <v>872</v>
      </c>
      <c r="R122" s="77">
        <v>5</v>
      </c>
      <c r="S122" s="77">
        <v>925</v>
      </c>
      <c r="T122" s="77">
        <v>51</v>
      </c>
      <c r="U122" s="77">
        <v>303</v>
      </c>
      <c r="V122" s="77">
        <v>32</v>
      </c>
      <c r="W122" s="77">
        <v>424</v>
      </c>
      <c r="X122" s="77">
        <v>1</v>
      </c>
      <c r="Y122" s="77">
        <v>1119</v>
      </c>
      <c r="Z122" s="77">
        <v>103</v>
      </c>
      <c r="AA122" s="77">
        <v>3424</v>
      </c>
      <c r="AB122" s="77">
        <f>Table4[[#This Row],[Total Attendance]]/Table4[[#This Row],[Total Events]]</f>
        <v>33.242718446601941</v>
      </c>
      <c r="AC122" s="77">
        <f>Table4[[#This Row],[Total Attendance]]/AD122</f>
        <v>0.50102429031314022</v>
      </c>
      <c r="AD122" s="77">
        <v>6834</v>
      </c>
    </row>
    <row r="123" spans="1:30" ht="13.5" thickBot="1" x14ac:dyDescent="0.25">
      <c r="A123" s="2" t="s">
        <v>550</v>
      </c>
      <c r="B123" s="1" t="s">
        <v>549</v>
      </c>
      <c r="C123" s="2" t="s">
        <v>24</v>
      </c>
      <c r="D123" s="77">
        <v>0</v>
      </c>
      <c r="E123" s="77">
        <v>0</v>
      </c>
      <c r="F123" s="77">
        <v>0</v>
      </c>
      <c r="G123" s="77">
        <v>0</v>
      </c>
      <c r="H123" s="77">
        <v>7</v>
      </c>
      <c r="I123" s="77">
        <v>164</v>
      </c>
      <c r="J123" s="77">
        <v>0</v>
      </c>
      <c r="K123" s="77">
        <v>0</v>
      </c>
      <c r="L123" s="77">
        <v>23</v>
      </c>
      <c r="M123" s="77">
        <v>3</v>
      </c>
      <c r="N123" s="77">
        <v>26</v>
      </c>
      <c r="O123" s="77">
        <v>7</v>
      </c>
      <c r="P123" s="77">
        <v>164</v>
      </c>
      <c r="Q123" s="2" t="s">
        <v>872</v>
      </c>
      <c r="R123" s="77">
        <v>0</v>
      </c>
      <c r="S123" s="77">
        <v>0</v>
      </c>
      <c r="T123" s="77">
        <v>0</v>
      </c>
      <c r="U123" s="77">
        <v>0</v>
      </c>
      <c r="V123" s="77">
        <v>12</v>
      </c>
      <c r="W123" s="77">
        <v>72</v>
      </c>
      <c r="X123" s="77">
        <v>2</v>
      </c>
      <c r="Y123" s="77">
        <v>95</v>
      </c>
      <c r="Z123" s="77">
        <v>21</v>
      </c>
      <c r="AA123" s="77">
        <v>331</v>
      </c>
      <c r="AB123" s="77">
        <f>Table4[[#This Row],[Total Attendance]]/Table4[[#This Row],[Total Events]]</f>
        <v>15.761904761904763</v>
      </c>
      <c r="AC123" s="77">
        <f>Table4[[#This Row],[Total Attendance]]/AD123</f>
        <v>7.4065786529424929E-2</v>
      </c>
      <c r="AD123" s="77">
        <v>4469</v>
      </c>
    </row>
    <row r="124" spans="1:30" ht="13.5" thickBot="1" x14ac:dyDescent="0.25">
      <c r="A124" s="2" t="s">
        <v>558</v>
      </c>
      <c r="B124" s="1" t="s">
        <v>557</v>
      </c>
      <c r="C124" s="2" t="s">
        <v>24</v>
      </c>
      <c r="D124" s="4">
        <v>32</v>
      </c>
      <c r="E124" s="4">
        <v>983</v>
      </c>
      <c r="F124" s="4">
        <v>4</v>
      </c>
      <c r="G124" s="4">
        <v>141</v>
      </c>
      <c r="H124" s="4">
        <v>26</v>
      </c>
      <c r="I124" s="4">
        <v>304</v>
      </c>
      <c r="J124" s="77">
        <v>4</v>
      </c>
      <c r="K124" s="77">
        <v>18</v>
      </c>
      <c r="L124" s="77">
        <v>251</v>
      </c>
      <c r="M124" s="77">
        <v>57</v>
      </c>
      <c r="N124" s="77">
        <v>308</v>
      </c>
      <c r="O124" s="4">
        <v>58</v>
      </c>
      <c r="P124" s="4">
        <v>1287</v>
      </c>
      <c r="Q124" s="2" t="s">
        <v>872</v>
      </c>
      <c r="R124" s="4">
        <v>20</v>
      </c>
      <c r="S124" s="4">
        <v>185</v>
      </c>
      <c r="T124" s="4">
        <v>8</v>
      </c>
      <c r="U124" s="4">
        <v>159</v>
      </c>
      <c r="V124" s="4">
        <v>7</v>
      </c>
      <c r="W124" s="4">
        <v>98</v>
      </c>
      <c r="X124" s="4">
        <v>7</v>
      </c>
      <c r="Y124" s="4">
        <v>188</v>
      </c>
      <c r="Z124" s="4">
        <v>80</v>
      </c>
      <c r="AA124" s="4">
        <v>1732</v>
      </c>
      <c r="AB124" s="77">
        <f>Table4[[#This Row],[Total Attendance]]/Table4[[#This Row],[Total Events]]</f>
        <v>21.65</v>
      </c>
      <c r="AC124" s="77">
        <f>Table4[[#This Row],[Total Attendance]]/AD124</f>
        <v>0.28053126012309687</v>
      </c>
      <c r="AD124" s="77">
        <v>6174</v>
      </c>
    </row>
    <row r="125" spans="1:30" ht="13.5" thickBot="1" x14ac:dyDescent="0.25">
      <c r="A125" s="2" t="s">
        <v>578</v>
      </c>
      <c r="B125" s="1" t="s">
        <v>577</v>
      </c>
      <c r="C125" s="2" t="s">
        <v>24</v>
      </c>
      <c r="D125" s="4">
        <v>28</v>
      </c>
      <c r="E125" s="4">
        <v>286</v>
      </c>
      <c r="F125" s="4">
        <v>17</v>
      </c>
      <c r="G125" s="4">
        <v>73</v>
      </c>
      <c r="H125" s="4">
        <v>30</v>
      </c>
      <c r="I125" s="4">
        <v>932</v>
      </c>
      <c r="J125" s="4">
        <v>2</v>
      </c>
      <c r="K125" s="77">
        <v>15</v>
      </c>
      <c r="L125" s="4">
        <v>239</v>
      </c>
      <c r="M125" s="4">
        <v>44</v>
      </c>
      <c r="N125" s="4">
        <v>283</v>
      </c>
      <c r="O125" s="4">
        <v>58</v>
      </c>
      <c r="P125" s="4">
        <v>1218</v>
      </c>
      <c r="Q125" s="2" t="s">
        <v>872</v>
      </c>
      <c r="R125" s="4">
        <v>11</v>
      </c>
      <c r="S125" s="4">
        <v>243</v>
      </c>
      <c r="T125" s="4">
        <v>19</v>
      </c>
      <c r="U125" s="4">
        <v>88</v>
      </c>
      <c r="V125" s="4">
        <v>28</v>
      </c>
      <c r="W125" s="77">
        <v>214</v>
      </c>
      <c r="X125" s="4">
        <v>62</v>
      </c>
      <c r="Y125" s="4">
        <v>942</v>
      </c>
      <c r="Z125" s="4">
        <v>167</v>
      </c>
      <c r="AA125" s="4">
        <v>2462</v>
      </c>
      <c r="AB125" s="77">
        <f>Table4[[#This Row],[Total Attendance]]/Table4[[#This Row],[Total Events]]</f>
        <v>14.742514970059879</v>
      </c>
      <c r="AC125" s="77">
        <f>Table4[[#This Row],[Total Attendance]]/AD125</f>
        <v>0.46409048067860509</v>
      </c>
      <c r="AD125" s="77">
        <v>5305</v>
      </c>
    </row>
    <row r="126" spans="1:30" ht="13.5" thickBot="1" x14ac:dyDescent="0.25">
      <c r="A126" s="2" t="s">
        <v>584</v>
      </c>
      <c r="B126" s="1" t="s">
        <v>583</v>
      </c>
      <c r="C126" s="2" t="s">
        <v>24</v>
      </c>
      <c r="D126" s="4">
        <v>13</v>
      </c>
      <c r="E126" s="4">
        <v>615</v>
      </c>
      <c r="F126" s="4">
        <v>1</v>
      </c>
      <c r="G126" s="4">
        <v>21</v>
      </c>
      <c r="H126" s="4">
        <v>4</v>
      </c>
      <c r="I126" s="4">
        <v>187</v>
      </c>
      <c r="J126" s="4">
        <v>1</v>
      </c>
      <c r="K126" s="4">
        <v>20</v>
      </c>
      <c r="L126" s="77">
        <v>98</v>
      </c>
      <c r="M126" s="77">
        <v>28</v>
      </c>
      <c r="N126" s="77">
        <v>126</v>
      </c>
      <c r="O126" s="4">
        <v>17</v>
      </c>
      <c r="P126" s="4">
        <v>802</v>
      </c>
      <c r="Q126" s="2" t="s">
        <v>872</v>
      </c>
      <c r="R126" s="4">
        <v>2</v>
      </c>
      <c r="S126" s="4">
        <v>53</v>
      </c>
      <c r="T126" s="4">
        <v>2</v>
      </c>
      <c r="U126" s="4">
        <v>41</v>
      </c>
      <c r="V126" s="4">
        <v>9</v>
      </c>
      <c r="W126" s="4">
        <v>286</v>
      </c>
      <c r="X126" s="78" t="s">
        <v>16</v>
      </c>
      <c r="Y126" s="78" t="s">
        <v>16</v>
      </c>
      <c r="Z126" s="4">
        <v>28</v>
      </c>
      <c r="AA126" s="4">
        <v>1129</v>
      </c>
      <c r="AB126" s="77">
        <f>Table4[[#This Row],[Total Attendance]]/Table4[[#This Row],[Total Events]]</f>
        <v>40.321428571428569</v>
      </c>
      <c r="AC126" s="77">
        <f>Table4[[#This Row],[Total Attendance]]/AD126</f>
        <v>0.17804762655732534</v>
      </c>
      <c r="AD126" s="77">
        <v>6341</v>
      </c>
    </row>
    <row r="127" spans="1:30" ht="13.5" thickBot="1" x14ac:dyDescent="0.25">
      <c r="A127" s="2" t="s">
        <v>590</v>
      </c>
      <c r="B127" s="1" t="s">
        <v>589</v>
      </c>
      <c r="C127" s="2" t="s">
        <v>24</v>
      </c>
      <c r="D127" s="4">
        <v>86</v>
      </c>
      <c r="E127" s="4">
        <v>2703</v>
      </c>
      <c r="F127" s="4">
        <v>3</v>
      </c>
      <c r="G127" s="4">
        <v>29</v>
      </c>
      <c r="H127" s="4">
        <v>4</v>
      </c>
      <c r="I127" s="4">
        <v>186</v>
      </c>
      <c r="J127" s="4">
        <v>2</v>
      </c>
      <c r="K127" s="4">
        <v>12</v>
      </c>
      <c r="L127" s="4">
        <v>73</v>
      </c>
      <c r="M127" s="77">
        <v>15</v>
      </c>
      <c r="N127" s="4">
        <v>88</v>
      </c>
      <c r="O127" s="4">
        <v>90</v>
      </c>
      <c r="P127" s="4">
        <v>2889</v>
      </c>
      <c r="Q127" s="2" t="s">
        <v>872</v>
      </c>
      <c r="R127" s="4">
        <v>43</v>
      </c>
      <c r="S127" s="4">
        <v>775</v>
      </c>
      <c r="T127" s="4">
        <v>5</v>
      </c>
      <c r="U127" s="4">
        <v>41</v>
      </c>
      <c r="V127" s="4">
        <v>111</v>
      </c>
      <c r="W127" s="4">
        <v>1047</v>
      </c>
      <c r="X127" s="4">
        <v>14</v>
      </c>
      <c r="Y127" s="4">
        <v>721</v>
      </c>
      <c r="Z127" s="4">
        <v>220</v>
      </c>
      <c r="AA127" s="4">
        <v>4698</v>
      </c>
      <c r="AB127" s="77">
        <f>Table4[[#This Row],[Total Attendance]]/Table4[[#This Row],[Total Events]]</f>
        <v>21.354545454545455</v>
      </c>
      <c r="AC127" s="77">
        <f>Table4[[#This Row],[Total Attendance]]/AD127</f>
        <v>0.86471562672556601</v>
      </c>
      <c r="AD127" s="77">
        <v>5433</v>
      </c>
    </row>
    <row r="128" spans="1:30" ht="13.5" thickBot="1" x14ac:dyDescent="0.25">
      <c r="A128" s="2" t="s">
        <v>602</v>
      </c>
      <c r="B128" s="1" t="s">
        <v>601</v>
      </c>
      <c r="C128" s="2" t="s">
        <v>24</v>
      </c>
      <c r="D128" s="4">
        <v>162</v>
      </c>
      <c r="E128" s="4">
        <v>1227</v>
      </c>
      <c r="F128" s="4">
        <v>1</v>
      </c>
      <c r="G128" s="4">
        <v>12</v>
      </c>
      <c r="H128" s="4">
        <v>9</v>
      </c>
      <c r="I128" s="4">
        <v>223</v>
      </c>
      <c r="J128" s="77">
        <v>0</v>
      </c>
      <c r="K128" s="77">
        <v>0</v>
      </c>
      <c r="L128" s="4">
        <v>155</v>
      </c>
      <c r="M128" s="77">
        <v>24</v>
      </c>
      <c r="N128" s="4">
        <v>179</v>
      </c>
      <c r="O128" s="4">
        <v>171</v>
      </c>
      <c r="P128" s="4">
        <v>1450</v>
      </c>
      <c r="Q128" s="2" t="s">
        <v>872</v>
      </c>
      <c r="R128" s="4">
        <v>1</v>
      </c>
      <c r="S128" s="4">
        <v>720</v>
      </c>
      <c r="T128" s="4">
        <v>1</v>
      </c>
      <c r="U128" s="4">
        <v>12</v>
      </c>
      <c r="V128" s="4">
        <v>42</v>
      </c>
      <c r="W128" s="4">
        <v>445</v>
      </c>
      <c r="X128" s="4">
        <v>12</v>
      </c>
      <c r="Y128" s="4">
        <v>60</v>
      </c>
      <c r="Z128" s="4">
        <v>226</v>
      </c>
      <c r="AA128" s="4">
        <v>1967</v>
      </c>
      <c r="AB128" s="77">
        <f>Table4[[#This Row],[Total Attendance]]/Table4[[#This Row],[Total Events]]</f>
        <v>8.7035398230088497</v>
      </c>
      <c r="AC128" s="77">
        <f>Table4[[#This Row],[Total Attendance]]/AD128</f>
        <v>0.29561166215810036</v>
      </c>
      <c r="AD128" s="77">
        <v>6654</v>
      </c>
    </row>
    <row r="129" spans="1:30" ht="13.5" thickBot="1" x14ac:dyDescent="0.25">
      <c r="A129" s="2" t="s">
        <v>606</v>
      </c>
      <c r="B129" s="1" t="s">
        <v>605</v>
      </c>
      <c r="C129" s="2" t="s">
        <v>24</v>
      </c>
      <c r="D129" s="4">
        <v>4</v>
      </c>
      <c r="E129" s="4">
        <v>13</v>
      </c>
      <c r="F129" s="4">
        <v>0</v>
      </c>
      <c r="G129" s="4">
        <v>0</v>
      </c>
      <c r="H129" s="4">
        <v>1</v>
      </c>
      <c r="I129" s="4">
        <v>2</v>
      </c>
      <c r="J129" s="77">
        <v>1</v>
      </c>
      <c r="K129" s="77">
        <v>6</v>
      </c>
      <c r="L129" s="77">
        <v>31</v>
      </c>
      <c r="M129" s="77">
        <v>11</v>
      </c>
      <c r="N129" s="77">
        <v>42</v>
      </c>
      <c r="O129" s="4">
        <v>5</v>
      </c>
      <c r="P129" s="4">
        <v>15</v>
      </c>
      <c r="Q129" s="2" t="s">
        <v>873</v>
      </c>
      <c r="R129" s="4">
        <v>0</v>
      </c>
      <c r="S129" s="4">
        <v>0</v>
      </c>
      <c r="T129" s="4">
        <v>1</v>
      </c>
      <c r="U129" s="4">
        <v>6</v>
      </c>
      <c r="V129" s="4">
        <v>1</v>
      </c>
      <c r="W129" s="4">
        <v>8</v>
      </c>
      <c r="X129" s="77">
        <v>10</v>
      </c>
      <c r="Y129" s="77">
        <v>97</v>
      </c>
      <c r="Z129" s="4">
        <v>17</v>
      </c>
      <c r="AA129" s="4">
        <v>126</v>
      </c>
      <c r="AB129" s="77">
        <f>Table4[[#This Row],[Total Attendance]]/Table4[[#This Row],[Total Events]]</f>
        <v>7.4117647058823533</v>
      </c>
      <c r="AC129" s="77">
        <f>Table4[[#This Row],[Total Attendance]]/AD129</f>
        <v>3.0694275274056028E-2</v>
      </c>
      <c r="AD129" s="77">
        <v>4105</v>
      </c>
    </row>
    <row r="130" spans="1:30" ht="13.5" thickBot="1" x14ac:dyDescent="0.25">
      <c r="A130" s="2" t="s">
        <v>620</v>
      </c>
      <c r="B130" s="1" t="s">
        <v>619</v>
      </c>
      <c r="C130" s="2" t="s">
        <v>24</v>
      </c>
      <c r="D130" s="4">
        <v>86</v>
      </c>
      <c r="E130" s="4">
        <v>867</v>
      </c>
      <c r="F130" s="4">
        <v>1</v>
      </c>
      <c r="G130" s="4">
        <v>9</v>
      </c>
      <c r="H130" s="4">
        <v>6</v>
      </c>
      <c r="I130" s="4">
        <v>285</v>
      </c>
      <c r="J130" s="4">
        <v>6</v>
      </c>
      <c r="K130" s="4">
        <v>24</v>
      </c>
      <c r="L130" s="4">
        <v>143</v>
      </c>
      <c r="M130" s="77">
        <v>24</v>
      </c>
      <c r="N130" s="4">
        <v>167</v>
      </c>
      <c r="O130" s="4">
        <v>92</v>
      </c>
      <c r="P130" s="4">
        <v>1152</v>
      </c>
      <c r="Q130" s="2" t="s">
        <v>872</v>
      </c>
      <c r="R130" s="77">
        <v>40</v>
      </c>
      <c r="S130" s="77">
        <v>288</v>
      </c>
      <c r="T130" s="4">
        <v>7</v>
      </c>
      <c r="U130" s="4">
        <v>33</v>
      </c>
      <c r="V130" s="4">
        <v>2</v>
      </c>
      <c r="W130" s="4">
        <v>130</v>
      </c>
      <c r="X130" s="4">
        <v>36</v>
      </c>
      <c r="Y130" s="4">
        <v>298</v>
      </c>
      <c r="Z130" s="4">
        <v>137</v>
      </c>
      <c r="AA130" s="4">
        <v>1613</v>
      </c>
      <c r="AB130" s="77">
        <f>Table4[[#This Row],[Total Attendance]]/Table4[[#This Row],[Total Events]]</f>
        <v>11.773722627737227</v>
      </c>
      <c r="AC130" s="77">
        <f>Table4[[#This Row],[Total Attendance]]/AD130</f>
        <v>0.29798632920746354</v>
      </c>
      <c r="AD130" s="77">
        <v>5413</v>
      </c>
    </row>
    <row r="131" spans="1:30" ht="13.5" thickBot="1" x14ac:dyDescent="0.25">
      <c r="A131" s="2" t="s">
        <v>626</v>
      </c>
      <c r="B131" s="1" t="s">
        <v>625</v>
      </c>
      <c r="C131" s="2" t="s">
        <v>24</v>
      </c>
      <c r="D131" s="4">
        <v>47</v>
      </c>
      <c r="E131" s="4">
        <v>836</v>
      </c>
      <c r="F131" s="4">
        <v>1</v>
      </c>
      <c r="G131" s="4">
        <v>47</v>
      </c>
      <c r="H131" s="4">
        <v>9</v>
      </c>
      <c r="I131" s="4">
        <v>144</v>
      </c>
      <c r="J131" s="4">
        <v>6</v>
      </c>
      <c r="K131" s="4">
        <v>21</v>
      </c>
      <c r="L131" s="4">
        <v>51</v>
      </c>
      <c r="M131" s="4">
        <v>25</v>
      </c>
      <c r="N131" s="4">
        <v>76</v>
      </c>
      <c r="O131" s="4">
        <v>56</v>
      </c>
      <c r="P131" s="4">
        <v>980</v>
      </c>
      <c r="Q131" s="2" t="s">
        <v>872</v>
      </c>
      <c r="R131" s="4">
        <v>21</v>
      </c>
      <c r="S131" s="4">
        <v>270</v>
      </c>
      <c r="T131" s="4">
        <v>7</v>
      </c>
      <c r="U131" s="4">
        <v>68</v>
      </c>
      <c r="V131" s="4">
        <v>47</v>
      </c>
      <c r="W131" s="4">
        <v>732</v>
      </c>
      <c r="X131" s="4">
        <v>29</v>
      </c>
      <c r="Y131" s="4">
        <v>291</v>
      </c>
      <c r="Z131" s="4">
        <v>139</v>
      </c>
      <c r="AA131" s="4">
        <v>2071</v>
      </c>
      <c r="AB131" s="77">
        <f>Table4[[#This Row],[Total Attendance]]/Table4[[#This Row],[Total Events]]</f>
        <v>14.899280575539569</v>
      </c>
      <c r="AC131" s="77">
        <f>Table4[[#This Row],[Total Attendance]]/AD131</f>
        <v>0.30246823426318098</v>
      </c>
      <c r="AD131" s="77">
        <v>6847</v>
      </c>
    </row>
    <row r="132" spans="1:30" ht="13.5" thickBot="1" x14ac:dyDescent="0.25">
      <c r="A132" s="2" t="s">
        <v>628</v>
      </c>
      <c r="B132" s="1" t="s">
        <v>627</v>
      </c>
      <c r="C132" s="2" t="s">
        <v>24</v>
      </c>
      <c r="D132" s="4">
        <v>54</v>
      </c>
      <c r="E132" s="4">
        <v>572</v>
      </c>
      <c r="F132" s="4">
        <v>1</v>
      </c>
      <c r="G132" s="4">
        <v>4</v>
      </c>
      <c r="H132" s="4">
        <v>6</v>
      </c>
      <c r="I132" s="4">
        <v>117</v>
      </c>
      <c r="J132" s="77">
        <v>3</v>
      </c>
      <c r="K132" s="77">
        <v>24</v>
      </c>
      <c r="L132" s="4">
        <v>81</v>
      </c>
      <c r="M132" s="77">
        <v>31</v>
      </c>
      <c r="N132" s="4">
        <v>112</v>
      </c>
      <c r="O132" s="4">
        <v>60</v>
      </c>
      <c r="P132" s="4">
        <v>689</v>
      </c>
      <c r="Q132" s="2" t="s">
        <v>872</v>
      </c>
      <c r="R132" s="77">
        <v>48</v>
      </c>
      <c r="S132" s="77">
        <v>353</v>
      </c>
      <c r="T132" s="4">
        <v>4</v>
      </c>
      <c r="U132" s="4">
        <v>28</v>
      </c>
      <c r="V132" s="4">
        <v>5</v>
      </c>
      <c r="W132" s="4">
        <v>147</v>
      </c>
      <c r="X132" s="77">
        <v>41</v>
      </c>
      <c r="Y132" s="77">
        <v>816</v>
      </c>
      <c r="Z132" s="4">
        <v>110</v>
      </c>
      <c r="AA132" s="4">
        <v>1680</v>
      </c>
      <c r="AB132" s="77">
        <f>Table4[[#This Row],[Total Attendance]]/Table4[[#This Row],[Total Events]]</f>
        <v>15.272727272727273</v>
      </c>
      <c r="AC132" s="77">
        <f>Table4[[#This Row],[Total Attendance]]/AD132</f>
        <v>0.26923076923076922</v>
      </c>
      <c r="AD132" s="77">
        <v>6240</v>
      </c>
    </row>
    <row r="133" spans="1:30" ht="13.5" thickBot="1" x14ac:dyDescent="0.25">
      <c r="A133" s="2" t="s">
        <v>634</v>
      </c>
      <c r="B133" s="1" t="s">
        <v>633</v>
      </c>
      <c r="C133" s="2" t="s">
        <v>24</v>
      </c>
      <c r="D133" s="4">
        <v>35</v>
      </c>
      <c r="E133" s="4">
        <v>806</v>
      </c>
      <c r="F133" s="4">
        <v>0</v>
      </c>
      <c r="G133" s="4">
        <v>0</v>
      </c>
      <c r="H133" s="4">
        <v>14</v>
      </c>
      <c r="I133" s="4">
        <v>330</v>
      </c>
      <c r="J133" s="4">
        <v>6</v>
      </c>
      <c r="K133" s="4">
        <v>36</v>
      </c>
      <c r="L133" s="77">
        <v>72</v>
      </c>
      <c r="M133" s="77">
        <v>21</v>
      </c>
      <c r="N133" s="77">
        <v>93</v>
      </c>
      <c r="O133" s="4">
        <v>49</v>
      </c>
      <c r="P133" s="4">
        <v>1136</v>
      </c>
      <c r="Q133" s="2" t="s">
        <v>872</v>
      </c>
      <c r="R133" s="4">
        <v>49</v>
      </c>
      <c r="S133" s="4">
        <v>1136</v>
      </c>
      <c r="T133" s="4">
        <v>6</v>
      </c>
      <c r="U133" s="4">
        <v>36</v>
      </c>
      <c r="V133" s="4">
        <v>20</v>
      </c>
      <c r="W133" s="4">
        <v>152</v>
      </c>
      <c r="X133" s="4">
        <v>60</v>
      </c>
      <c r="Y133" s="4">
        <v>1196</v>
      </c>
      <c r="Z133" s="4">
        <v>135</v>
      </c>
      <c r="AA133" s="4">
        <v>2520</v>
      </c>
      <c r="AB133" s="77">
        <f>Table4[[#This Row],[Total Attendance]]/Table4[[#This Row],[Total Events]]</f>
        <v>18.666666666666668</v>
      </c>
      <c r="AC133" s="77">
        <f>Table4[[#This Row],[Total Attendance]]/AD133</f>
        <v>0.46875</v>
      </c>
      <c r="AD133" s="77">
        <v>5376</v>
      </c>
    </row>
    <row r="134" spans="1:30" ht="13.5" thickBot="1" x14ac:dyDescent="0.25">
      <c r="A134" s="2" t="s">
        <v>640</v>
      </c>
      <c r="B134" s="1" t="s">
        <v>639</v>
      </c>
      <c r="C134" s="2" t="s">
        <v>24</v>
      </c>
      <c r="D134" s="77">
        <v>38</v>
      </c>
      <c r="E134" s="77">
        <v>312</v>
      </c>
      <c r="F134" s="77">
        <v>2</v>
      </c>
      <c r="G134" s="77">
        <v>13</v>
      </c>
      <c r="H134" s="77">
        <v>5</v>
      </c>
      <c r="I134" s="77">
        <v>210</v>
      </c>
      <c r="J134" s="77">
        <v>1</v>
      </c>
      <c r="K134" s="77">
        <v>5</v>
      </c>
      <c r="L134" s="77">
        <v>83</v>
      </c>
      <c r="M134" s="77">
        <v>19</v>
      </c>
      <c r="N134" s="77">
        <v>102</v>
      </c>
      <c r="O134" s="77">
        <v>43</v>
      </c>
      <c r="P134" s="77">
        <v>522</v>
      </c>
      <c r="Q134" s="2" t="s">
        <v>873</v>
      </c>
      <c r="R134" s="77">
        <v>32</v>
      </c>
      <c r="S134" s="77">
        <v>66</v>
      </c>
      <c r="T134" s="77">
        <v>3</v>
      </c>
      <c r="U134" s="77">
        <v>18</v>
      </c>
      <c r="V134" s="77">
        <v>62</v>
      </c>
      <c r="W134" s="77">
        <v>494</v>
      </c>
      <c r="X134" s="77">
        <v>0</v>
      </c>
      <c r="Y134" s="77">
        <v>0</v>
      </c>
      <c r="Z134" s="77">
        <v>108</v>
      </c>
      <c r="AA134" s="77">
        <v>1034</v>
      </c>
      <c r="AB134" s="77">
        <f>Table4[[#This Row],[Total Attendance]]/Table4[[#This Row],[Total Events]]</f>
        <v>9.5740740740740744</v>
      </c>
      <c r="AC134" s="77">
        <f>Table4[[#This Row],[Total Attendance]]/AD134</f>
        <v>0.18721709216005794</v>
      </c>
      <c r="AD134" s="77">
        <v>5523</v>
      </c>
    </row>
    <row r="135" spans="1:30" ht="13.5" thickBot="1" x14ac:dyDescent="0.25">
      <c r="A135" s="2" t="s">
        <v>654</v>
      </c>
      <c r="B135" s="1" t="s">
        <v>653</v>
      </c>
      <c r="C135" s="2" t="s">
        <v>24</v>
      </c>
      <c r="D135" s="4">
        <v>28</v>
      </c>
      <c r="E135" s="4">
        <v>485</v>
      </c>
      <c r="F135" s="4">
        <v>7</v>
      </c>
      <c r="G135" s="4">
        <v>48</v>
      </c>
      <c r="H135" s="4">
        <v>14</v>
      </c>
      <c r="I135" s="4">
        <v>326</v>
      </c>
      <c r="J135" s="77">
        <v>7</v>
      </c>
      <c r="K135" s="77">
        <v>134</v>
      </c>
      <c r="L135" s="77">
        <v>175</v>
      </c>
      <c r="M135" s="77">
        <v>57</v>
      </c>
      <c r="N135" s="77">
        <v>232</v>
      </c>
      <c r="O135" s="4">
        <v>42</v>
      </c>
      <c r="P135" s="4">
        <v>811</v>
      </c>
      <c r="Q135" s="2" t="s">
        <v>872</v>
      </c>
      <c r="R135" s="4">
        <v>6</v>
      </c>
      <c r="S135" s="4">
        <v>95</v>
      </c>
      <c r="T135" s="4">
        <v>14</v>
      </c>
      <c r="U135" s="4">
        <v>182</v>
      </c>
      <c r="V135" s="4">
        <v>34</v>
      </c>
      <c r="W135" s="4">
        <v>295</v>
      </c>
      <c r="X135" s="77">
        <v>3</v>
      </c>
      <c r="Y135" s="77">
        <v>72</v>
      </c>
      <c r="Z135" s="4">
        <v>93</v>
      </c>
      <c r="AA135" s="4">
        <v>1360</v>
      </c>
      <c r="AB135" s="77">
        <f>Table4[[#This Row],[Total Attendance]]/Table4[[#This Row],[Total Events]]</f>
        <v>14.623655913978494</v>
      </c>
      <c r="AC135" s="77">
        <f>Table4[[#This Row],[Total Attendance]]/AD135</f>
        <v>0.29190813479287403</v>
      </c>
      <c r="AD135" s="77">
        <v>4659</v>
      </c>
    </row>
    <row r="136" spans="1:30" ht="13.5" thickBot="1" x14ac:dyDescent="0.25">
      <c r="A136" s="2" t="s">
        <v>666</v>
      </c>
      <c r="B136" s="1" t="s">
        <v>665</v>
      </c>
      <c r="C136" s="2" t="s">
        <v>24</v>
      </c>
      <c r="D136" s="4">
        <v>96</v>
      </c>
      <c r="E136" s="4">
        <v>2737</v>
      </c>
      <c r="F136" s="4">
        <v>20</v>
      </c>
      <c r="G136" s="4">
        <v>363</v>
      </c>
      <c r="H136" s="4">
        <v>20</v>
      </c>
      <c r="I136" s="4">
        <v>965</v>
      </c>
      <c r="J136" s="4">
        <v>1</v>
      </c>
      <c r="K136" s="4">
        <v>12</v>
      </c>
      <c r="L136" s="4">
        <v>209</v>
      </c>
      <c r="M136" s="4">
        <v>33</v>
      </c>
      <c r="N136" s="4">
        <v>242</v>
      </c>
      <c r="O136" s="4">
        <v>116</v>
      </c>
      <c r="P136" s="4">
        <v>3702</v>
      </c>
      <c r="Q136" s="2" t="s">
        <v>872</v>
      </c>
      <c r="R136" s="77">
        <v>56</v>
      </c>
      <c r="S136" s="77">
        <v>265</v>
      </c>
      <c r="T136" s="4">
        <v>21</v>
      </c>
      <c r="U136" s="4">
        <v>375</v>
      </c>
      <c r="V136" s="4">
        <v>72</v>
      </c>
      <c r="W136" s="4">
        <v>599</v>
      </c>
      <c r="X136" s="4">
        <v>92</v>
      </c>
      <c r="Y136" s="4">
        <v>696</v>
      </c>
      <c r="Z136" s="4">
        <v>301</v>
      </c>
      <c r="AA136" s="4">
        <v>5372</v>
      </c>
      <c r="AB136" s="77">
        <f>Table4[[#This Row],[Total Attendance]]/Table4[[#This Row],[Total Events]]</f>
        <v>17.847176079734218</v>
      </c>
      <c r="AC136" s="77">
        <f>Table4[[#This Row],[Total Attendance]]/AD136</f>
        <v>0.85337569499602861</v>
      </c>
      <c r="AD136" s="77">
        <v>6295</v>
      </c>
    </row>
    <row r="137" spans="1:30" ht="13.5" thickBot="1" x14ac:dyDescent="0.25">
      <c r="A137" s="2" t="s">
        <v>682</v>
      </c>
      <c r="B137" s="1" t="s">
        <v>681</v>
      </c>
      <c r="C137" s="2" t="s">
        <v>24</v>
      </c>
      <c r="D137" s="77">
        <v>12</v>
      </c>
      <c r="E137" s="77">
        <v>115</v>
      </c>
      <c r="F137" s="77">
        <v>0</v>
      </c>
      <c r="G137" s="77">
        <v>0</v>
      </c>
      <c r="H137" s="77">
        <v>6</v>
      </c>
      <c r="I137" s="77">
        <v>83</v>
      </c>
      <c r="J137" s="77">
        <v>0</v>
      </c>
      <c r="K137" s="77">
        <v>0</v>
      </c>
      <c r="L137" s="77">
        <v>13</v>
      </c>
      <c r="M137" s="77">
        <v>0</v>
      </c>
      <c r="N137" s="77">
        <v>13</v>
      </c>
      <c r="O137" s="77">
        <v>18</v>
      </c>
      <c r="P137" s="77">
        <v>198</v>
      </c>
      <c r="Q137" s="2" t="s">
        <v>872</v>
      </c>
      <c r="R137" s="77">
        <v>12</v>
      </c>
      <c r="S137" s="77">
        <v>115</v>
      </c>
      <c r="T137" s="77">
        <v>0</v>
      </c>
      <c r="U137" s="77">
        <v>0</v>
      </c>
      <c r="V137" s="77">
        <v>30</v>
      </c>
      <c r="W137" s="77">
        <v>608</v>
      </c>
      <c r="X137" s="77">
        <v>12</v>
      </c>
      <c r="Y137" s="77">
        <v>112</v>
      </c>
      <c r="Z137" s="77">
        <v>60</v>
      </c>
      <c r="AA137" s="77">
        <v>918</v>
      </c>
      <c r="AB137" s="77">
        <f>Table4[[#This Row],[Total Attendance]]/Table4[[#This Row],[Total Events]]</f>
        <v>15.3</v>
      </c>
      <c r="AC137" s="77">
        <f>Table4[[#This Row],[Total Attendance]]/AD137</f>
        <v>0.20703653585926929</v>
      </c>
      <c r="AD137" s="77">
        <v>4434</v>
      </c>
    </row>
    <row r="138" spans="1:30" ht="13.5" thickBot="1" x14ac:dyDescent="0.25">
      <c r="A138" s="2" t="s">
        <v>692</v>
      </c>
      <c r="B138" s="1" t="s">
        <v>691</v>
      </c>
      <c r="C138" s="2" t="s">
        <v>24</v>
      </c>
      <c r="D138" s="4">
        <v>48</v>
      </c>
      <c r="E138" s="4">
        <v>594</v>
      </c>
      <c r="F138" s="4">
        <v>0</v>
      </c>
      <c r="G138" s="4">
        <v>0</v>
      </c>
      <c r="H138" s="4">
        <v>16</v>
      </c>
      <c r="I138" s="4">
        <v>265</v>
      </c>
      <c r="J138" s="77">
        <v>0</v>
      </c>
      <c r="K138" s="77">
        <v>0</v>
      </c>
      <c r="L138" s="4">
        <v>58</v>
      </c>
      <c r="M138" s="77">
        <v>0</v>
      </c>
      <c r="N138" s="4">
        <v>58</v>
      </c>
      <c r="O138" s="4">
        <v>64</v>
      </c>
      <c r="P138" s="4">
        <v>859</v>
      </c>
      <c r="Q138" s="2" t="s">
        <v>872</v>
      </c>
      <c r="R138" s="4">
        <v>45</v>
      </c>
      <c r="S138" s="4">
        <v>397</v>
      </c>
      <c r="T138" s="4">
        <v>0</v>
      </c>
      <c r="U138" s="4">
        <v>0</v>
      </c>
      <c r="V138" s="77">
        <v>5</v>
      </c>
      <c r="W138" s="77">
        <v>47</v>
      </c>
      <c r="X138" s="77">
        <v>1</v>
      </c>
      <c r="Y138" s="77">
        <v>64</v>
      </c>
      <c r="Z138" s="4">
        <v>70</v>
      </c>
      <c r="AA138" s="4">
        <v>970</v>
      </c>
      <c r="AB138" s="77">
        <f>Table4[[#This Row],[Total Attendance]]/Table4[[#This Row],[Total Events]]</f>
        <v>13.857142857142858</v>
      </c>
      <c r="AC138" s="77">
        <f>Table4[[#This Row],[Total Attendance]]/AD138</f>
        <v>0.22171428571428572</v>
      </c>
      <c r="AD138" s="77">
        <v>4375</v>
      </c>
    </row>
    <row r="139" spans="1:30" ht="13.5" thickBot="1" x14ac:dyDescent="0.25">
      <c r="A139" s="2" t="s">
        <v>696</v>
      </c>
      <c r="B139" s="1" t="s">
        <v>695</v>
      </c>
      <c r="C139" s="2" t="s">
        <v>24</v>
      </c>
      <c r="D139" s="4">
        <v>157</v>
      </c>
      <c r="E139" s="4">
        <v>3773</v>
      </c>
      <c r="F139" s="4">
        <v>11</v>
      </c>
      <c r="G139" s="4">
        <v>86</v>
      </c>
      <c r="H139" s="4">
        <v>61</v>
      </c>
      <c r="I139" s="4">
        <v>1960</v>
      </c>
      <c r="J139" s="4">
        <v>6</v>
      </c>
      <c r="K139" s="4">
        <v>34</v>
      </c>
      <c r="L139" s="4">
        <v>397</v>
      </c>
      <c r="M139" s="77">
        <v>98</v>
      </c>
      <c r="N139" s="4">
        <v>495</v>
      </c>
      <c r="O139" s="4">
        <v>218</v>
      </c>
      <c r="P139" s="4">
        <v>5733</v>
      </c>
      <c r="Q139" s="2" t="s">
        <v>872</v>
      </c>
      <c r="R139" s="4">
        <v>92</v>
      </c>
      <c r="S139" s="4">
        <v>1486</v>
      </c>
      <c r="T139" s="4">
        <v>17</v>
      </c>
      <c r="U139" s="4">
        <v>120</v>
      </c>
      <c r="V139" s="4">
        <v>100</v>
      </c>
      <c r="W139" s="4">
        <v>785</v>
      </c>
      <c r="X139" s="4">
        <v>0</v>
      </c>
      <c r="Y139" s="4">
        <v>0</v>
      </c>
      <c r="Z139" s="4">
        <v>335</v>
      </c>
      <c r="AA139" s="4">
        <v>6638</v>
      </c>
      <c r="AB139" s="77">
        <f>Table4[[#This Row],[Total Attendance]]/Table4[[#This Row],[Total Events]]</f>
        <v>19.814925373134329</v>
      </c>
      <c r="AC139" s="77">
        <f>Table4[[#This Row],[Total Attendance]]/AD139</f>
        <v>1.3013134679474614</v>
      </c>
      <c r="AD139" s="77">
        <v>5101</v>
      </c>
    </row>
    <row r="140" spans="1:30" ht="13.5" thickBot="1" x14ac:dyDescent="0.25">
      <c r="A140" s="2" t="s">
        <v>702</v>
      </c>
      <c r="B140" s="1" t="s">
        <v>701</v>
      </c>
      <c r="C140" s="2" t="s">
        <v>24</v>
      </c>
      <c r="D140" s="4">
        <v>8</v>
      </c>
      <c r="E140" s="4">
        <v>425</v>
      </c>
      <c r="F140" s="4">
        <v>1</v>
      </c>
      <c r="G140" s="4">
        <v>9</v>
      </c>
      <c r="H140" s="4">
        <v>8</v>
      </c>
      <c r="I140" s="4">
        <v>250</v>
      </c>
      <c r="J140" s="4">
        <v>8</v>
      </c>
      <c r="K140" s="4">
        <v>30</v>
      </c>
      <c r="L140" s="4">
        <v>140</v>
      </c>
      <c r="M140" s="4">
        <v>15</v>
      </c>
      <c r="N140" s="4">
        <v>155</v>
      </c>
      <c r="O140" s="4">
        <v>16</v>
      </c>
      <c r="P140" s="4">
        <v>675</v>
      </c>
      <c r="Q140" s="2" t="s">
        <v>872</v>
      </c>
      <c r="R140" s="4">
        <v>5</v>
      </c>
      <c r="S140" s="4">
        <v>50</v>
      </c>
      <c r="T140" s="4">
        <v>9</v>
      </c>
      <c r="U140" s="4">
        <v>39</v>
      </c>
      <c r="V140" s="4">
        <v>4</v>
      </c>
      <c r="W140" s="4">
        <v>676</v>
      </c>
      <c r="X140" s="4">
        <v>0</v>
      </c>
      <c r="Y140" s="4">
        <v>0</v>
      </c>
      <c r="Z140" s="4">
        <v>29</v>
      </c>
      <c r="AA140" s="4">
        <v>1390</v>
      </c>
      <c r="AB140" s="77">
        <f>Table4[[#This Row],[Total Attendance]]/Table4[[#This Row],[Total Events]]</f>
        <v>47.931034482758619</v>
      </c>
      <c r="AC140" s="77">
        <f>Table4[[#This Row],[Total Attendance]]/AD140</f>
        <v>0.34422981674096087</v>
      </c>
      <c r="AD140" s="77">
        <v>4038</v>
      </c>
    </row>
    <row r="141" spans="1:30" ht="13.5" thickBot="1" x14ac:dyDescent="0.25">
      <c r="A141" s="2" t="s">
        <v>710</v>
      </c>
      <c r="B141" s="1" t="s">
        <v>709</v>
      </c>
      <c r="C141" s="2" t="s">
        <v>24</v>
      </c>
      <c r="D141" s="77">
        <v>2</v>
      </c>
      <c r="E141" s="77">
        <v>21</v>
      </c>
      <c r="F141" s="77">
        <v>0</v>
      </c>
      <c r="G141" s="77">
        <v>0</v>
      </c>
      <c r="H141" s="77">
        <v>8</v>
      </c>
      <c r="I141" s="77">
        <v>96</v>
      </c>
      <c r="J141" s="77">
        <v>0</v>
      </c>
      <c r="K141" s="77">
        <v>0</v>
      </c>
      <c r="L141" s="77">
        <v>22</v>
      </c>
      <c r="M141" s="78" t="s">
        <v>16</v>
      </c>
      <c r="N141" s="77">
        <v>22</v>
      </c>
      <c r="O141" s="77">
        <v>10</v>
      </c>
      <c r="P141" s="77">
        <v>117</v>
      </c>
      <c r="Q141" s="2" t="s">
        <v>873</v>
      </c>
      <c r="R141" s="77">
        <v>0</v>
      </c>
      <c r="S141" s="77">
        <v>0</v>
      </c>
      <c r="T141" s="77">
        <v>0</v>
      </c>
      <c r="U141" s="77">
        <v>0</v>
      </c>
      <c r="V141" s="77">
        <v>36</v>
      </c>
      <c r="W141" s="77">
        <v>144</v>
      </c>
      <c r="X141" s="77">
        <v>16</v>
      </c>
      <c r="Y141" s="77">
        <v>224</v>
      </c>
      <c r="Z141" s="77">
        <v>62</v>
      </c>
      <c r="AA141" s="77">
        <v>485</v>
      </c>
      <c r="AB141" s="77">
        <f>Table4[[#This Row],[Total Attendance]]/Table4[[#This Row],[Total Events]]</f>
        <v>7.82258064516129</v>
      </c>
      <c r="AC141" s="77">
        <f>Table4[[#This Row],[Total Attendance]]/AD141</f>
        <v>8.6069210292812781E-2</v>
      </c>
      <c r="AD141" s="77">
        <v>5635</v>
      </c>
    </row>
    <row r="142" spans="1:30" ht="13.5" thickBot="1" x14ac:dyDescent="0.25">
      <c r="A142" s="2" t="s">
        <v>732</v>
      </c>
      <c r="B142" s="1" t="s">
        <v>731</v>
      </c>
      <c r="C142" s="2" t="s">
        <v>24</v>
      </c>
      <c r="D142" s="4">
        <v>78</v>
      </c>
      <c r="E142" s="4">
        <v>1836</v>
      </c>
      <c r="F142" s="4">
        <v>8</v>
      </c>
      <c r="G142" s="4">
        <v>26</v>
      </c>
      <c r="H142" s="4">
        <v>19</v>
      </c>
      <c r="I142" s="4">
        <v>1281</v>
      </c>
      <c r="J142" s="77">
        <v>42</v>
      </c>
      <c r="K142" s="77">
        <v>464</v>
      </c>
      <c r="L142" s="77">
        <v>157</v>
      </c>
      <c r="M142" s="77">
        <v>34</v>
      </c>
      <c r="N142" s="77">
        <v>191</v>
      </c>
      <c r="O142" s="4">
        <v>97</v>
      </c>
      <c r="P142" s="4">
        <v>3117</v>
      </c>
      <c r="Q142" s="2" t="s">
        <v>872</v>
      </c>
      <c r="R142" s="77">
        <v>52</v>
      </c>
      <c r="S142" s="77">
        <v>565</v>
      </c>
      <c r="T142" s="4">
        <v>50</v>
      </c>
      <c r="U142" s="4">
        <v>490</v>
      </c>
      <c r="V142" s="77">
        <v>34</v>
      </c>
      <c r="W142" s="77">
        <v>304</v>
      </c>
      <c r="X142" s="77">
        <v>25</v>
      </c>
      <c r="Y142" s="77">
        <v>1553</v>
      </c>
      <c r="Z142" s="4">
        <v>206</v>
      </c>
      <c r="AA142" s="4">
        <v>5464</v>
      </c>
      <c r="AB142" s="77">
        <f>Table4[[#This Row],[Total Attendance]]/Table4[[#This Row],[Total Events]]</f>
        <v>26.524271844660195</v>
      </c>
      <c r="AC142" s="77">
        <f>Table4[[#This Row],[Total Attendance]]/AD142</f>
        <v>1.3504695996045477</v>
      </c>
      <c r="AD142" s="77">
        <v>4046</v>
      </c>
    </row>
    <row r="143" spans="1:30" ht="13.5" thickBot="1" x14ac:dyDescent="0.25">
      <c r="A143" s="2" t="s">
        <v>744</v>
      </c>
      <c r="B143" s="1" t="s">
        <v>743</v>
      </c>
      <c r="C143" s="2" t="s">
        <v>24</v>
      </c>
      <c r="D143" s="4">
        <v>30</v>
      </c>
      <c r="E143" s="4">
        <v>490</v>
      </c>
      <c r="F143" s="4">
        <v>12</v>
      </c>
      <c r="G143" s="4">
        <v>60</v>
      </c>
      <c r="H143" s="4">
        <v>6</v>
      </c>
      <c r="I143" s="4">
        <v>456</v>
      </c>
      <c r="J143" s="77">
        <v>0</v>
      </c>
      <c r="K143" s="77">
        <v>0</v>
      </c>
      <c r="L143" s="77">
        <v>162</v>
      </c>
      <c r="M143" s="77">
        <v>6</v>
      </c>
      <c r="N143" s="77">
        <v>168</v>
      </c>
      <c r="O143" s="4">
        <v>36</v>
      </c>
      <c r="P143" s="4">
        <v>946</v>
      </c>
      <c r="Q143" s="2" t="s">
        <v>872</v>
      </c>
      <c r="R143" s="77">
        <v>20</v>
      </c>
      <c r="S143" s="77">
        <v>298</v>
      </c>
      <c r="T143" s="4">
        <v>12</v>
      </c>
      <c r="U143" s="4">
        <v>60</v>
      </c>
      <c r="V143" s="4">
        <v>20</v>
      </c>
      <c r="W143" s="4">
        <v>551</v>
      </c>
      <c r="X143" s="4">
        <v>0</v>
      </c>
      <c r="Y143" s="4">
        <v>0</v>
      </c>
      <c r="Z143" s="4">
        <v>68</v>
      </c>
      <c r="AA143" s="4">
        <v>1557</v>
      </c>
      <c r="AB143" s="77">
        <f>Table4[[#This Row],[Total Attendance]]/Table4[[#This Row],[Total Events]]</f>
        <v>22.897058823529413</v>
      </c>
      <c r="AC143" s="77">
        <f>Table4[[#This Row],[Total Attendance]]/AD143</f>
        <v>0.2841759445154225</v>
      </c>
      <c r="AD143" s="77">
        <v>5479</v>
      </c>
    </row>
    <row r="144" spans="1:30" ht="13.5" thickBot="1" x14ac:dyDescent="0.25">
      <c r="A144" s="2" t="s">
        <v>753</v>
      </c>
      <c r="B144" s="1" t="s">
        <v>752</v>
      </c>
      <c r="C144" s="2" t="s">
        <v>24</v>
      </c>
      <c r="D144" s="4">
        <v>1</v>
      </c>
      <c r="E144" s="4">
        <v>30</v>
      </c>
      <c r="F144" s="4">
        <v>1</v>
      </c>
      <c r="G144" s="4">
        <v>10</v>
      </c>
      <c r="H144" s="4">
        <v>9</v>
      </c>
      <c r="I144" s="4">
        <v>185</v>
      </c>
      <c r="J144" s="4">
        <v>1</v>
      </c>
      <c r="K144" s="4">
        <v>10</v>
      </c>
      <c r="L144" s="4">
        <v>68</v>
      </c>
      <c r="M144" s="77">
        <v>14</v>
      </c>
      <c r="N144" s="4">
        <v>82</v>
      </c>
      <c r="O144" s="4">
        <v>10</v>
      </c>
      <c r="P144" s="4">
        <v>215</v>
      </c>
      <c r="Q144" s="2" t="s">
        <v>872</v>
      </c>
      <c r="R144" s="4">
        <v>1</v>
      </c>
      <c r="S144" s="4">
        <v>5</v>
      </c>
      <c r="T144" s="4">
        <v>2</v>
      </c>
      <c r="U144" s="4">
        <v>20</v>
      </c>
      <c r="V144" s="4">
        <v>1</v>
      </c>
      <c r="W144" s="4">
        <v>47</v>
      </c>
      <c r="X144" s="4">
        <v>1</v>
      </c>
      <c r="Y144" s="4">
        <v>850</v>
      </c>
      <c r="Z144" s="4">
        <v>14</v>
      </c>
      <c r="AA144" s="4">
        <v>1132</v>
      </c>
      <c r="AB144" s="77">
        <f>Table4[[#This Row],[Total Attendance]]/Table4[[#This Row],[Total Events]]</f>
        <v>80.857142857142861</v>
      </c>
      <c r="AC144" s="77">
        <f>Table4[[#This Row],[Total Attendance]]/AD144</f>
        <v>0.16946107784431139</v>
      </c>
      <c r="AD144" s="77">
        <v>6680</v>
      </c>
    </row>
    <row r="145" spans="1:30" ht="13.5" thickBot="1" x14ac:dyDescent="0.25">
      <c r="A145" s="2" t="s">
        <v>761</v>
      </c>
      <c r="B145" s="1" t="s">
        <v>760</v>
      </c>
      <c r="C145" s="2" t="s">
        <v>24</v>
      </c>
      <c r="D145" s="77">
        <v>44</v>
      </c>
      <c r="E145" s="77">
        <v>687</v>
      </c>
      <c r="F145" s="77">
        <v>3</v>
      </c>
      <c r="G145" s="77">
        <v>42</v>
      </c>
      <c r="H145" s="77">
        <v>19</v>
      </c>
      <c r="I145" s="77">
        <v>530</v>
      </c>
      <c r="J145" s="77">
        <v>3</v>
      </c>
      <c r="K145" s="77">
        <v>42</v>
      </c>
      <c r="L145" s="77">
        <v>121</v>
      </c>
      <c r="M145" s="77">
        <v>12</v>
      </c>
      <c r="N145" s="77">
        <v>133</v>
      </c>
      <c r="O145" s="77">
        <v>63</v>
      </c>
      <c r="P145" s="77">
        <v>1217</v>
      </c>
      <c r="Q145" s="2" t="s">
        <v>873</v>
      </c>
      <c r="R145" s="77">
        <v>23</v>
      </c>
      <c r="S145" s="77">
        <v>92</v>
      </c>
      <c r="T145" s="77">
        <v>6</v>
      </c>
      <c r="U145" s="77">
        <v>84</v>
      </c>
      <c r="V145" s="77">
        <v>14</v>
      </c>
      <c r="W145" s="77">
        <v>200</v>
      </c>
      <c r="X145" s="77">
        <v>3</v>
      </c>
      <c r="Y145" s="77">
        <v>90</v>
      </c>
      <c r="Z145" s="77">
        <v>86</v>
      </c>
      <c r="AA145" s="77">
        <v>1591</v>
      </c>
      <c r="AB145" s="77">
        <f>Table4[[#This Row],[Total Attendance]]/Table4[[#This Row],[Total Events]]</f>
        <v>18.5</v>
      </c>
      <c r="AC145" s="77">
        <f>Table4[[#This Row],[Total Attendance]]/AD145</f>
        <v>0.26371622741587936</v>
      </c>
      <c r="AD145" s="77">
        <v>6033</v>
      </c>
    </row>
    <row r="146" spans="1:30" ht="13.5" thickBot="1" x14ac:dyDescent="0.25">
      <c r="A146" s="2" t="s">
        <v>769</v>
      </c>
      <c r="B146" s="1" t="s">
        <v>768</v>
      </c>
      <c r="C146" s="2" t="s">
        <v>24</v>
      </c>
      <c r="D146" s="4">
        <v>62</v>
      </c>
      <c r="E146" s="4">
        <v>100</v>
      </c>
      <c r="F146" s="4">
        <v>0</v>
      </c>
      <c r="G146" s="4">
        <v>0</v>
      </c>
      <c r="H146" s="4">
        <v>5</v>
      </c>
      <c r="I146" s="4">
        <v>120</v>
      </c>
      <c r="J146" s="4">
        <v>0</v>
      </c>
      <c r="K146" s="4">
        <v>0</v>
      </c>
      <c r="L146" s="4">
        <v>16</v>
      </c>
      <c r="M146" s="77">
        <v>0</v>
      </c>
      <c r="N146" s="4">
        <v>16</v>
      </c>
      <c r="O146" s="4">
        <v>67</v>
      </c>
      <c r="P146" s="4">
        <v>220</v>
      </c>
      <c r="Q146" s="2" t="s">
        <v>872</v>
      </c>
      <c r="R146" s="4">
        <v>50</v>
      </c>
      <c r="S146" s="4">
        <v>100</v>
      </c>
      <c r="T146" s="4">
        <v>0</v>
      </c>
      <c r="U146" s="4">
        <v>0</v>
      </c>
      <c r="V146" s="4">
        <v>12</v>
      </c>
      <c r="W146" s="4">
        <v>190</v>
      </c>
      <c r="X146" s="4">
        <v>0</v>
      </c>
      <c r="Y146" s="4">
        <v>0</v>
      </c>
      <c r="Z146" s="4">
        <v>79</v>
      </c>
      <c r="AA146" s="4">
        <v>410</v>
      </c>
      <c r="AB146" s="77">
        <f>Table4[[#This Row],[Total Attendance]]/Table4[[#This Row],[Total Events]]</f>
        <v>5.1898734177215191</v>
      </c>
      <c r="AC146" s="77">
        <f>Table4[[#This Row],[Total Attendance]]/AD146</f>
        <v>8.9597902097902096E-2</v>
      </c>
      <c r="AD146" s="77">
        <v>4576</v>
      </c>
    </row>
    <row r="147" spans="1:30" ht="13.5" thickBot="1" x14ac:dyDescent="0.25">
      <c r="A147" s="2" t="s">
        <v>783</v>
      </c>
      <c r="B147" s="1" t="s">
        <v>782</v>
      </c>
      <c r="C147" s="2" t="s">
        <v>24</v>
      </c>
      <c r="D147" s="4">
        <v>26</v>
      </c>
      <c r="E147" s="4">
        <v>333</v>
      </c>
      <c r="F147" s="4">
        <v>1</v>
      </c>
      <c r="G147" s="4">
        <v>26</v>
      </c>
      <c r="H147" s="4">
        <v>21</v>
      </c>
      <c r="I147" s="4">
        <v>248</v>
      </c>
      <c r="J147" s="77">
        <v>0</v>
      </c>
      <c r="K147" s="77">
        <v>0</v>
      </c>
      <c r="L147" s="77">
        <v>58</v>
      </c>
      <c r="M147" s="77">
        <v>0</v>
      </c>
      <c r="N147" s="77">
        <v>58</v>
      </c>
      <c r="O147" s="4">
        <v>47</v>
      </c>
      <c r="P147" s="4">
        <v>581</v>
      </c>
      <c r="Q147" s="2" t="s">
        <v>873</v>
      </c>
      <c r="R147" s="4">
        <v>0</v>
      </c>
      <c r="S147" s="4">
        <v>0</v>
      </c>
      <c r="T147" s="4">
        <v>1</v>
      </c>
      <c r="U147" s="4">
        <v>26</v>
      </c>
      <c r="V147" s="77">
        <v>19</v>
      </c>
      <c r="W147" s="77">
        <v>314</v>
      </c>
      <c r="X147" s="77">
        <v>6</v>
      </c>
      <c r="Y147" s="77">
        <v>116</v>
      </c>
      <c r="Z147" s="4">
        <v>73</v>
      </c>
      <c r="AA147" s="4">
        <v>1037</v>
      </c>
      <c r="AB147" s="77">
        <f>Table4[[#This Row],[Total Attendance]]/Table4[[#This Row],[Total Events]]</f>
        <v>14.205479452054794</v>
      </c>
      <c r="AC147" s="77">
        <f>Table4[[#This Row],[Total Attendance]]/AD147</f>
        <v>0.2179945343704015</v>
      </c>
      <c r="AD147" s="77">
        <v>4757</v>
      </c>
    </row>
    <row r="148" spans="1:30" ht="13.5" thickBot="1" x14ac:dyDescent="0.25">
      <c r="A148" s="2" t="s">
        <v>789</v>
      </c>
      <c r="B148" s="1" t="s">
        <v>788</v>
      </c>
      <c r="C148" s="2" t="s">
        <v>24</v>
      </c>
      <c r="D148" s="4">
        <v>9</v>
      </c>
      <c r="E148" s="4">
        <v>253</v>
      </c>
      <c r="F148" s="4">
        <v>0</v>
      </c>
      <c r="G148" s="4">
        <v>0</v>
      </c>
      <c r="H148" s="4">
        <v>8</v>
      </c>
      <c r="I148" s="4">
        <v>330</v>
      </c>
      <c r="J148" s="4">
        <v>3</v>
      </c>
      <c r="K148" s="77">
        <v>15</v>
      </c>
      <c r="L148" s="77">
        <v>73</v>
      </c>
      <c r="M148" s="77">
        <v>12</v>
      </c>
      <c r="N148" s="77">
        <v>85</v>
      </c>
      <c r="O148" s="4">
        <v>17</v>
      </c>
      <c r="P148" s="4">
        <v>583</v>
      </c>
      <c r="Q148" s="2" t="s">
        <v>873</v>
      </c>
      <c r="R148" s="4">
        <v>0</v>
      </c>
      <c r="S148" s="4">
        <v>0</v>
      </c>
      <c r="T148" s="4">
        <v>3</v>
      </c>
      <c r="U148" s="4">
        <v>15</v>
      </c>
      <c r="V148" s="4">
        <v>9</v>
      </c>
      <c r="W148" s="77">
        <v>47</v>
      </c>
      <c r="X148" s="77">
        <v>2</v>
      </c>
      <c r="Y148" s="77">
        <v>41</v>
      </c>
      <c r="Z148" s="4">
        <v>31</v>
      </c>
      <c r="AA148" s="4">
        <v>686</v>
      </c>
      <c r="AB148" s="77">
        <f>Table4[[#This Row],[Total Attendance]]/Table4[[#This Row],[Total Events]]</f>
        <v>22.129032258064516</v>
      </c>
      <c r="AC148" s="77">
        <f>Table4[[#This Row],[Total Attendance]]/AD148</f>
        <v>0.14867793671434765</v>
      </c>
      <c r="AD148" s="77">
        <v>4614</v>
      </c>
    </row>
    <row r="149" spans="1:30" ht="13.5" thickBot="1" x14ac:dyDescent="0.25">
      <c r="A149" s="2" t="s">
        <v>801</v>
      </c>
      <c r="B149" s="1" t="s">
        <v>800</v>
      </c>
      <c r="C149" s="2" t="s">
        <v>24</v>
      </c>
      <c r="D149" s="4">
        <v>36</v>
      </c>
      <c r="E149" s="4">
        <v>576</v>
      </c>
      <c r="F149" s="4">
        <v>3</v>
      </c>
      <c r="G149" s="4">
        <v>22</v>
      </c>
      <c r="H149" s="4">
        <v>15</v>
      </c>
      <c r="I149" s="4">
        <v>313</v>
      </c>
      <c r="J149" s="4">
        <v>1</v>
      </c>
      <c r="K149" s="4">
        <v>8</v>
      </c>
      <c r="L149" s="4">
        <v>194</v>
      </c>
      <c r="M149" s="77">
        <v>7</v>
      </c>
      <c r="N149" s="4">
        <v>201</v>
      </c>
      <c r="O149" s="4">
        <v>51</v>
      </c>
      <c r="P149" s="4">
        <v>889</v>
      </c>
      <c r="Q149" s="2" t="s">
        <v>872</v>
      </c>
      <c r="R149" s="4">
        <v>24</v>
      </c>
      <c r="S149" s="4">
        <v>343</v>
      </c>
      <c r="T149" s="4">
        <v>4</v>
      </c>
      <c r="U149" s="4">
        <v>30</v>
      </c>
      <c r="V149" s="4">
        <v>29</v>
      </c>
      <c r="W149" s="4">
        <v>448</v>
      </c>
      <c r="X149" s="77">
        <v>0</v>
      </c>
      <c r="Y149" s="77">
        <v>0</v>
      </c>
      <c r="Z149" s="4">
        <v>84</v>
      </c>
      <c r="AA149" s="4">
        <v>1367</v>
      </c>
      <c r="AB149" s="77">
        <f>Table4[[#This Row],[Total Attendance]]/Table4[[#This Row],[Total Events]]</f>
        <v>16.273809523809526</v>
      </c>
      <c r="AC149" s="77">
        <f>Table4[[#This Row],[Total Attendance]]/AD149</f>
        <v>0.19531361623089014</v>
      </c>
      <c r="AD149" s="77">
        <v>6999</v>
      </c>
    </row>
    <row r="150" spans="1:30" ht="13.5" thickBot="1" x14ac:dyDescent="0.25">
      <c r="A150" s="2" t="s">
        <v>811</v>
      </c>
      <c r="B150" s="1" t="s">
        <v>810</v>
      </c>
      <c r="C150" s="2" t="s">
        <v>24</v>
      </c>
      <c r="D150" s="4">
        <v>80</v>
      </c>
      <c r="E150" s="4">
        <v>331</v>
      </c>
      <c r="F150" s="4">
        <v>8</v>
      </c>
      <c r="G150" s="4">
        <v>79</v>
      </c>
      <c r="H150" s="4">
        <v>15</v>
      </c>
      <c r="I150" s="4">
        <v>761</v>
      </c>
      <c r="J150" s="4">
        <v>2</v>
      </c>
      <c r="K150" s="4">
        <v>42</v>
      </c>
      <c r="L150" s="77">
        <v>141</v>
      </c>
      <c r="M150" s="77">
        <v>22</v>
      </c>
      <c r="N150" s="77">
        <v>163</v>
      </c>
      <c r="O150" s="4">
        <v>95</v>
      </c>
      <c r="P150" s="4">
        <v>1092</v>
      </c>
      <c r="Q150" s="2" t="s">
        <v>872</v>
      </c>
      <c r="R150" s="4">
        <v>8</v>
      </c>
      <c r="S150" s="4">
        <v>30</v>
      </c>
      <c r="T150" s="4">
        <v>10</v>
      </c>
      <c r="U150" s="4">
        <v>121</v>
      </c>
      <c r="V150" s="4">
        <v>141</v>
      </c>
      <c r="W150" s="4">
        <v>1261</v>
      </c>
      <c r="X150" s="77">
        <v>1</v>
      </c>
      <c r="Y150" s="77">
        <v>19</v>
      </c>
      <c r="Z150" s="4">
        <v>247</v>
      </c>
      <c r="AA150" s="4">
        <v>2493</v>
      </c>
      <c r="AB150" s="77">
        <f>Table4[[#This Row],[Total Attendance]]/Table4[[#This Row],[Total Events]]</f>
        <v>10.093117408906883</v>
      </c>
      <c r="AC150" s="77">
        <f>Table4[[#This Row],[Total Attendance]]/AD150</f>
        <v>0.51540210874508996</v>
      </c>
      <c r="AD150" s="77">
        <v>4837</v>
      </c>
    </row>
    <row r="151" spans="1:30" ht="13.5" thickBot="1" x14ac:dyDescent="0.25">
      <c r="A151" s="2" t="s">
        <v>829</v>
      </c>
      <c r="B151" s="1" t="s">
        <v>828</v>
      </c>
      <c r="C151" s="2" t="s">
        <v>24</v>
      </c>
      <c r="D151" s="4">
        <v>55</v>
      </c>
      <c r="E151" s="4">
        <v>1336</v>
      </c>
      <c r="F151" s="4">
        <v>15</v>
      </c>
      <c r="G151" s="4">
        <v>79</v>
      </c>
      <c r="H151" s="4">
        <v>5</v>
      </c>
      <c r="I151" s="4">
        <v>187</v>
      </c>
      <c r="J151" s="4">
        <v>0</v>
      </c>
      <c r="K151" s="4">
        <v>0</v>
      </c>
      <c r="L151" s="4">
        <v>50</v>
      </c>
      <c r="M151" s="78" t="s">
        <v>16</v>
      </c>
      <c r="N151" s="4">
        <v>50</v>
      </c>
      <c r="O151" s="4">
        <v>60</v>
      </c>
      <c r="P151" s="4">
        <v>1523</v>
      </c>
      <c r="Q151" s="2" t="s">
        <v>872</v>
      </c>
      <c r="R151" s="77">
        <v>20</v>
      </c>
      <c r="S151" s="77">
        <v>344</v>
      </c>
      <c r="T151" s="4">
        <v>15</v>
      </c>
      <c r="U151" s="4">
        <v>79</v>
      </c>
      <c r="V151" s="4">
        <v>47</v>
      </c>
      <c r="W151" s="4">
        <v>550</v>
      </c>
      <c r="X151" s="4">
        <v>22</v>
      </c>
      <c r="Y151" s="4">
        <v>1053</v>
      </c>
      <c r="Z151" s="4">
        <v>144</v>
      </c>
      <c r="AA151" s="4">
        <v>3205</v>
      </c>
      <c r="AB151" s="77">
        <f>Table4[[#This Row],[Total Attendance]]/Table4[[#This Row],[Total Events]]</f>
        <v>22.256944444444443</v>
      </c>
      <c r="AC151" s="77">
        <f>Table4[[#This Row],[Total Attendance]]/AD151</f>
        <v>0.61164122137404575</v>
      </c>
      <c r="AD151" s="77">
        <v>5240</v>
      </c>
    </row>
    <row r="152" spans="1:30" ht="13.5" thickBot="1" x14ac:dyDescent="0.25">
      <c r="A152" s="2" t="s">
        <v>31</v>
      </c>
      <c r="B152" s="1" t="s">
        <v>30</v>
      </c>
      <c r="C152" s="2" t="s">
        <v>32</v>
      </c>
      <c r="D152" s="4">
        <v>44</v>
      </c>
      <c r="E152" s="4">
        <v>252</v>
      </c>
      <c r="F152" s="4">
        <v>12</v>
      </c>
      <c r="G152" s="4">
        <v>24</v>
      </c>
      <c r="H152" s="4">
        <v>26</v>
      </c>
      <c r="I152" s="4">
        <v>291</v>
      </c>
      <c r="J152" s="4">
        <v>3</v>
      </c>
      <c r="K152" s="4">
        <v>16</v>
      </c>
      <c r="L152" s="77">
        <v>133</v>
      </c>
      <c r="M152" s="77">
        <v>20</v>
      </c>
      <c r="N152" s="77">
        <v>153</v>
      </c>
      <c r="O152" s="4">
        <v>70</v>
      </c>
      <c r="P152" s="4">
        <v>543</v>
      </c>
      <c r="Q152" s="2" t="s">
        <v>872</v>
      </c>
      <c r="R152" s="4">
        <v>41</v>
      </c>
      <c r="S152" s="4">
        <v>164</v>
      </c>
      <c r="T152" s="4">
        <v>15</v>
      </c>
      <c r="U152" s="4">
        <v>40</v>
      </c>
      <c r="V152" s="4">
        <v>0</v>
      </c>
      <c r="W152" s="4">
        <v>0</v>
      </c>
      <c r="X152" s="4">
        <v>153</v>
      </c>
      <c r="Y152" s="4">
        <v>869</v>
      </c>
      <c r="Z152" s="4">
        <v>238</v>
      </c>
      <c r="AA152" s="4">
        <v>1452</v>
      </c>
      <c r="AB152" s="77">
        <f>Table4[[#This Row],[Total Attendance]]/Table4[[#This Row],[Total Events]]</f>
        <v>6.1008403361344534</v>
      </c>
      <c r="AC152" s="77">
        <f>Table4[[#This Row],[Total Attendance]]/AD152</f>
        <v>0.19595141700404858</v>
      </c>
      <c r="AD152" s="77">
        <v>7410</v>
      </c>
    </row>
    <row r="153" spans="1:30" ht="13.5" thickBot="1" x14ac:dyDescent="0.25">
      <c r="A153" s="2" t="s">
        <v>34</v>
      </c>
      <c r="B153" s="1" t="s">
        <v>33</v>
      </c>
      <c r="C153" s="2" t="s">
        <v>32</v>
      </c>
      <c r="D153" s="4">
        <v>20</v>
      </c>
      <c r="E153" s="4">
        <v>118</v>
      </c>
      <c r="F153" s="4">
        <v>0</v>
      </c>
      <c r="G153" s="4">
        <v>0</v>
      </c>
      <c r="H153" s="4">
        <v>0</v>
      </c>
      <c r="I153" s="4">
        <v>0</v>
      </c>
      <c r="J153" s="4">
        <v>0</v>
      </c>
      <c r="K153" s="4">
        <v>0</v>
      </c>
      <c r="L153" s="4">
        <v>0</v>
      </c>
      <c r="M153" s="77">
        <v>0</v>
      </c>
      <c r="N153" s="4">
        <v>0</v>
      </c>
      <c r="O153" s="4">
        <v>20</v>
      </c>
      <c r="P153" s="4">
        <v>118</v>
      </c>
      <c r="Q153" s="2" t="s">
        <v>872</v>
      </c>
      <c r="R153" s="4">
        <v>13</v>
      </c>
      <c r="S153" s="4">
        <v>78</v>
      </c>
      <c r="T153" s="4">
        <v>0</v>
      </c>
      <c r="U153" s="4">
        <v>0</v>
      </c>
      <c r="V153" s="4">
        <v>19</v>
      </c>
      <c r="W153" s="4">
        <v>353</v>
      </c>
      <c r="X153" s="4">
        <v>0</v>
      </c>
      <c r="Y153" s="4">
        <v>0</v>
      </c>
      <c r="Z153" s="4">
        <v>39</v>
      </c>
      <c r="AA153" s="4">
        <v>471</v>
      </c>
      <c r="AB153" s="77">
        <f>Table4[[#This Row],[Total Attendance]]/Table4[[#This Row],[Total Events]]</f>
        <v>12.076923076923077</v>
      </c>
      <c r="AC153" s="77">
        <f>Table4[[#This Row],[Total Attendance]]/AD153</f>
        <v>4.060344827586207E-2</v>
      </c>
      <c r="AD153" s="77">
        <v>11600</v>
      </c>
    </row>
    <row r="154" spans="1:30" ht="13.5" thickBot="1" x14ac:dyDescent="0.25">
      <c r="A154" s="2" t="s">
        <v>36</v>
      </c>
      <c r="B154" s="1" t="s">
        <v>35</v>
      </c>
      <c r="C154" s="2" t="s">
        <v>32</v>
      </c>
      <c r="D154" s="4">
        <v>80</v>
      </c>
      <c r="E154" s="4">
        <v>3007</v>
      </c>
      <c r="F154" s="4">
        <v>15</v>
      </c>
      <c r="G154" s="4">
        <v>120</v>
      </c>
      <c r="H154" s="4">
        <v>67</v>
      </c>
      <c r="I154" s="4">
        <v>1800</v>
      </c>
      <c r="J154" s="4">
        <v>17</v>
      </c>
      <c r="K154" s="4">
        <v>135</v>
      </c>
      <c r="L154" s="4">
        <v>119</v>
      </c>
      <c r="M154" s="77">
        <v>18</v>
      </c>
      <c r="N154" s="4">
        <v>137</v>
      </c>
      <c r="O154" s="4">
        <v>147</v>
      </c>
      <c r="P154" s="4">
        <v>4807</v>
      </c>
      <c r="Q154" s="2" t="s">
        <v>872</v>
      </c>
      <c r="R154" s="4">
        <v>16</v>
      </c>
      <c r="S154" s="4">
        <v>740</v>
      </c>
      <c r="T154" s="4">
        <v>32</v>
      </c>
      <c r="U154" s="4">
        <v>255</v>
      </c>
      <c r="V154" s="4">
        <v>113</v>
      </c>
      <c r="W154" s="4">
        <v>964</v>
      </c>
      <c r="X154" s="4">
        <v>248</v>
      </c>
      <c r="Y154" s="4">
        <v>1488</v>
      </c>
      <c r="Z154" s="4">
        <v>540</v>
      </c>
      <c r="AA154" s="4">
        <v>7514</v>
      </c>
      <c r="AB154" s="77">
        <f>Table4[[#This Row],[Total Attendance]]/Table4[[#This Row],[Total Events]]</f>
        <v>13.914814814814815</v>
      </c>
      <c r="AC154" s="77">
        <f>Table4[[#This Row],[Total Attendance]]/AD154</f>
        <v>0.64949433831791858</v>
      </c>
      <c r="AD154" s="77">
        <v>11569</v>
      </c>
    </row>
    <row r="155" spans="1:30" ht="13.5" thickBot="1" x14ac:dyDescent="0.25">
      <c r="A155" s="2" t="s">
        <v>38</v>
      </c>
      <c r="B155" s="1" t="s">
        <v>37</v>
      </c>
      <c r="C155" s="2" t="s">
        <v>32</v>
      </c>
      <c r="D155" s="4">
        <v>45</v>
      </c>
      <c r="E155" s="4">
        <v>816</v>
      </c>
      <c r="F155" s="4">
        <v>6</v>
      </c>
      <c r="G155" s="4">
        <v>45</v>
      </c>
      <c r="H155" s="4">
        <v>8</v>
      </c>
      <c r="I155" s="4">
        <v>565</v>
      </c>
      <c r="J155" s="4">
        <v>1</v>
      </c>
      <c r="K155" s="4">
        <v>20</v>
      </c>
      <c r="L155" s="4">
        <v>131</v>
      </c>
      <c r="M155" s="77">
        <v>37</v>
      </c>
      <c r="N155" s="4">
        <v>168</v>
      </c>
      <c r="O155" s="4">
        <v>53</v>
      </c>
      <c r="P155" s="4">
        <v>1381</v>
      </c>
      <c r="Q155" s="2" t="s">
        <v>873</v>
      </c>
      <c r="R155" s="78" t="s">
        <v>16</v>
      </c>
      <c r="S155" s="78" t="s">
        <v>16</v>
      </c>
      <c r="T155" s="4">
        <v>7</v>
      </c>
      <c r="U155" s="4">
        <v>65</v>
      </c>
      <c r="V155" s="4">
        <v>247</v>
      </c>
      <c r="W155" s="4">
        <v>2216</v>
      </c>
      <c r="X155" s="4">
        <v>13</v>
      </c>
      <c r="Y155" s="4">
        <v>272</v>
      </c>
      <c r="Z155" s="4">
        <v>320</v>
      </c>
      <c r="AA155" s="4">
        <v>3934</v>
      </c>
      <c r="AB155" s="77">
        <f>Table4[[#This Row],[Total Attendance]]/Table4[[#This Row],[Total Events]]</f>
        <v>12.293749999999999</v>
      </c>
      <c r="AC155" s="77">
        <f>Table4[[#This Row],[Total Attendance]]/AD155</f>
        <v>0.40531629919637335</v>
      </c>
      <c r="AD155" s="77">
        <v>9706</v>
      </c>
    </row>
    <row r="156" spans="1:30" ht="13.5" thickBot="1" x14ac:dyDescent="0.25">
      <c r="A156" s="2" t="s">
        <v>49</v>
      </c>
      <c r="B156" s="1" t="s">
        <v>48</v>
      </c>
      <c r="C156" s="2" t="s">
        <v>32</v>
      </c>
      <c r="D156" s="4">
        <v>230</v>
      </c>
      <c r="E156" s="4">
        <v>5077</v>
      </c>
      <c r="F156" s="4">
        <v>0</v>
      </c>
      <c r="G156" s="4">
        <v>0</v>
      </c>
      <c r="H156" s="4">
        <v>5</v>
      </c>
      <c r="I156" s="4">
        <v>669</v>
      </c>
      <c r="J156" s="77">
        <v>0</v>
      </c>
      <c r="K156" s="77">
        <v>0</v>
      </c>
      <c r="L156" s="4">
        <v>0</v>
      </c>
      <c r="M156" s="4">
        <v>0</v>
      </c>
      <c r="N156" s="4">
        <v>0</v>
      </c>
      <c r="O156" s="4">
        <v>235</v>
      </c>
      <c r="P156" s="4">
        <v>5746</v>
      </c>
      <c r="Q156" s="2" t="s">
        <v>873</v>
      </c>
      <c r="R156" s="4">
        <v>0</v>
      </c>
      <c r="S156" s="4">
        <v>0</v>
      </c>
      <c r="T156" s="4">
        <v>0</v>
      </c>
      <c r="U156" s="4">
        <v>0</v>
      </c>
      <c r="V156" s="4">
        <v>0</v>
      </c>
      <c r="W156" s="4">
        <v>0</v>
      </c>
      <c r="X156" s="4">
        <v>3057</v>
      </c>
      <c r="Y156" s="4">
        <v>25068</v>
      </c>
      <c r="Z156" s="4">
        <v>3292</v>
      </c>
      <c r="AA156" s="4">
        <v>30814</v>
      </c>
      <c r="AB156" s="77">
        <f>Table4[[#This Row],[Total Attendance]]/Table4[[#This Row],[Total Events]]</f>
        <v>9.360267314702309</v>
      </c>
      <c r="AC156" s="77">
        <f>Table4[[#This Row],[Total Attendance]]/AD156</f>
        <v>2.5889766425810787</v>
      </c>
      <c r="AD156" s="77">
        <v>11902</v>
      </c>
    </row>
    <row r="157" spans="1:30" ht="13.5" thickBot="1" x14ac:dyDescent="0.25">
      <c r="A157" s="2" t="s">
        <v>57</v>
      </c>
      <c r="B157" s="1" t="s">
        <v>56</v>
      </c>
      <c r="C157" s="2" t="s">
        <v>32</v>
      </c>
      <c r="D157" s="4">
        <v>114</v>
      </c>
      <c r="E157" s="4">
        <v>1913</v>
      </c>
      <c r="F157" s="4">
        <v>35</v>
      </c>
      <c r="G157" s="4">
        <v>247</v>
      </c>
      <c r="H157" s="4">
        <v>22</v>
      </c>
      <c r="I157" s="4">
        <v>511</v>
      </c>
      <c r="J157" s="4">
        <v>5</v>
      </c>
      <c r="K157" s="4">
        <v>87</v>
      </c>
      <c r="L157" s="4">
        <v>323</v>
      </c>
      <c r="M157" s="4">
        <v>87</v>
      </c>
      <c r="N157" s="4">
        <v>410</v>
      </c>
      <c r="O157" s="4">
        <v>136</v>
      </c>
      <c r="P157" s="4">
        <v>2424</v>
      </c>
      <c r="Q157" s="2" t="s">
        <v>872</v>
      </c>
      <c r="R157" s="77">
        <v>72</v>
      </c>
      <c r="S157" s="77">
        <v>921</v>
      </c>
      <c r="T157" s="4">
        <v>40</v>
      </c>
      <c r="U157" s="4">
        <v>334</v>
      </c>
      <c r="V157" s="4">
        <v>48</v>
      </c>
      <c r="W157" s="4">
        <v>500</v>
      </c>
      <c r="X157" s="4">
        <v>13</v>
      </c>
      <c r="Y157" s="4">
        <v>187</v>
      </c>
      <c r="Z157" s="4">
        <v>237</v>
      </c>
      <c r="AA157" s="4">
        <v>3445</v>
      </c>
      <c r="AB157" s="77">
        <f>Table4[[#This Row],[Total Attendance]]/Table4[[#This Row],[Total Events]]</f>
        <v>14.535864978902953</v>
      </c>
      <c r="AC157" s="77">
        <f>Table4[[#This Row],[Total Attendance]]/AD157</f>
        <v>0.31318181818181817</v>
      </c>
      <c r="AD157" s="77">
        <v>11000</v>
      </c>
    </row>
    <row r="158" spans="1:30" ht="13.5" thickBot="1" x14ac:dyDescent="0.25">
      <c r="A158" s="2" t="s">
        <v>74</v>
      </c>
      <c r="B158" s="1" t="s">
        <v>73</v>
      </c>
      <c r="C158" s="2" t="s">
        <v>32</v>
      </c>
      <c r="D158" s="4">
        <v>16</v>
      </c>
      <c r="E158" s="4">
        <v>193</v>
      </c>
      <c r="F158" s="4">
        <v>2</v>
      </c>
      <c r="G158" s="4">
        <v>32</v>
      </c>
      <c r="H158" s="4">
        <v>4</v>
      </c>
      <c r="I158" s="4">
        <v>320</v>
      </c>
      <c r="J158" s="4">
        <v>4</v>
      </c>
      <c r="K158" s="4">
        <v>50</v>
      </c>
      <c r="L158" s="4">
        <v>126</v>
      </c>
      <c r="M158" s="77">
        <v>45</v>
      </c>
      <c r="N158" s="4">
        <v>171</v>
      </c>
      <c r="O158" s="4">
        <v>20</v>
      </c>
      <c r="P158" s="4">
        <v>513</v>
      </c>
      <c r="Q158" s="2" t="s">
        <v>872</v>
      </c>
      <c r="R158" s="4">
        <v>6</v>
      </c>
      <c r="S158" s="4">
        <v>41</v>
      </c>
      <c r="T158" s="4">
        <v>6</v>
      </c>
      <c r="U158" s="4">
        <v>82</v>
      </c>
      <c r="V158" s="4">
        <v>16</v>
      </c>
      <c r="W158" s="4">
        <v>179</v>
      </c>
      <c r="X158" s="4">
        <v>2</v>
      </c>
      <c r="Y158" s="4">
        <v>290</v>
      </c>
      <c r="Z158" s="4">
        <v>44</v>
      </c>
      <c r="AA158" s="4">
        <v>1064</v>
      </c>
      <c r="AB158" s="77">
        <f>Table4[[#This Row],[Total Attendance]]/Table4[[#This Row],[Total Events]]</f>
        <v>24.181818181818183</v>
      </c>
      <c r="AC158" s="77">
        <f>Table4[[#This Row],[Total Attendance]]/AD158</f>
        <v>0.14835471277189069</v>
      </c>
      <c r="AD158" s="77">
        <v>7172</v>
      </c>
    </row>
    <row r="159" spans="1:30" ht="13.5" thickBot="1" x14ac:dyDescent="0.25">
      <c r="A159" s="2" t="s">
        <v>84</v>
      </c>
      <c r="B159" s="1" t="s">
        <v>83</v>
      </c>
      <c r="C159" s="2" t="s">
        <v>32</v>
      </c>
      <c r="D159" s="4">
        <v>52</v>
      </c>
      <c r="E159" s="4">
        <v>148</v>
      </c>
      <c r="F159" s="4">
        <v>58</v>
      </c>
      <c r="G159" s="4">
        <v>84</v>
      </c>
      <c r="H159" s="4">
        <v>8</v>
      </c>
      <c r="I159" s="4">
        <v>135</v>
      </c>
      <c r="J159" s="4">
        <v>8</v>
      </c>
      <c r="K159" s="4">
        <v>23</v>
      </c>
      <c r="L159" s="4">
        <v>25</v>
      </c>
      <c r="M159" s="78" t="s">
        <v>16</v>
      </c>
      <c r="N159" s="4">
        <v>25</v>
      </c>
      <c r="O159" s="4">
        <v>60</v>
      </c>
      <c r="P159" s="4">
        <v>283</v>
      </c>
      <c r="Q159" s="2" t="s">
        <v>872</v>
      </c>
      <c r="R159" s="77">
        <v>30</v>
      </c>
      <c r="S159" s="77">
        <v>89</v>
      </c>
      <c r="T159" s="4">
        <v>66</v>
      </c>
      <c r="U159" s="4">
        <v>107</v>
      </c>
      <c r="V159" s="4">
        <v>77</v>
      </c>
      <c r="W159" s="4">
        <v>309</v>
      </c>
      <c r="X159" s="4">
        <v>187</v>
      </c>
      <c r="Y159" s="4">
        <v>767</v>
      </c>
      <c r="Z159" s="4">
        <v>390</v>
      </c>
      <c r="AA159" s="4">
        <v>1466</v>
      </c>
      <c r="AB159" s="77">
        <f>Table4[[#This Row],[Total Attendance]]/Table4[[#This Row],[Total Events]]</f>
        <v>3.7589743589743589</v>
      </c>
      <c r="AC159" s="77">
        <f>Table4[[#This Row],[Total Attendance]]/AD159</f>
        <v>0.12640110363855836</v>
      </c>
      <c r="AD159" s="77">
        <v>11598</v>
      </c>
    </row>
    <row r="160" spans="1:30" ht="13.5" thickBot="1" x14ac:dyDescent="0.25">
      <c r="A160" s="2" t="s">
        <v>104</v>
      </c>
      <c r="B160" s="1" t="s">
        <v>103</v>
      </c>
      <c r="C160" s="2" t="s">
        <v>32</v>
      </c>
      <c r="D160" s="4">
        <v>181</v>
      </c>
      <c r="E160" s="4">
        <v>2649</v>
      </c>
      <c r="F160" s="4">
        <v>175</v>
      </c>
      <c r="G160" s="4">
        <v>1367</v>
      </c>
      <c r="H160" s="4">
        <v>9</v>
      </c>
      <c r="I160" s="4">
        <v>305</v>
      </c>
      <c r="J160" s="4">
        <v>10</v>
      </c>
      <c r="K160" s="4">
        <v>21</v>
      </c>
      <c r="L160" s="4">
        <v>110</v>
      </c>
      <c r="M160" s="4">
        <v>70</v>
      </c>
      <c r="N160" s="4">
        <v>180</v>
      </c>
      <c r="O160" s="4">
        <v>190</v>
      </c>
      <c r="P160" s="4">
        <v>2954</v>
      </c>
      <c r="Q160" s="2" t="s">
        <v>872</v>
      </c>
      <c r="R160" s="4">
        <v>93</v>
      </c>
      <c r="S160" s="4">
        <v>929</v>
      </c>
      <c r="T160" s="4">
        <v>185</v>
      </c>
      <c r="U160" s="4">
        <v>1388</v>
      </c>
      <c r="V160" s="4">
        <v>114</v>
      </c>
      <c r="W160" s="4">
        <v>384</v>
      </c>
      <c r="X160" s="77">
        <v>6</v>
      </c>
      <c r="Y160" s="77">
        <v>667</v>
      </c>
      <c r="Z160" s="4">
        <v>495</v>
      </c>
      <c r="AA160" s="4">
        <v>5393</v>
      </c>
      <c r="AB160" s="77">
        <f>Table4[[#This Row],[Total Attendance]]/Table4[[#This Row],[Total Events]]</f>
        <v>10.894949494949495</v>
      </c>
      <c r="AC160" s="77">
        <f>Table4[[#This Row],[Total Attendance]]/AD160</f>
        <v>0.58638686528215722</v>
      </c>
      <c r="AD160" s="77">
        <v>9197</v>
      </c>
    </row>
    <row r="161" spans="1:30" ht="13.5" thickBot="1" x14ac:dyDescent="0.25">
      <c r="A161" s="2" t="s">
        <v>112</v>
      </c>
      <c r="B161" s="1" t="s">
        <v>111</v>
      </c>
      <c r="C161" s="2" t="s">
        <v>32</v>
      </c>
      <c r="D161" s="4">
        <v>96</v>
      </c>
      <c r="E161" s="4">
        <v>2323</v>
      </c>
      <c r="F161" s="4">
        <v>2</v>
      </c>
      <c r="G161" s="4">
        <v>72</v>
      </c>
      <c r="H161" s="4">
        <v>32</v>
      </c>
      <c r="I161" s="4">
        <v>753</v>
      </c>
      <c r="J161" s="77">
        <v>5</v>
      </c>
      <c r="K161" s="77">
        <v>56</v>
      </c>
      <c r="L161" s="4">
        <v>110</v>
      </c>
      <c r="M161" s="77">
        <v>32</v>
      </c>
      <c r="N161" s="4">
        <v>142</v>
      </c>
      <c r="O161" s="4">
        <v>128</v>
      </c>
      <c r="P161" s="4">
        <v>3076</v>
      </c>
      <c r="Q161" s="2" t="s">
        <v>872</v>
      </c>
      <c r="R161" s="77">
        <v>101</v>
      </c>
      <c r="S161" s="77">
        <v>2214</v>
      </c>
      <c r="T161" s="4">
        <v>7</v>
      </c>
      <c r="U161" s="4">
        <v>128</v>
      </c>
      <c r="V161" s="4">
        <v>121</v>
      </c>
      <c r="W161" s="4">
        <v>857</v>
      </c>
      <c r="X161" s="77">
        <v>0</v>
      </c>
      <c r="Y161" s="77">
        <v>0</v>
      </c>
      <c r="Z161" s="4">
        <v>256</v>
      </c>
      <c r="AA161" s="4">
        <v>4061</v>
      </c>
      <c r="AB161" s="77">
        <f>Table4[[#This Row],[Total Attendance]]/Table4[[#This Row],[Total Events]]</f>
        <v>15.86328125</v>
      </c>
      <c r="AC161" s="77">
        <f>Table4[[#This Row],[Total Attendance]]/AD161</f>
        <v>0.3434249471458774</v>
      </c>
      <c r="AD161" s="77">
        <v>11825</v>
      </c>
    </row>
    <row r="162" spans="1:30" ht="13.5" thickBot="1" x14ac:dyDescent="0.25">
      <c r="A162" s="2" t="s">
        <v>116</v>
      </c>
      <c r="B162" s="1" t="s">
        <v>115</v>
      </c>
      <c r="C162" s="2" t="s">
        <v>32</v>
      </c>
      <c r="D162" s="4">
        <v>134</v>
      </c>
      <c r="E162" s="4">
        <v>2232</v>
      </c>
      <c r="F162" s="4">
        <v>12</v>
      </c>
      <c r="G162" s="4">
        <v>30</v>
      </c>
      <c r="H162" s="4">
        <v>25</v>
      </c>
      <c r="I162" s="4">
        <v>425</v>
      </c>
      <c r="J162" s="77">
        <v>3</v>
      </c>
      <c r="K162" s="77">
        <v>8</v>
      </c>
      <c r="L162" s="4">
        <v>52</v>
      </c>
      <c r="M162" s="78" t="s">
        <v>16</v>
      </c>
      <c r="N162" s="4">
        <v>52</v>
      </c>
      <c r="O162" s="4">
        <v>159</v>
      </c>
      <c r="P162" s="4">
        <v>2657</v>
      </c>
      <c r="Q162" s="2" t="s">
        <v>872</v>
      </c>
      <c r="R162" s="4">
        <v>120</v>
      </c>
      <c r="S162" s="4">
        <v>1800</v>
      </c>
      <c r="T162" s="4">
        <v>15</v>
      </c>
      <c r="U162" s="4">
        <v>38</v>
      </c>
      <c r="V162" s="4">
        <v>47</v>
      </c>
      <c r="W162" s="4">
        <v>595</v>
      </c>
      <c r="X162" s="77">
        <v>5</v>
      </c>
      <c r="Y162" s="77">
        <v>150</v>
      </c>
      <c r="Z162" s="4">
        <v>226</v>
      </c>
      <c r="AA162" s="4">
        <v>3440</v>
      </c>
      <c r="AB162" s="77">
        <f>Table4[[#This Row],[Total Attendance]]/Table4[[#This Row],[Total Events]]</f>
        <v>15.221238938053098</v>
      </c>
      <c r="AC162" s="77">
        <f>Table4[[#This Row],[Total Attendance]]/AD162</f>
        <v>0.47605867699972321</v>
      </c>
      <c r="AD162" s="77">
        <v>7226</v>
      </c>
    </row>
    <row r="163" spans="1:30" ht="13.5" thickBot="1" x14ac:dyDescent="0.25">
      <c r="A163" s="2" t="s">
        <v>134</v>
      </c>
      <c r="B163" s="1" t="s">
        <v>133</v>
      </c>
      <c r="C163" s="2" t="s">
        <v>32</v>
      </c>
      <c r="D163" s="4">
        <v>159</v>
      </c>
      <c r="E163" s="4">
        <v>1950</v>
      </c>
      <c r="F163" s="4">
        <v>8</v>
      </c>
      <c r="G163" s="4">
        <v>63</v>
      </c>
      <c r="H163" s="4">
        <v>24</v>
      </c>
      <c r="I163" s="4">
        <v>1230</v>
      </c>
      <c r="J163" s="77">
        <v>8</v>
      </c>
      <c r="K163" s="77">
        <v>69</v>
      </c>
      <c r="L163" s="77">
        <v>128</v>
      </c>
      <c r="M163" s="77">
        <v>20</v>
      </c>
      <c r="N163" s="77">
        <v>148</v>
      </c>
      <c r="O163" s="4">
        <v>183</v>
      </c>
      <c r="P163" s="4">
        <v>3180</v>
      </c>
      <c r="Q163" s="2" t="s">
        <v>872</v>
      </c>
      <c r="R163" s="77">
        <v>9</v>
      </c>
      <c r="S163" s="77">
        <v>184</v>
      </c>
      <c r="T163" s="4">
        <v>16</v>
      </c>
      <c r="U163" s="4">
        <v>132</v>
      </c>
      <c r="V163" s="77">
        <v>98</v>
      </c>
      <c r="W163" s="77">
        <v>954</v>
      </c>
      <c r="X163" s="77">
        <v>13</v>
      </c>
      <c r="Y163" s="77">
        <v>642</v>
      </c>
      <c r="Z163" s="4">
        <v>310</v>
      </c>
      <c r="AA163" s="4">
        <v>4908</v>
      </c>
      <c r="AB163" s="77">
        <f>Table4[[#This Row],[Total Attendance]]/Table4[[#This Row],[Total Events]]</f>
        <v>15.832258064516129</v>
      </c>
      <c r="AC163" s="77">
        <f>Table4[[#This Row],[Total Attendance]]/AD163</f>
        <v>0.48642220019821608</v>
      </c>
      <c r="AD163" s="77">
        <v>10090</v>
      </c>
    </row>
    <row r="164" spans="1:30" ht="13.5" thickBot="1" x14ac:dyDescent="0.25">
      <c r="A164" s="2" t="s">
        <v>136</v>
      </c>
      <c r="B164" s="1" t="s">
        <v>135</v>
      </c>
      <c r="C164" s="2" t="s">
        <v>32</v>
      </c>
      <c r="D164" s="4">
        <v>20</v>
      </c>
      <c r="E164" s="4">
        <v>676</v>
      </c>
      <c r="F164" s="4">
        <v>2</v>
      </c>
      <c r="G164" s="4">
        <v>20</v>
      </c>
      <c r="H164" s="4">
        <v>18</v>
      </c>
      <c r="I164" s="4">
        <v>1088</v>
      </c>
      <c r="J164" s="4">
        <v>1</v>
      </c>
      <c r="K164" s="4">
        <v>21</v>
      </c>
      <c r="L164" s="4">
        <v>131</v>
      </c>
      <c r="M164" s="77">
        <v>17</v>
      </c>
      <c r="N164" s="4">
        <v>148</v>
      </c>
      <c r="O164" s="4">
        <v>38</v>
      </c>
      <c r="P164" s="4">
        <v>1764</v>
      </c>
      <c r="Q164" s="2" t="s">
        <v>872</v>
      </c>
      <c r="R164" s="4">
        <v>35</v>
      </c>
      <c r="S164" s="4">
        <v>439</v>
      </c>
      <c r="T164" s="4">
        <v>3</v>
      </c>
      <c r="U164" s="4">
        <v>41</v>
      </c>
      <c r="V164" s="4">
        <v>57</v>
      </c>
      <c r="W164" s="4">
        <v>589</v>
      </c>
      <c r="X164" s="4">
        <v>0</v>
      </c>
      <c r="Y164" s="4">
        <v>0</v>
      </c>
      <c r="Z164" s="4">
        <v>98</v>
      </c>
      <c r="AA164" s="4">
        <v>2394</v>
      </c>
      <c r="AB164" s="77">
        <f>Table4[[#This Row],[Total Attendance]]/Table4[[#This Row],[Total Events]]</f>
        <v>24.428571428571427</v>
      </c>
      <c r="AC164" s="77">
        <f>Table4[[#This Row],[Total Attendance]]/AD164</f>
        <v>0.24667697063369398</v>
      </c>
      <c r="AD164" s="77">
        <v>9705</v>
      </c>
    </row>
    <row r="165" spans="1:30" ht="13.5" thickBot="1" x14ac:dyDescent="0.25">
      <c r="A165" s="2" t="s">
        <v>144</v>
      </c>
      <c r="B165" s="1" t="s">
        <v>143</v>
      </c>
      <c r="C165" s="2" t="s">
        <v>32</v>
      </c>
      <c r="D165" s="77">
        <v>38</v>
      </c>
      <c r="E165" s="77">
        <v>239</v>
      </c>
      <c r="F165" s="77">
        <v>0</v>
      </c>
      <c r="G165" s="77">
        <v>0</v>
      </c>
      <c r="H165" s="77">
        <v>0</v>
      </c>
      <c r="I165" s="77">
        <v>0</v>
      </c>
      <c r="J165" s="77">
        <v>0</v>
      </c>
      <c r="K165" s="77">
        <v>0</v>
      </c>
      <c r="L165" s="77">
        <v>16</v>
      </c>
      <c r="M165" s="77">
        <v>0</v>
      </c>
      <c r="N165" s="77">
        <v>16</v>
      </c>
      <c r="O165" s="77">
        <v>38</v>
      </c>
      <c r="P165" s="77">
        <v>239</v>
      </c>
      <c r="Q165" s="2" t="s">
        <v>873</v>
      </c>
      <c r="R165" s="77">
        <v>0</v>
      </c>
      <c r="S165" s="77">
        <v>0</v>
      </c>
      <c r="T165" s="77">
        <v>0</v>
      </c>
      <c r="U165" s="77">
        <v>0</v>
      </c>
      <c r="V165" s="77">
        <v>8</v>
      </c>
      <c r="W165" s="77">
        <v>97</v>
      </c>
      <c r="X165" s="77">
        <v>6</v>
      </c>
      <c r="Y165" s="77">
        <v>129</v>
      </c>
      <c r="Z165" s="77">
        <v>52</v>
      </c>
      <c r="AA165" s="77">
        <v>465</v>
      </c>
      <c r="AB165" s="77">
        <f>Table4[[#This Row],[Total Attendance]]/Table4[[#This Row],[Total Events]]</f>
        <v>8.9423076923076916</v>
      </c>
      <c r="AC165" s="77">
        <f>Table4[[#This Row],[Total Attendance]]/AD165</f>
        <v>5.3497468936953521E-2</v>
      </c>
      <c r="AD165" s="77">
        <v>8692</v>
      </c>
    </row>
    <row r="166" spans="1:30" ht="13.5" thickBot="1" x14ac:dyDescent="0.25">
      <c r="A166" s="2" t="s">
        <v>152</v>
      </c>
      <c r="B166" s="1" t="s">
        <v>151</v>
      </c>
      <c r="C166" s="2" t="s">
        <v>32</v>
      </c>
      <c r="D166" s="4">
        <v>58</v>
      </c>
      <c r="E166" s="4">
        <v>2038</v>
      </c>
      <c r="F166" s="4">
        <v>18</v>
      </c>
      <c r="G166" s="4">
        <v>146</v>
      </c>
      <c r="H166" s="4">
        <v>8</v>
      </c>
      <c r="I166" s="4">
        <v>454</v>
      </c>
      <c r="J166" s="77">
        <v>2</v>
      </c>
      <c r="K166" s="77">
        <v>20</v>
      </c>
      <c r="L166" s="4">
        <v>182</v>
      </c>
      <c r="M166" s="77">
        <v>33</v>
      </c>
      <c r="N166" s="4">
        <v>215</v>
      </c>
      <c r="O166" s="4">
        <v>66</v>
      </c>
      <c r="P166" s="4">
        <v>2492</v>
      </c>
      <c r="Q166" s="2" t="s">
        <v>872</v>
      </c>
      <c r="R166" s="77">
        <v>17</v>
      </c>
      <c r="S166" s="77">
        <v>401</v>
      </c>
      <c r="T166" s="4">
        <v>20</v>
      </c>
      <c r="U166" s="4">
        <v>166</v>
      </c>
      <c r="V166" s="77">
        <v>100</v>
      </c>
      <c r="W166" s="77">
        <v>1201</v>
      </c>
      <c r="X166" s="77">
        <v>37</v>
      </c>
      <c r="Y166" s="77">
        <v>575</v>
      </c>
      <c r="Z166" s="4">
        <v>223</v>
      </c>
      <c r="AA166" s="4">
        <v>4434</v>
      </c>
      <c r="AB166" s="77">
        <f>Table4[[#This Row],[Total Attendance]]/Table4[[#This Row],[Total Events]]</f>
        <v>19.883408071748878</v>
      </c>
      <c r="AC166" s="77">
        <f>Table4[[#This Row],[Total Attendance]]/AD166</f>
        <v>0.37471478069804781</v>
      </c>
      <c r="AD166" s="77">
        <v>11833</v>
      </c>
    </row>
    <row r="167" spans="1:30" ht="13.5" thickBot="1" x14ac:dyDescent="0.25">
      <c r="A167" s="2" t="s">
        <v>156</v>
      </c>
      <c r="B167" s="1" t="s">
        <v>155</v>
      </c>
      <c r="C167" s="2" t="s">
        <v>32</v>
      </c>
      <c r="D167" s="77">
        <v>47</v>
      </c>
      <c r="E167" s="77">
        <v>891</v>
      </c>
      <c r="F167" s="77">
        <v>3</v>
      </c>
      <c r="G167" s="77">
        <v>67</v>
      </c>
      <c r="H167" s="77">
        <v>11</v>
      </c>
      <c r="I167" s="77">
        <v>514</v>
      </c>
      <c r="J167" s="77">
        <v>5</v>
      </c>
      <c r="K167" s="77">
        <v>61</v>
      </c>
      <c r="L167" s="77">
        <v>112</v>
      </c>
      <c r="M167" s="77">
        <v>14</v>
      </c>
      <c r="N167" s="77">
        <v>126</v>
      </c>
      <c r="O167" s="77">
        <v>58</v>
      </c>
      <c r="P167" s="77">
        <v>1405</v>
      </c>
      <c r="Q167" s="2" t="s">
        <v>872</v>
      </c>
      <c r="R167" s="77">
        <v>36</v>
      </c>
      <c r="S167" s="77">
        <v>243</v>
      </c>
      <c r="T167" s="77">
        <v>8</v>
      </c>
      <c r="U167" s="77">
        <v>128</v>
      </c>
      <c r="V167" s="77">
        <v>13</v>
      </c>
      <c r="W167" s="77">
        <v>184</v>
      </c>
      <c r="X167" s="77">
        <v>6</v>
      </c>
      <c r="Y167" s="77">
        <v>190</v>
      </c>
      <c r="Z167" s="77">
        <v>85</v>
      </c>
      <c r="AA167" s="77">
        <v>1907</v>
      </c>
      <c r="AB167" s="77">
        <f>Table4[[#This Row],[Total Attendance]]/Table4[[#This Row],[Total Events]]</f>
        <v>22.435294117647057</v>
      </c>
      <c r="AC167" s="77">
        <f>Table4[[#This Row],[Total Attendance]]/AD167</f>
        <v>0.17564704798747352</v>
      </c>
      <c r="AD167" s="77">
        <v>10857</v>
      </c>
    </row>
    <row r="168" spans="1:30" ht="13.5" thickBot="1" x14ac:dyDescent="0.25">
      <c r="A168" s="2" t="s">
        <v>160</v>
      </c>
      <c r="B168" s="1" t="s">
        <v>159</v>
      </c>
      <c r="C168" s="2" t="s">
        <v>32</v>
      </c>
      <c r="D168" s="4">
        <v>100</v>
      </c>
      <c r="E168" s="4">
        <v>3881</v>
      </c>
      <c r="F168" s="4">
        <v>14</v>
      </c>
      <c r="G168" s="4">
        <v>88</v>
      </c>
      <c r="H168" s="4">
        <v>18</v>
      </c>
      <c r="I168" s="4">
        <v>1940</v>
      </c>
      <c r="J168" s="4">
        <v>8</v>
      </c>
      <c r="K168" s="4">
        <v>446</v>
      </c>
      <c r="L168" s="4">
        <v>1223</v>
      </c>
      <c r="M168" s="4">
        <v>203</v>
      </c>
      <c r="N168" s="4">
        <v>1426</v>
      </c>
      <c r="O168" s="4">
        <v>118</v>
      </c>
      <c r="P168" s="4">
        <v>5821</v>
      </c>
      <c r="Q168" s="2" t="s">
        <v>872</v>
      </c>
      <c r="R168" s="4">
        <v>59</v>
      </c>
      <c r="S168" s="4">
        <v>1956</v>
      </c>
      <c r="T168" s="4">
        <v>22</v>
      </c>
      <c r="U168" s="4">
        <v>534</v>
      </c>
      <c r="V168" s="4">
        <v>51</v>
      </c>
      <c r="W168" s="4">
        <v>372</v>
      </c>
      <c r="X168" s="4">
        <v>4</v>
      </c>
      <c r="Y168" s="4">
        <v>459</v>
      </c>
      <c r="Z168" s="4">
        <v>195</v>
      </c>
      <c r="AA168" s="4">
        <v>7186</v>
      </c>
      <c r="AB168" s="77">
        <f>Table4[[#This Row],[Total Attendance]]/Table4[[#This Row],[Total Events]]</f>
        <v>36.851282051282048</v>
      </c>
      <c r="AC168" s="77">
        <f>Table4[[#This Row],[Total Attendance]]/AD168</f>
        <v>0.7577770747653696</v>
      </c>
      <c r="AD168" s="77">
        <v>9483</v>
      </c>
    </row>
    <row r="169" spans="1:30" ht="13.5" thickBot="1" x14ac:dyDescent="0.25">
      <c r="A169" s="2" t="s">
        <v>162</v>
      </c>
      <c r="B169" s="1" t="s">
        <v>161</v>
      </c>
      <c r="C169" s="2" t="s">
        <v>32</v>
      </c>
      <c r="D169" s="4">
        <v>58</v>
      </c>
      <c r="E169" s="4">
        <v>388</v>
      </c>
      <c r="F169" s="4">
        <v>7</v>
      </c>
      <c r="G169" s="4">
        <v>78</v>
      </c>
      <c r="H169" s="4">
        <v>11</v>
      </c>
      <c r="I169" s="4">
        <v>99</v>
      </c>
      <c r="J169" s="4">
        <v>2</v>
      </c>
      <c r="K169" s="4">
        <v>23</v>
      </c>
      <c r="L169" s="4">
        <v>40</v>
      </c>
      <c r="M169" s="77">
        <v>15</v>
      </c>
      <c r="N169" s="4">
        <v>55</v>
      </c>
      <c r="O169" s="4">
        <v>69</v>
      </c>
      <c r="P169" s="4">
        <v>487</v>
      </c>
      <c r="Q169" s="2" t="s">
        <v>872</v>
      </c>
      <c r="R169" s="4">
        <v>8</v>
      </c>
      <c r="S169" s="4">
        <v>32</v>
      </c>
      <c r="T169" s="4">
        <v>9</v>
      </c>
      <c r="U169" s="4">
        <v>101</v>
      </c>
      <c r="V169" s="4">
        <v>63</v>
      </c>
      <c r="W169" s="4">
        <v>790</v>
      </c>
      <c r="X169" s="4">
        <v>31</v>
      </c>
      <c r="Y169" s="4">
        <v>390</v>
      </c>
      <c r="Z169" s="4">
        <v>172</v>
      </c>
      <c r="AA169" s="4">
        <v>1768</v>
      </c>
      <c r="AB169" s="77">
        <f>Table4[[#This Row],[Total Attendance]]/Table4[[#This Row],[Total Events]]</f>
        <v>10.279069767441861</v>
      </c>
      <c r="AC169" s="77">
        <f>Table4[[#This Row],[Total Attendance]]/AD169</f>
        <v>0.21412135158047718</v>
      </c>
      <c r="AD169" s="77">
        <v>8257</v>
      </c>
    </row>
    <row r="170" spans="1:30" ht="13.5" thickBot="1" x14ac:dyDescent="0.25">
      <c r="A170" s="2" t="s">
        <v>168</v>
      </c>
      <c r="B170" s="1" t="s">
        <v>167</v>
      </c>
      <c r="C170" s="2" t="s">
        <v>32</v>
      </c>
      <c r="D170" s="4">
        <v>195</v>
      </c>
      <c r="E170" s="4">
        <v>6244</v>
      </c>
      <c r="F170" s="4">
        <v>0</v>
      </c>
      <c r="G170" s="4">
        <v>0</v>
      </c>
      <c r="H170" s="4">
        <v>0</v>
      </c>
      <c r="I170" s="4">
        <v>0</v>
      </c>
      <c r="J170" s="4">
        <v>0</v>
      </c>
      <c r="K170" s="4">
        <v>0</v>
      </c>
      <c r="L170" s="4">
        <v>0</v>
      </c>
      <c r="M170" s="77">
        <v>0</v>
      </c>
      <c r="N170" s="4">
        <v>0</v>
      </c>
      <c r="O170" s="4">
        <v>195</v>
      </c>
      <c r="P170" s="4">
        <v>6244</v>
      </c>
      <c r="Q170" s="2" t="s">
        <v>872</v>
      </c>
      <c r="R170" s="4">
        <v>52</v>
      </c>
      <c r="S170" s="4">
        <v>1664</v>
      </c>
      <c r="T170" s="4">
        <v>0</v>
      </c>
      <c r="U170" s="4">
        <v>0</v>
      </c>
      <c r="V170" s="4">
        <v>242</v>
      </c>
      <c r="W170" s="4">
        <v>4741</v>
      </c>
      <c r="X170" s="77">
        <v>0</v>
      </c>
      <c r="Y170" s="77">
        <v>0</v>
      </c>
      <c r="Z170" s="4">
        <v>437</v>
      </c>
      <c r="AA170" s="4">
        <v>10985</v>
      </c>
      <c r="AB170" s="77">
        <f>Table4[[#This Row],[Total Attendance]]/Table4[[#This Row],[Total Events]]</f>
        <v>25.137299771167047</v>
      </c>
      <c r="AC170" s="77">
        <f>Table4[[#This Row],[Total Attendance]]/AD170</f>
        <v>1.1197757390417942</v>
      </c>
      <c r="AD170" s="77">
        <v>9810</v>
      </c>
    </row>
    <row r="171" spans="1:30" ht="13.5" thickBot="1" x14ac:dyDescent="0.25">
      <c r="A171" s="2" t="s">
        <v>204</v>
      </c>
      <c r="B171" s="1" t="s">
        <v>203</v>
      </c>
      <c r="C171" s="2" t="s">
        <v>32</v>
      </c>
      <c r="D171" s="4">
        <v>161</v>
      </c>
      <c r="E171" s="4">
        <v>5225</v>
      </c>
      <c r="F171" s="4">
        <v>23</v>
      </c>
      <c r="G171" s="4">
        <v>214</v>
      </c>
      <c r="H171" s="4">
        <v>7</v>
      </c>
      <c r="I171" s="4">
        <v>752</v>
      </c>
      <c r="J171" s="4">
        <v>4</v>
      </c>
      <c r="K171" s="4">
        <v>19</v>
      </c>
      <c r="L171" s="77">
        <v>771</v>
      </c>
      <c r="M171" s="77">
        <v>104</v>
      </c>
      <c r="N171" s="77">
        <v>875</v>
      </c>
      <c r="O171" s="4">
        <v>168</v>
      </c>
      <c r="P171" s="4">
        <v>5977</v>
      </c>
      <c r="Q171" s="2" t="s">
        <v>872</v>
      </c>
      <c r="R171" s="4">
        <v>80</v>
      </c>
      <c r="S171" s="4">
        <v>1595</v>
      </c>
      <c r="T171" s="4">
        <v>27</v>
      </c>
      <c r="U171" s="4">
        <v>233</v>
      </c>
      <c r="V171" s="4">
        <v>111</v>
      </c>
      <c r="W171" s="4">
        <v>1582</v>
      </c>
      <c r="X171" s="77">
        <v>5</v>
      </c>
      <c r="Y171" s="77">
        <v>261</v>
      </c>
      <c r="Z171" s="4">
        <v>311</v>
      </c>
      <c r="AA171" s="4">
        <v>8053</v>
      </c>
      <c r="AB171" s="77">
        <f>Table4[[#This Row],[Total Attendance]]/Table4[[#This Row],[Total Events]]</f>
        <v>25.893890675241156</v>
      </c>
      <c r="AC171" s="77">
        <f>Table4[[#This Row],[Total Attendance]]/AD171</f>
        <v>0.67889057494520322</v>
      </c>
      <c r="AD171" s="77">
        <v>11862</v>
      </c>
    </row>
    <row r="172" spans="1:30" ht="13.5" thickBot="1" x14ac:dyDescent="0.25">
      <c r="A172" s="2" t="s">
        <v>229</v>
      </c>
      <c r="B172" s="1" t="s">
        <v>228</v>
      </c>
      <c r="C172" s="2" t="s">
        <v>32</v>
      </c>
      <c r="D172" s="77">
        <v>22</v>
      </c>
      <c r="E172" s="77">
        <v>927</v>
      </c>
      <c r="F172" s="77">
        <v>5</v>
      </c>
      <c r="G172" s="77">
        <v>240</v>
      </c>
      <c r="H172" s="77">
        <v>4</v>
      </c>
      <c r="I172" s="77">
        <v>203</v>
      </c>
      <c r="J172" s="77">
        <v>5</v>
      </c>
      <c r="K172" s="77">
        <v>0</v>
      </c>
      <c r="L172" s="77">
        <v>203</v>
      </c>
      <c r="M172" s="77">
        <v>25</v>
      </c>
      <c r="N172" s="77">
        <v>228</v>
      </c>
      <c r="O172" s="77">
        <v>26</v>
      </c>
      <c r="P172" s="77">
        <v>1130</v>
      </c>
      <c r="Q172" s="2" t="s">
        <v>872</v>
      </c>
      <c r="R172" s="77">
        <v>1</v>
      </c>
      <c r="S172" s="77">
        <v>175</v>
      </c>
      <c r="T172" s="77">
        <v>10</v>
      </c>
      <c r="U172" s="77">
        <v>240</v>
      </c>
      <c r="V172" s="77">
        <v>56</v>
      </c>
      <c r="W172" s="77">
        <v>681</v>
      </c>
      <c r="X172" s="77">
        <v>4</v>
      </c>
      <c r="Y172" s="77">
        <v>2300</v>
      </c>
      <c r="Z172" s="77">
        <v>96</v>
      </c>
      <c r="AA172" s="77">
        <v>4351</v>
      </c>
      <c r="AB172" s="77">
        <f>Table4[[#This Row],[Total Attendance]]/Table4[[#This Row],[Total Events]]</f>
        <v>45.322916666666664</v>
      </c>
      <c r="AC172" s="77">
        <f>Table4[[#This Row],[Total Attendance]]/AD172</f>
        <v>0.43418820476998304</v>
      </c>
      <c r="AD172" s="77">
        <v>10021</v>
      </c>
    </row>
    <row r="173" spans="1:30" ht="13.5" thickBot="1" x14ac:dyDescent="0.25">
      <c r="A173" s="2" t="s">
        <v>243</v>
      </c>
      <c r="B173" s="1" t="s">
        <v>242</v>
      </c>
      <c r="C173" s="2" t="s">
        <v>32</v>
      </c>
      <c r="D173" s="4">
        <v>190</v>
      </c>
      <c r="E173" s="4">
        <v>5131</v>
      </c>
      <c r="F173" s="4">
        <v>28</v>
      </c>
      <c r="G173" s="4">
        <v>549</v>
      </c>
      <c r="H173" s="4">
        <v>40</v>
      </c>
      <c r="I173" s="4">
        <v>1542</v>
      </c>
      <c r="J173" s="77">
        <v>15</v>
      </c>
      <c r="K173" s="77">
        <v>482</v>
      </c>
      <c r="L173" s="4">
        <v>458</v>
      </c>
      <c r="M173" s="77">
        <v>71</v>
      </c>
      <c r="N173" s="4">
        <v>529</v>
      </c>
      <c r="O173" s="4">
        <v>230</v>
      </c>
      <c r="P173" s="4">
        <v>6673</v>
      </c>
      <c r="Q173" s="2" t="s">
        <v>872</v>
      </c>
      <c r="R173" s="4">
        <v>54</v>
      </c>
      <c r="S173" s="4">
        <v>4211</v>
      </c>
      <c r="T173" s="4">
        <v>43</v>
      </c>
      <c r="U173" s="4">
        <v>1031</v>
      </c>
      <c r="V173" s="4">
        <v>202</v>
      </c>
      <c r="W173" s="4">
        <v>3152</v>
      </c>
      <c r="X173" s="4">
        <v>25</v>
      </c>
      <c r="Y173" s="4">
        <v>2120</v>
      </c>
      <c r="Z173" s="4">
        <v>500</v>
      </c>
      <c r="AA173" s="4">
        <v>12976</v>
      </c>
      <c r="AB173" s="77">
        <f>Table4[[#This Row],[Total Attendance]]/Table4[[#This Row],[Total Events]]</f>
        <v>25.952000000000002</v>
      </c>
      <c r="AC173" s="77">
        <f>Table4[[#This Row],[Total Attendance]]/AD173</f>
        <v>1.7443204731818793</v>
      </c>
      <c r="AD173" s="77">
        <v>7439</v>
      </c>
    </row>
    <row r="174" spans="1:30" ht="13.5" thickBot="1" x14ac:dyDescent="0.25">
      <c r="A174" s="2" t="s">
        <v>257</v>
      </c>
      <c r="B174" s="1" t="s">
        <v>256</v>
      </c>
      <c r="C174" s="2" t="s">
        <v>32</v>
      </c>
      <c r="D174" s="4">
        <v>3</v>
      </c>
      <c r="E174" s="4">
        <v>115</v>
      </c>
      <c r="F174" s="4">
        <v>3</v>
      </c>
      <c r="G174" s="4">
        <v>26</v>
      </c>
      <c r="H174" s="4">
        <v>6</v>
      </c>
      <c r="I174" s="4">
        <v>89</v>
      </c>
      <c r="J174" s="4">
        <v>0</v>
      </c>
      <c r="K174" s="4">
        <v>0</v>
      </c>
      <c r="L174" s="4">
        <v>57</v>
      </c>
      <c r="M174" s="77">
        <v>23</v>
      </c>
      <c r="N174" s="4">
        <v>80</v>
      </c>
      <c r="O174" s="4">
        <v>9</v>
      </c>
      <c r="P174" s="4">
        <v>204</v>
      </c>
      <c r="Q174" s="2" t="s">
        <v>873</v>
      </c>
      <c r="R174" s="78" t="s">
        <v>16</v>
      </c>
      <c r="S174" s="78" t="s">
        <v>16</v>
      </c>
      <c r="T174" s="4">
        <v>3</v>
      </c>
      <c r="U174" s="4">
        <v>26</v>
      </c>
      <c r="V174" s="4">
        <v>46</v>
      </c>
      <c r="W174" s="4">
        <v>349</v>
      </c>
      <c r="X174" s="77">
        <v>0</v>
      </c>
      <c r="Y174" s="77">
        <v>0</v>
      </c>
      <c r="Z174" s="4">
        <v>58</v>
      </c>
      <c r="AA174" s="4">
        <v>579</v>
      </c>
      <c r="AB174" s="77">
        <f>Table4[[#This Row],[Total Attendance]]/Table4[[#This Row],[Total Events]]</f>
        <v>9.9827586206896548</v>
      </c>
      <c r="AC174" s="77">
        <f>Table4[[#This Row],[Total Attendance]]/AD174</f>
        <v>7.832792207792208E-2</v>
      </c>
      <c r="AD174" s="77">
        <v>7392</v>
      </c>
    </row>
    <row r="175" spans="1:30" ht="13.5" thickBot="1" x14ac:dyDescent="0.25">
      <c r="A175" s="2" t="s">
        <v>261</v>
      </c>
      <c r="B175" s="1" t="s">
        <v>260</v>
      </c>
      <c r="C175" s="2" t="s">
        <v>32</v>
      </c>
      <c r="D175" s="77">
        <v>0</v>
      </c>
      <c r="E175" s="77">
        <v>0</v>
      </c>
      <c r="F175" s="77">
        <v>0</v>
      </c>
      <c r="G175" s="77">
        <v>0</v>
      </c>
      <c r="H175" s="77">
        <v>6</v>
      </c>
      <c r="I175" s="77">
        <v>30</v>
      </c>
      <c r="J175" s="77">
        <v>0</v>
      </c>
      <c r="K175" s="77">
        <v>0</v>
      </c>
      <c r="L175" s="77">
        <v>44</v>
      </c>
      <c r="M175" s="77">
        <v>0</v>
      </c>
      <c r="N175" s="77">
        <v>44</v>
      </c>
      <c r="O175" s="77">
        <v>6</v>
      </c>
      <c r="P175" s="77">
        <v>30</v>
      </c>
      <c r="Q175" s="2" t="s">
        <v>873</v>
      </c>
      <c r="R175" s="77">
        <v>1</v>
      </c>
      <c r="S175" s="77">
        <v>7</v>
      </c>
      <c r="T175" s="77">
        <v>0</v>
      </c>
      <c r="U175" s="77">
        <v>0</v>
      </c>
      <c r="V175" s="77">
        <v>4</v>
      </c>
      <c r="W175" s="77">
        <v>12</v>
      </c>
      <c r="X175" s="77">
        <v>0</v>
      </c>
      <c r="Y175" s="77">
        <v>0</v>
      </c>
      <c r="Z175" s="77">
        <v>10</v>
      </c>
      <c r="AA175" s="77">
        <v>42</v>
      </c>
      <c r="AB175" s="77">
        <f>Table4[[#This Row],[Total Attendance]]/Table4[[#This Row],[Total Events]]</f>
        <v>4.2</v>
      </c>
      <c r="AC175" s="77">
        <f>Table4[[#This Row],[Total Attendance]]/AD175</f>
        <v>4.4154751892346508E-3</v>
      </c>
      <c r="AD175" s="77">
        <v>9512</v>
      </c>
    </row>
    <row r="176" spans="1:30" ht="13.5" thickBot="1" x14ac:dyDescent="0.25">
      <c r="A176" s="2" t="s">
        <v>273</v>
      </c>
      <c r="B176" s="1" t="s">
        <v>272</v>
      </c>
      <c r="C176" s="2" t="s">
        <v>32</v>
      </c>
      <c r="D176" s="4">
        <v>47</v>
      </c>
      <c r="E176" s="4">
        <v>282</v>
      </c>
      <c r="F176" s="4">
        <v>0</v>
      </c>
      <c r="G176" s="4">
        <v>0</v>
      </c>
      <c r="H176" s="4">
        <v>1</v>
      </c>
      <c r="I176" s="4">
        <v>55</v>
      </c>
      <c r="J176" s="4">
        <v>0</v>
      </c>
      <c r="K176" s="4">
        <v>0</v>
      </c>
      <c r="L176" s="4">
        <v>107</v>
      </c>
      <c r="M176" s="78" t="s">
        <v>16</v>
      </c>
      <c r="N176" s="4">
        <v>107</v>
      </c>
      <c r="O176" s="4">
        <v>48</v>
      </c>
      <c r="P176" s="4">
        <v>337</v>
      </c>
      <c r="Q176" s="2" t="s">
        <v>872</v>
      </c>
      <c r="R176" s="4">
        <v>24</v>
      </c>
      <c r="S176" s="4">
        <v>30</v>
      </c>
      <c r="T176" s="4">
        <v>0</v>
      </c>
      <c r="U176" s="4">
        <v>0</v>
      </c>
      <c r="V176" s="4">
        <v>0</v>
      </c>
      <c r="W176" s="4">
        <v>0</v>
      </c>
      <c r="X176" s="4">
        <v>0</v>
      </c>
      <c r="Y176" s="4">
        <v>0</v>
      </c>
      <c r="Z176" s="4">
        <v>48</v>
      </c>
      <c r="AA176" s="4">
        <v>337</v>
      </c>
      <c r="AB176" s="77">
        <f>Table4[[#This Row],[Total Attendance]]/Table4[[#This Row],[Total Events]]</f>
        <v>7.020833333333333</v>
      </c>
      <c r="AC176" s="77">
        <f>Table4[[#This Row],[Total Attendance]]/AD176</f>
        <v>4.3669819878191005E-2</v>
      </c>
      <c r="AD176" s="77">
        <v>7717</v>
      </c>
    </row>
    <row r="177" spans="1:30" ht="13.5" thickBot="1" x14ac:dyDescent="0.25">
      <c r="A177" s="2" t="s">
        <v>297</v>
      </c>
      <c r="B177" s="1" t="s">
        <v>296</v>
      </c>
      <c r="C177" s="2" t="s">
        <v>32</v>
      </c>
      <c r="D177" s="4">
        <v>155</v>
      </c>
      <c r="E177" s="4">
        <v>3272</v>
      </c>
      <c r="F177" s="4">
        <v>33</v>
      </c>
      <c r="G177" s="4">
        <v>463</v>
      </c>
      <c r="H177" s="4">
        <v>33</v>
      </c>
      <c r="I177" s="4">
        <v>1587</v>
      </c>
      <c r="J177" s="4">
        <v>6</v>
      </c>
      <c r="K177" s="4">
        <v>51</v>
      </c>
      <c r="L177" s="77">
        <v>819</v>
      </c>
      <c r="M177" s="77">
        <v>295</v>
      </c>
      <c r="N177" s="77">
        <v>1114</v>
      </c>
      <c r="O177" s="4">
        <v>188</v>
      </c>
      <c r="P177" s="4">
        <v>4859</v>
      </c>
      <c r="Q177" s="2" t="s">
        <v>872</v>
      </c>
      <c r="R177" s="4">
        <v>80</v>
      </c>
      <c r="S177" s="77">
        <v>1447</v>
      </c>
      <c r="T177" s="4">
        <v>39</v>
      </c>
      <c r="U177" s="4">
        <v>514</v>
      </c>
      <c r="V177" s="4">
        <v>43</v>
      </c>
      <c r="W177" s="4">
        <v>621</v>
      </c>
      <c r="X177" s="77">
        <v>15</v>
      </c>
      <c r="Y177" s="77">
        <v>1476</v>
      </c>
      <c r="Z177" s="4">
        <v>285</v>
      </c>
      <c r="AA177" s="4">
        <v>7470</v>
      </c>
      <c r="AB177" s="77">
        <f>Table4[[#This Row],[Total Attendance]]/Table4[[#This Row],[Total Events]]</f>
        <v>26.210526315789473</v>
      </c>
      <c r="AC177" s="77">
        <f>Table4[[#This Row],[Total Attendance]]/AD177</f>
        <v>0.95475460122699385</v>
      </c>
      <c r="AD177" s="77">
        <v>7824</v>
      </c>
    </row>
    <row r="178" spans="1:30" ht="13.5" thickBot="1" x14ac:dyDescent="0.25">
      <c r="A178" s="2" t="s">
        <v>309</v>
      </c>
      <c r="B178" s="1" t="s">
        <v>308</v>
      </c>
      <c r="C178" s="2" t="s">
        <v>32</v>
      </c>
      <c r="D178" s="4">
        <v>18</v>
      </c>
      <c r="E178" s="4">
        <v>374</v>
      </c>
      <c r="F178" s="4">
        <v>9</v>
      </c>
      <c r="G178" s="4">
        <v>118</v>
      </c>
      <c r="H178" s="4">
        <v>18</v>
      </c>
      <c r="I178" s="4">
        <v>772</v>
      </c>
      <c r="J178" s="4">
        <v>2</v>
      </c>
      <c r="K178" s="4">
        <v>65</v>
      </c>
      <c r="L178" s="4">
        <v>127</v>
      </c>
      <c r="M178" s="4">
        <v>8</v>
      </c>
      <c r="N178" s="4">
        <v>135</v>
      </c>
      <c r="O178" s="4">
        <v>36</v>
      </c>
      <c r="P178" s="4">
        <v>1146</v>
      </c>
      <c r="Q178" s="2" t="s">
        <v>872</v>
      </c>
      <c r="R178" s="77">
        <v>7</v>
      </c>
      <c r="S178" s="77">
        <v>91</v>
      </c>
      <c r="T178" s="4">
        <v>11</v>
      </c>
      <c r="U178" s="4">
        <v>183</v>
      </c>
      <c r="V178" s="4">
        <v>93</v>
      </c>
      <c r="W178" s="4">
        <v>776</v>
      </c>
      <c r="X178" s="4">
        <v>2</v>
      </c>
      <c r="Y178" s="4">
        <v>144</v>
      </c>
      <c r="Z178" s="4">
        <v>142</v>
      </c>
      <c r="AA178" s="4">
        <v>2249</v>
      </c>
      <c r="AB178" s="77">
        <f>Table4[[#This Row],[Total Attendance]]/Table4[[#This Row],[Total Events]]</f>
        <v>15.838028169014084</v>
      </c>
      <c r="AC178" s="77">
        <f>Table4[[#This Row],[Total Attendance]]/AD178</f>
        <v>0.23733642887294218</v>
      </c>
      <c r="AD178" s="77">
        <v>9476</v>
      </c>
    </row>
    <row r="179" spans="1:30" ht="13.5" thickBot="1" x14ac:dyDescent="0.25">
      <c r="A179" s="2" t="s">
        <v>315</v>
      </c>
      <c r="B179" s="1" t="s">
        <v>314</v>
      </c>
      <c r="C179" s="2" t="s">
        <v>32</v>
      </c>
      <c r="D179" s="4">
        <v>127</v>
      </c>
      <c r="E179" s="4">
        <v>3574</v>
      </c>
      <c r="F179" s="4">
        <v>19</v>
      </c>
      <c r="G179" s="4">
        <v>167</v>
      </c>
      <c r="H179" s="4">
        <v>39</v>
      </c>
      <c r="I179" s="4">
        <v>2736</v>
      </c>
      <c r="J179" s="4">
        <v>9</v>
      </c>
      <c r="K179" s="4">
        <v>291</v>
      </c>
      <c r="L179" s="4">
        <v>398</v>
      </c>
      <c r="M179" s="4">
        <v>153</v>
      </c>
      <c r="N179" s="4">
        <v>551</v>
      </c>
      <c r="O179" s="4">
        <v>166</v>
      </c>
      <c r="P179" s="4">
        <v>6310</v>
      </c>
      <c r="Q179" s="2" t="s">
        <v>872</v>
      </c>
      <c r="R179" s="4">
        <v>120</v>
      </c>
      <c r="S179" s="4">
        <v>3738</v>
      </c>
      <c r="T179" s="4">
        <v>28</v>
      </c>
      <c r="U179" s="4">
        <v>458</v>
      </c>
      <c r="V179" s="4">
        <v>119</v>
      </c>
      <c r="W179" s="4">
        <v>1290</v>
      </c>
      <c r="X179" s="4">
        <v>7</v>
      </c>
      <c r="Y179" s="4">
        <v>252</v>
      </c>
      <c r="Z179" s="4">
        <v>320</v>
      </c>
      <c r="AA179" s="4">
        <v>8310</v>
      </c>
      <c r="AB179" s="77">
        <f>Table4[[#This Row],[Total Attendance]]/Table4[[#This Row],[Total Events]]</f>
        <v>25.96875</v>
      </c>
      <c r="AC179" s="77">
        <f>Table4[[#This Row],[Total Attendance]]/AD179</f>
        <v>0.75662387325867253</v>
      </c>
      <c r="AD179" s="77">
        <v>10983</v>
      </c>
    </row>
    <row r="180" spans="1:30" ht="13.5" thickBot="1" x14ac:dyDescent="0.25">
      <c r="A180" s="2" t="s">
        <v>323</v>
      </c>
      <c r="B180" s="1" t="s">
        <v>322</v>
      </c>
      <c r="C180" s="2" t="s">
        <v>32</v>
      </c>
      <c r="D180" s="77">
        <v>12</v>
      </c>
      <c r="E180" s="77">
        <v>601</v>
      </c>
      <c r="F180" s="77">
        <v>0</v>
      </c>
      <c r="G180" s="77">
        <v>0</v>
      </c>
      <c r="H180" s="77">
        <v>2</v>
      </c>
      <c r="I180" s="77">
        <v>189</v>
      </c>
      <c r="J180" s="77">
        <v>0</v>
      </c>
      <c r="K180" s="77">
        <v>0</v>
      </c>
      <c r="L180" s="77">
        <v>320</v>
      </c>
      <c r="M180" s="77">
        <v>88</v>
      </c>
      <c r="N180" s="77">
        <v>408</v>
      </c>
      <c r="O180" s="77">
        <v>14</v>
      </c>
      <c r="P180" s="77">
        <v>790</v>
      </c>
      <c r="Q180" s="2" t="s">
        <v>872</v>
      </c>
      <c r="R180" s="77">
        <v>3</v>
      </c>
      <c r="S180" s="77">
        <v>221</v>
      </c>
      <c r="T180" s="77">
        <v>0</v>
      </c>
      <c r="U180" s="77">
        <v>0</v>
      </c>
      <c r="V180" s="77">
        <v>4</v>
      </c>
      <c r="W180" s="77">
        <v>201</v>
      </c>
      <c r="X180" s="77">
        <v>0</v>
      </c>
      <c r="Y180" s="77">
        <v>0</v>
      </c>
      <c r="Z180" s="77">
        <v>18</v>
      </c>
      <c r="AA180" s="77">
        <v>991</v>
      </c>
      <c r="AB180" s="77">
        <f>Table4[[#This Row],[Total Attendance]]/Table4[[#This Row],[Total Events]]</f>
        <v>55.055555555555557</v>
      </c>
      <c r="AC180" s="77">
        <f>Table4[[#This Row],[Total Attendance]]/AD180</f>
        <v>8.8175104546667854E-2</v>
      </c>
      <c r="AD180" s="77">
        <v>11239</v>
      </c>
    </row>
    <row r="181" spans="1:30" ht="13.5" thickBot="1" x14ac:dyDescent="0.25">
      <c r="A181" s="2" t="s">
        <v>337</v>
      </c>
      <c r="B181" s="1" t="s">
        <v>336</v>
      </c>
      <c r="C181" s="2" t="s">
        <v>32</v>
      </c>
      <c r="D181" s="4">
        <v>59</v>
      </c>
      <c r="E181" s="4">
        <v>1582</v>
      </c>
      <c r="F181" s="4">
        <v>12</v>
      </c>
      <c r="G181" s="4">
        <v>213</v>
      </c>
      <c r="H181" s="4">
        <v>28</v>
      </c>
      <c r="I181" s="4">
        <v>2684</v>
      </c>
      <c r="J181" s="4">
        <v>7</v>
      </c>
      <c r="K181" s="4">
        <v>78</v>
      </c>
      <c r="L181" s="77">
        <v>302</v>
      </c>
      <c r="M181" s="77">
        <v>68</v>
      </c>
      <c r="N181" s="77">
        <v>370</v>
      </c>
      <c r="O181" s="4">
        <v>87</v>
      </c>
      <c r="P181" s="4">
        <v>4266</v>
      </c>
      <c r="Q181" s="2" t="s">
        <v>872</v>
      </c>
      <c r="R181" s="4">
        <v>25</v>
      </c>
      <c r="S181" s="4">
        <v>655</v>
      </c>
      <c r="T181" s="4">
        <v>19</v>
      </c>
      <c r="U181" s="4">
        <v>291</v>
      </c>
      <c r="V181" s="4">
        <v>25</v>
      </c>
      <c r="W181" s="4">
        <v>256</v>
      </c>
      <c r="X181" s="4">
        <v>10</v>
      </c>
      <c r="Y181" s="77">
        <v>1180</v>
      </c>
      <c r="Z181" s="4">
        <v>141</v>
      </c>
      <c r="AA181" s="4">
        <v>5993</v>
      </c>
      <c r="AB181" s="77">
        <f>Table4[[#This Row],[Total Attendance]]/Table4[[#This Row],[Total Events]]</f>
        <v>42.50354609929078</v>
      </c>
      <c r="AC181" s="77">
        <f>Table4[[#This Row],[Total Attendance]]/AD181</f>
        <v>0.67526760563380284</v>
      </c>
      <c r="AD181" s="77">
        <v>8875</v>
      </c>
    </row>
    <row r="182" spans="1:30" ht="13.5" thickBot="1" x14ac:dyDescent="0.25">
      <c r="A182" s="2" t="s">
        <v>357</v>
      </c>
      <c r="B182" s="1" t="s">
        <v>356</v>
      </c>
      <c r="C182" s="2" t="s">
        <v>32</v>
      </c>
      <c r="D182" s="4">
        <v>129</v>
      </c>
      <c r="E182" s="4">
        <v>2594</v>
      </c>
      <c r="F182" s="4">
        <v>14</v>
      </c>
      <c r="G182" s="4">
        <v>200</v>
      </c>
      <c r="H182" s="4">
        <v>37</v>
      </c>
      <c r="I182" s="4">
        <v>1355</v>
      </c>
      <c r="J182" s="4">
        <v>3</v>
      </c>
      <c r="K182" s="4">
        <v>33</v>
      </c>
      <c r="L182" s="77">
        <v>195</v>
      </c>
      <c r="M182" s="77">
        <v>19</v>
      </c>
      <c r="N182" s="77">
        <v>214</v>
      </c>
      <c r="O182" s="4">
        <v>166</v>
      </c>
      <c r="P182" s="4">
        <v>3949</v>
      </c>
      <c r="Q182" s="2" t="s">
        <v>872</v>
      </c>
      <c r="R182" s="4">
        <v>68</v>
      </c>
      <c r="S182" s="4">
        <v>1252</v>
      </c>
      <c r="T182" s="4">
        <v>17</v>
      </c>
      <c r="U182" s="4">
        <v>233</v>
      </c>
      <c r="V182" s="4">
        <v>63</v>
      </c>
      <c r="W182" s="4">
        <v>684</v>
      </c>
      <c r="X182" s="77">
        <v>18</v>
      </c>
      <c r="Y182" s="77">
        <v>692</v>
      </c>
      <c r="Z182" s="4">
        <v>264</v>
      </c>
      <c r="AA182" s="4">
        <v>5558</v>
      </c>
      <c r="AB182" s="77">
        <f>Table4[[#This Row],[Total Attendance]]/Table4[[#This Row],[Total Events]]</f>
        <v>21.053030303030305</v>
      </c>
      <c r="AC182" s="77">
        <f>Table4[[#This Row],[Total Attendance]]/AD182</f>
        <v>0.68338866346981431</v>
      </c>
      <c r="AD182" s="77">
        <v>8133</v>
      </c>
    </row>
    <row r="183" spans="1:30" ht="13.5" thickBot="1" x14ac:dyDescent="0.25">
      <c r="A183" s="2" t="s">
        <v>365</v>
      </c>
      <c r="B183" s="1" t="s">
        <v>364</v>
      </c>
      <c r="C183" s="2" t="s">
        <v>32</v>
      </c>
      <c r="D183" s="4">
        <v>245</v>
      </c>
      <c r="E183" s="4">
        <v>7077</v>
      </c>
      <c r="F183" s="4">
        <v>59</v>
      </c>
      <c r="G183" s="4">
        <v>383</v>
      </c>
      <c r="H183" s="4">
        <v>22</v>
      </c>
      <c r="I183" s="4">
        <v>1044</v>
      </c>
      <c r="J183" s="4">
        <v>8</v>
      </c>
      <c r="K183" s="4">
        <v>87</v>
      </c>
      <c r="L183" s="4">
        <v>407</v>
      </c>
      <c r="M183" s="4">
        <v>62</v>
      </c>
      <c r="N183" s="4">
        <v>469</v>
      </c>
      <c r="O183" s="4">
        <v>267</v>
      </c>
      <c r="P183" s="4">
        <v>8121</v>
      </c>
      <c r="Q183" s="2" t="s">
        <v>872</v>
      </c>
      <c r="R183" s="4">
        <v>125</v>
      </c>
      <c r="S183" s="4">
        <v>2049</v>
      </c>
      <c r="T183" s="4">
        <v>67</v>
      </c>
      <c r="U183" s="4">
        <v>470</v>
      </c>
      <c r="V183" s="4">
        <v>60</v>
      </c>
      <c r="W183" s="4">
        <v>392</v>
      </c>
      <c r="X183" s="4">
        <v>35</v>
      </c>
      <c r="Y183" s="4">
        <v>1326</v>
      </c>
      <c r="Z183" s="4">
        <v>429</v>
      </c>
      <c r="AA183" s="4">
        <v>10309</v>
      </c>
      <c r="AB183" s="77">
        <f>Table4[[#This Row],[Total Attendance]]/Table4[[#This Row],[Total Events]]</f>
        <v>24.030303030303031</v>
      </c>
      <c r="AC183" s="77">
        <f>Table4[[#This Row],[Total Attendance]]/AD183</f>
        <v>1.4448493342676945</v>
      </c>
      <c r="AD183" s="77">
        <v>7135</v>
      </c>
    </row>
    <row r="184" spans="1:30" ht="13.5" thickBot="1" x14ac:dyDescent="0.25">
      <c r="A184" s="2" t="s">
        <v>373</v>
      </c>
      <c r="B184" s="1" t="s">
        <v>372</v>
      </c>
      <c r="C184" s="2" t="s">
        <v>32</v>
      </c>
      <c r="D184" s="4">
        <v>105</v>
      </c>
      <c r="E184" s="4">
        <v>1774</v>
      </c>
      <c r="F184" s="4">
        <v>66</v>
      </c>
      <c r="G184" s="4">
        <v>573</v>
      </c>
      <c r="H184" s="4">
        <v>18</v>
      </c>
      <c r="I184" s="4">
        <v>444</v>
      </c>
      <c r="J184" s="4">
        <v>12</v>
      </c>
      <c r="K184" s="4">
        <v>36</v>
      </c>
      <c r="L184" s="4">
        <v>268</v>
      </c>
      <c r="M184" s="77">
        <v>43</v>
      </c>
      <c r="N184" s="4">
        <v>311</v>
      </c>
      <c r="O184" s="4">
        <v>123</v>
      </c>
      <c r="P184" s="4">
        <v>2218</v>
      </c>
      <c r="Q184" s="2" t="s">
        <v>872</v>
      </c>
      <c r="R184" s="77">
        <v>38</v>
      </c>
      <c r="S184" s="4">
        <v>535</v>
      </c>
      <c r="T184" s="4">
        <v>78</v>
      </c>
      <c r="U184" s="4">
        <v>609</v>
      </c>
      <c r="V184" s="77">
        <v>53</v>
      </c>
      <c r="W184" s="77">
        <v>226</v>
      </c>
      <c r="X184" s="77">
        <v>2</v>
      </c>
      <c r="Y184" s="77">
        <v>123</v>
      </c>
      <c r="Z184" s="4">
        <v>256</v>
      </c>
      <c r="AA184" s="4">
        <v>3176</v>
      </c>
      <c r="AB184" s="77">
        <f>Table4[[#This Row],[Total Attendance]]/Table4[[#This Row],[Total Events]]</f>
        <v>12.40625</v>
      </c>
      <c r="AC184" s="77">
        <f>Table4[[#This Row],[Total Attendance]]/AD184</f>
        <v>0.26756529064869417</v>
      </c>
      <c r="AD184" s="77">
        <v>11870</v>
      </c>
    </row>
    <row r="185" spans="1:30" ht="13.5" thickBot="1" x14ac:dyDescent="0.25">
      <c r="A185" s="2" t="s">
        <v>393</v>
      </c>
      <c r="B185" s="1" t="s">
        <v>392</v>
      </c>
      <c r="C185" s="2" t="s">
        <v>32</v>
      </c>
      <c r="D185" s="4">
        <v>40</v>
      </c>
      <c r="E185" s="4">
        <v>814</v>
      </c>
      <c r="F185" s="4">
        <v>5</v>
      </c>
      <c r="G185" s="4">
        <v>31</v>
      </c>
      <c r="H185" s="4">
        <v>7</v>
      </c>
      <c r="I185" s="4">
        <v>310</v>
      </c>
      <c r="J185" s="77">
        <v>2</v>
      </c>
      <c r="K185" s="77">
        <v>8</v>
      </c>
      <c r="L185" s="4">
        <v>306</v>
      </c>
      <c r="M185" s="4">
        <v>54</v>
      </c>
      <c r="N185" s="4">
        <v>360</v>
      </c>
      <c r="O185" s="4">
        <v>47</v>
      </c>
      <c r="P185" s="4">
        <v>1124</v>
      </c>
      <c r="Q185" s="2" t="s">
        <v>872</v>
      </c>
      <c r="R185" s="4">
        <v>24</v>
      </c>
      <c r="S185" s="4">
        <v>409</v>
      </c>
      <c r="T185" s="4">
        <v>7</v>
      </c>
      <c r="U185" s="4">
        <v>39</v>
      </c>
      <c r="V185" s="4">
        <v>97</v>
      </c>
      <c r="W185" s="4">
        <v>825</v>
      </c>
      <c r="X185" s="77">
        <v>13</v>
      </c>
      <c r="Y185" s="77">
        <v>460</v>
      </c>
      <c r="Z185" s="4">
        <v>164</v>
      </c>
      <c r="AA185" s="4">
        <v>2448</v>
      </c>
      <c r="AB185" s="77">
        <f>Table4[[#This Row],[Total Attendance]]/Table4[[#This Row],[Total Events]]</f>
        <v>14.926829268292684</v>
      </c>
      <c r="AC185" s="77">
        <f>Table4[[#This Row],[Total Attendance]]/AD185</f>
        <v>0.27932450935645825</v>
      </c>
      <c r="AD185" s="77">
        <v>8764</v>
      </c>
    </row>
    <row r="186" spans="1:30" ht="13.5" thickBot="1" x14ac:dyDescent="0.25">
      <c r="A186" s="2" t="s">
        <v>425</v>
      </c>
      <c r="B186" s="1" t="s">
        <v>424</v>
      </c>
      <c r="C186" s="2" t="s">
        <v>32</v>
      </c>
      <c r="D186" s="4">
        <v>48</v>
      </c>
      <c r="E186" s="4">
        <v>400</v>
      </c>
      <c r="F186" s="4">
        <v>0</v>
      </c>
      <c r="G186" s="4">
        <v>0</v>
      </c>
      <c r="H186" s="4">
        <v>1</v>
      </c>
      <c r="I186" s="4">
        <v>60</v>
      </c>
      <c r="J186" s="4">
        <v>0</v>
      </c>
      <c r="K186" s="4">
        <v>0</v>
      </c>
      <c r="L186" s="4">
        <v>86</v>
      </c>
      <c r="M186" s="78" t="s">
        <v>16</v>
      </c>
      <c r="N186" s="4">
        <v>86</v>
      </c>
      <c r="O186" s="4">
        <v>49</v>
      </c>
      <c r="P186" s="4">
        <v>460</v>
      </c>
      <c r="Q186" s="2" t="s">
        <v>872</v>
      </c>
      <c r="R186" s="4">
        <v>49</v>
      </c>
      <c r="S186" s="4">
        <v>460</v>
      </c>
      <c r="T186" s="4">
        <v>0</v>
      </c>
      <c r="U186" s="4">
        <v>0</v>
      </c>
      <c r="V186" s="4">
        <v>12</v>
      </c>
      <c r="W186" s="4">
        <v>150</v>
      </c>
      <c r="X186" s="4">
        <v>0</v>
      </c>
      <c r="Y186" s="4">
        <v>0</v>
      </c>
      <c r="Z186" s="4">
        <v>61</v>
      </c>
      <c r="AA186" s="4">
        <v>610</v>
      </c>
      <c r="AB186" s="77">
        <f>Table4[[#This Row],[Total Attendance]]/Table4[[#This Row],[Total Events]]</f>
        <v>10</v>
      </c>
      <c r="AC186" s="77">
        <f>Table4[[#This Row],[Total Attendance]]/AD186</f>
        <v>6.3840920983778124E-2</v>
      </c>
      <c r="AD186" s="77">
        <v>9555</v>
      </c>
    </row>
    <row r="187" spans="1:30" ht="13.5" thickBot="1" x14ac:dyDescent="0.25">
      <c r="A187" s="2" t="s">
        <v>423</v>
      </c>
      <c r="B187" s="1" t="s">
        <v>422</v>
      </c>
      <c r="C187" s="2" t="s">
        <v>32</v>
      </c>
      <c r="D187" s="4">
        <v>6</v>
      </c>
      <c r="E187" s="4">
        <v>322</v>
      </c>
      <c r="F187" s="4">
        <v>0</v>
      </c>
      <c r="G187" s="4">
        <v>0</v>
      </c>
      <c r="H187" s="4">
        <v>4</v>
      </c>
      <c r="I187" s="4">
        <v>196</v>
      </c>
      <c r="J187" s="77">
        <v>0</v>
      </c>
      <c r="K187" s="77">
        <v>0</v>
      </c>
      <c r="L187" s="78" t="s">
        <v>16</v>
      </c>
      <c r="M187" s="78" t="s">
        <v>16</v>
      </c>
      <c r="N187" s="78" t="s">
        <v>16</v>
      </c>
      <c r="O187" s="4">
        <v>10</v>
      </c>
      <c r="P187" s="4">
        <v>518</v>
      </c>
      <c r="Q187" s="2" t="s">
        <v>873</v>
      </c>
      <c r="R187" s="4">
        <v>0</v>
      </c>
      <c r="S187" s="4">
        <v>0</v>
      </c>
      <c r="T187" s="4">
        <v>0</v>
      </c>
      <c r="U187" s="4">
        <v>0</v>
      </c>
      <c r="V187" s="4">
        <v>13</v>
      </c>
      <c r="W187" s="4">
        <v>130</v>
      </c>
      <c r="X187" s="77">
        <v>6</v>
      </c>
      <c r="Y187" s="77">
        <v>185</v>
      </c>
      <c r="Z187" s="4">
        <v>29</v>
      </c>
      <c r="AA187" s="4">
        <v>833</v>
      </c>
      <c r="AB187" s="77">
        <f>Table4[[#This Row],[Total Attendance]]/Table4[[#This Row],[Total Events]]</f>
        <v>28.724137931034484</v>
      </c>
      <c r="AC187" s="77">
        <f>Table4[[#This Row],[Total Attendance]]/AD187</f>
        <v>8.7380677646071547E-2</v>
      </c>
      <c r="AD187" s="77">
        <v>9533</v>
      </c>
    </row>
    <row r="188" spans="1:30" ht="13.5" thickBot="1" x14ac:dyDescent="0.25">
      <c r="A188" s="2" t="s">
        <v>447</v>
      </c>
      <c r="B188" s="1" t="s">
        <v>446</v>
      </c>
      <c r="C188" s="2" t="s">
        <v>32</v>
      </c>
      <c r="D188" s="4">
        <v>99</v>
      </c>
      <c r="E188" s="4">
        <v>1594</v>
      </c>
      <c r="F188" s="4">
        <v>11</v>
      </c>
      <c r="G188" s="4">
        <v>30</v>
      </c>
      <c r="H188" s="4">
        <v>31</v>
      </c>
      <c r="I188" s="4">
        <v>401</v>
      </c>
      <c r="J188" s="77">
        <v>11</v>
      </c>
      <c r="K188" s="77">
        <v>70</v>
      </c>
      <c r="L188" s="77">
        <v>82</v>
      </c>
      <c r="M188" s="77">
        <v>24</v>
      </c>
      <c r="N188" s="77">
        <v>106</v>
      </c>
      <c r="O188" s="4">
        <v>130</v>
      </c>
      <c r="P188" s="4">
        <v>1995</v>
      </c>
      <c r="Q188" s="2" t="s">
        <v>872</v>
      </c>
      <c r="R188" s="4">
        <v>45</v>
      </c>
      <c r="S188" s="4">
        <v>650</v>
      </c>
      <c r="T188" s="4">
        <v>22</v>
      </c>
      <c r="U188" s="4">
        <v>100</v>
      </c>
      <c r="V188" s="4">
        <v>66</v>
      </c>
      <c r="W188" s="4">
        <v>432</v>
      </c>
      <c r="X188" s="4">
        <v>7</v>
      </c>
      <c r="Y188" s="4">
        <v>77</v>
      </c>
      <c r="Z188" s="4">
        <v>225</v>
      </c>
      <c r="AA188" s="4">
        <v>2604</v>
      </c>
      <c r="AB188" s="77">
        <f>Table4[[#This Row],[Total Attendance]]/Table4[[#This Row],[Total Events]]</f>
        <v>11.573333333333334</v>
      </c>
      <c r="AC188" s="77">
        <f>Table4[[#This Row],[Total Attendance]]/AD188</f>
        <v>0.2487106017191977</v>
      </c>
      <c r="AD188" s="77">
        <v>10470</v>
      </c>
    </row>
    <row r="189" spans="1:30" ht="13.5" thickBot="1" x14ac:dyDescent="0.25">
      <c r="A189" s="2" t="s">
        <v>461</v>
      </c>
      <c r="B189" s="1" t="s">
        <v>460</v>
      </c>
      <c r="C189" s="2" t="s">
        <v>32</v>
      </c>
      <c r="D189" s="4">
        <v>69</v>
      </c>
      <c r="E189" s="4">
        <v>956</v>
      </c>
      <c r="F189" s="4">
        <v>1</v>
      </c>
      <c r="G189" s="4">
        <v>30</v>
      </c>
      <c r="H189" s="4">
        <v>6</v>
      </c>
      <c r="I189" s="4">
        <v>299</v>
      </c>
      <c r="J189" s="4">
        <v>0</v>
      </c>
      <c r="K189" s="4">
        <v>0</v>
      </c>
      <c r="L189" s="4">
        <v>132</v>
      </c>
      <c r="M189" s="4">
        <v>0</v>
      </c>
      <c r="N189" s="4">
        <v>132</v>
      </c>
      <c r="O189" s="4">
        <v>75</v>
      </c>
      <c r="P189" s="4">
        <v>1255</v>
      </c>
      <c r="Q189" s="2" t="s">
        <v>872</v>
      </c>
      <c r="R189" s="4">
        <v>62</v>
      </c>
      <c r="S189" s="4">
        <v>956</v>
      </c>
      <c r="T189" s="4">
        <v>1</v>
      </c>
      <c r="U189" s="4">
        <v>30</v>
      </c>
      <c r="V189" s="4">
        <v>86</v>
      </c>
      <c r="W189" s="4">
        <v>1089</v>
      </c>
      <c r="X189" s="4">
        <v>5</v>
      </c>
      <c r="Y189" s="4">
        <v>459</v>
      </c>
      <c r="Z189" s="4">
        <v>167</v>
      </c>
      <c r="AA189" s="4">
        <v>2833</v>
      </c>
      <c r="AB189" s="77">
        <f>Table4[[#This Row],[Total Attendance]]/Table4[[#This Row],[Total Events]]</f>
        <v>16.964071856287426</v>
      </c>
      <c r="AC189" s="77">
        <f>Table4[[#This Row],[Total Attendance]]/AD189</f>
        <v>0.24462481650980053</v>
      </c>
      <c r="AD189" s="77">
        <v>11581</v>
      </c>
    </row>
    <row r="190" spans="1:30" ht="13.5" thickBot="1" x14ac:dyDescent="0.25">
      <c r="A190" s="2" t="s">
        <v>484</v>
      </c>
      <c r="B190" s="1" t="s">
        <v>483</v>
      </c>
      <c r="C190" s="2" t="s">
        <v>32</v>
      </c>
      <c r="D190" s="4">
        <v>69</v>
      </c>
      <c r="E190" s="4">
        <v>983</v>
      </c>
      <c r="F190" s="4">
        <v>4</v>
      </c>
      <c r="G190" s="4">
        <v>13</v>
      </c>
      <c r="H190" s="4">
        <v>18</v>
      </c>
      <c r="I190" s="4">
        <v>103</v>
      </c>
      <c r="J190" s="4">
        <v>2</v>
      </c>
      <c r="K190" s="4">
        <v>11</v>
      </c>
      <c r="L190" s="77">
        <v>109</v>
      </c>
      <c r="M190" s="77">
        <v>11</v>
      </c>
      <c r="N190" s="77">
        <v>120</v>
      </c>
      <c r="O190" s="4">
        <v>87</v>
      </c>
      <c r="P190" s="4">
        <v>1086</v>
      </c>
      <c r="Q190" s="2" t="s">
        <v>872</v>
      </c>
      <c r="R190" s="77">
        <v>72</v>
      </c>
      <c r="S190" s="77">
        <v>3</v>
      </c>
      <c r="T190" s="4">
        <v>6</v>
      </c>
      <c r="U190" s="4">
        <v>24</v>
      </c>
      <c r="V190" s="4">
        <v>83</v>
      </c>
      <c r="W190" s="4">
        <v>951</v>
      </c>
      <c r="X190" s="4">
        <v>28</v>
      </c>
      <c r="Y190" s="4">
        <v>587</v>
      </c>
      <c r="Z190" s="4">
        <v>204</v>
      </c>
      <c r="AA190" s="4">
        <v>2648</v>
      </c>
      <c r="AB190" s="77">
        <f>Table4[[#This Row],[Total Attendance]]/Table4[[#This Row],[Total Events]]</f>
        <v>12.980392156862745</v>
      </c>
      <c r="AC190" s="77">
        <f>Table4[[#This Row],[Total Attendance]]/AD190</f>
        <v>0.36214442013129106</v>
      </c>
      <c r="AD190" s="77">
        <v>7312</v>
      </c>
    </row>
    <row r="191" spans="1:30" ht="13.5" thickBot="1" x14ac:dyDescent="0.25">
      <c r="A191" s="2" t="s">
        <v>490</v>
      </c>
      <c r="B191" s="1" t="s">
        <v>489</v>
      </c>
      <c r="C191" s="2" t="s">
        <v>32</v>
      </c>
      <c r="D191" s="4">
        <v>31</v>
      </c>
      <c r="E191" s="4">
        <v>448</v>
      </c>
      <c r="F191" s="4">
        <v>1</v>
      </c>
      <c r="G191" s="4">
        <v>54</v>
      </c>
      <c r="H191" s="4">
        <v>5</v>
      </c>
      <c r="I191" s="4">
        <v>79</v>
      </c>
      <c r="J191" s="4">
        <v>6</v>
      </c>
      <c r="K191" s="77">
        <v>20</v>
      </c>
      <c r="L191" s="77">
        <v>26</v>
      </c>
      <c r="M191" s="77">
        <v>19</v>
      </c>
      <c r="N191" s="77">
        <v>45</v>
      </c>
      <c r="O191" s="4">
        <v>36</v>
      </c>
      <c r="P191" s="4">
        <v>527</v>
      </c>
      <c r="Q191" s="2" t="s">
        <v>872</v>
      </c>
      <c r="R191" s="4">
        <v>24</v>
      </c>
      <c r="S191" s="4">
        <v>162</v>
      </c>
      <c r="T191" s="4">
        <v>7</v>
      </c>
      <c r="U191" s="4">
        <v>74</v>
      </c>
      <c r="V191" s="4">
        <v>7</v>
      </c>
      <c r="W191" s="77">
        <v>34</v>
      </c>
      <c r="X191" s="77">
        <v>10</v>
      </c>
      <c r="Y191" s="77">
        <v>136</v>
      </c>
      <c r="Z191" s="4">
        <v>60</v>
      </c>
      <c r="AA191" s="4">
        <v>771</v>
      </c>
      <c r="AB191" s="77">
        <f>Table4[[#This Row],[Total Attendance]]/Table4[[#This Row],[Total Events]]</f>
        <v>12.85</v>
      </c>
      <c r="AC191" s="77">
        <f>Table4[[#This Row],[Total Attendance]]/AD191</f>
        <v>9.2401725790987529E-2</v>
      </c>
      <c r="AD191" s="77">
        <v>8344</v>
      </c>
    </row>
    <row r="192" spans="1:30" ht="13.5" thickBot="1" x14ac:dyDescent="0.25">
      <c r="A192" s="2" t="s">
        <v>510</v>
      </c>
      <c r="B192" s="1" t="s">
        <v>509</v>
      </c>
      <c r="C192" s="2" t="s">
        <v>32</v>
      </c>
      <c r="D192" s="4">
        <v>37</v>
      </c>
      <c r="E192" s="4">
        <v>387</v>
      </c>
      <c r="F192" s="4">
        <v>1</v>
      </c>
      <c r="G192" s="4">
        <v>10</v>
      </c>
      <c r="H192" s="4">
        <v>11</v>
      </c>
      <c r="I192" s="4">
        <v>293</v>
      </c>
      <c r="J192" s="4">
        <v>12</v>
      </c>
      <c r="K192" s="4">
        <v>120</v>
      </c>
      <c r="L192" s="4">
        <v>125</v>
      </c>
      <c r="M192" s="77">
        <v>27</v>
      </c>
      <c r="N192" s="4">
        <v>152</v>
      </c>
      <c r="O192" s="4">
        <v>48</v>
      </c>
      <c r="P192" s="4">
        <v>680</v>
      </c>
      <c r="Q192" s="2" t="s">
        <v>872</v>
      </c>
      <c r="R192" s="4">
        <v>26</v>
      </c>
      <c r="S192" s="4">
        <v>166</v>
      </c>
      <c r="T192" s="4">
        <v>13</v>
      </c>
      <c r="U192" s="4">
        <v>130</v>
      </c>
      <c r="V192" s="4">
        <v>5</v>
      </c>
      <c r="W192" s="4">
        <v>84</v>
      </c>
      <c r="X192" s="4">
        <v>0</v>
      </c>
      <c r="Y192" s="4">
        <v>0</v>
      </c>
      <c r="Z192" s="4">
        <v>66</v>
      </c>
      <c r="AA192" s="4">
        <v>894</v>
      </c>
      <c r="AB192" s="77">
        <f>Table4[[#This Row],[Total Attendance]]/Table4[[#This Row],[Total Events]]</f>
        <v>13.545454545454545</v>
      </c>
      <c r="AC192" s="77">
        <f>Table4[[#This Row],[Total Attendance]]/AD192</f>
        <v>8.3434437704153055E-2</v>
      </c>
      <c r="AD192" s="77">
        <v>10715</v>
      </c>
    </row>
    <row r="193" spans="1:30" ht="13.5" thickBot="1" x14ac:dyDescent="0.25">
      <c r="A193" s="2" t="s">
        <v>522</v>
      </c>
      <c r="B193" s="1" t="s">
        <v>521</v>
      </c>
      <c r="C193" s="2" t="s">
        <v>32</v>
      </c>
      <c r="D193" s="4">
        <v>30</v>
      </c>
      <c r="E193" s="4">
        <v>206</v>
      </c>
      <c r="F193" s="4">
        <v>0</v>
      </c>
      <c r="G193" s="4">
        <v>0</v>
      </c>
      <c r="H193" s="4">
        <v>7</v>
      </c>
      <c r="I193" s="4">
        <v>145</v>
      </c>
      <c r="J193" s="4">
        <v>0</v>
      </c>
      <c r="K193" s="4">
        <v>0</v>
      </c>
      <c r="L193" s="4">
        <v>32</v>
      </c>
      <c r="M193" s="4">
        <v>0</v>
      </c>
      <c r="N193" s="4">
        <v>32</v>
      </c>
      <c r="O193" s="4">
        <v>37</v>
      </c>
      <c r="P193" s="4">
        <v>351</v>
      </c>
      <c r="Q193" s="2" t="s">
        <v>873</v>
      </c>
      <c r="R193" s="4">
        <v>0</v>
      </c>
      <c r="S193" s="4">
        <v>0</v>
      </c>
      <c r="T193" s="4">
        <v>0</v>
      </c>
      <c r="U193" s="4">
        <v>0</v>
      </c>
      <c r="V193" s="4">
        <v>24</v>
      </c>
      <c r="W193" s="4">
        <v>135</v>
      </c>
      <c r="X193" s="77">
        <v>0</v>
      </c>
      <c r="Y193" s="77">
        <v>0</v>
      </c>
      <c r="Z193" s="4">
        <v>61</v>
      </c>
      <c r="AA193" s="4">
        <v>486</v>
      </c>
      <c r="AB193" s="77">
        <f>Table4[[#This Row],[Total Attendance]]/Table4[[#This Row],[Total Events]]</f>
        <v>7.9672131147540988</v>
      </c>
      <c r="AC193" s="77">
        <f>Table4[[#This Row],[Total Attendance]]/AD193</f>
        <v>6.5463362068965511E-2</v>
      </c>
      <c r="AD193" s="77">
        <v>7424</v>
      </c>
    </row>
    <row r="194" spans="1:30" ht="13.5" thickBot="1" x14ac:dyDescent="0.25">
      <c r="A194" s="2" t="s">
        <v>528</v>
      </c>
      <c r="B194" s="1" t="s">
        <v>527</v>
      </c>
      <c r="C194" s="2" t="s">
        <v>32</v>
      </c>
      <c r="D194" s="4">
        <v>294</v>
      </c>
      <c r="E194" s="4">
        <v>5962</v>
      </c>
      <c r="F194" s="4">
        <v>37</v>
      </c>
      <c r="G194" s="4">
        <v>1777</v>
      </c>
      <c r="H194" s="4">
        <v>8</v>
      </c>
      <c r="I194" s="4">
        <v>163</v>
      </c>
      <c r="J194" s="77">
        <v>5</v>
      </c>
      <c r="K194" s="77">
        <v>12</v>
      </c>
      <c r="L194" s="77">
        <v>184</v>
      </c>
      <c r="M194" s="77">
        <v>21</v>
      </c>
      <c r="N194" s="77">
        <v>205</v>
      </c>
      <c r="O194" s="4">
        <v>302</v>
      </c>
      <c r="P194" s="4">
        <v>6125</v>
      </c>
      <c r="Q194" s="2" t="s">
        <v>872</v>
      </c>
      <c r="R194" s="4">
        <v>55</v>
      </c>
      <c r="S194" s="4">
        <v>676</v>
      </c>
      <c r="T194" s="4">
        <v>42</v>
      </c>
      <c r="U194" s="4">
        <v>1789</v>
      </c>
      <c r="V194" s="77">
        <v>45</v>
      </c>
      <c r="W194" s="77">
        <v>1345</v>
      </c>
      <c r="X194" s="77">
        <v>17</v>
      </c>
      <c r="Y194" s="77">
        <v>475</v>
      </c>
      <c r="Z194" s="4">
        <v>406</v>
      </c>
      <c r="AA194" s="4">
        <v>9734</v>
      </c>
      <c r="AB194" s="77">
        <f>Table4[[#This Row],[Total Attendance]]/Table4[[#This Row],[Total Events]]</f>
        <v>23.975369458128078</v>
      </c>
      <c r="AC194" s="77">
        <f>Table4[[#This Row],[Total Attendance]]/AD194</f>
        <v>0.99682539682539684</v>
      </c>
      <c r="AD194" s="77">
        <v>9765</v>
      </c>
    </row>
    <row r="195" spans="1:30" ht="13.5" thickBot="1" x14ac:dyDescent="0.25">
      <c r="A195" s="2" t="s">
        <v>538</v>
      </c>
      <c r="B195" s="1" t="s">
        <v>537</v>
      </c>
      <c r="C195" s="2" t="s">
        <v>32</v>
      </c>
      <c r="D195" s="4">
        <v>20</v>
      </c>
      <c r="E195" s="4">
        <v>239</v>
      </c>
      <c r="F195" s="4">
        <v>4</v>
      </c>
      <c r="G195" s="4">
        <v>57</v>
      </c>
      <c r="H195" s="4">
        <v>6</v>
      </c>
      <c r="I195" s="4">
        <v>433</v>
      </c>
      <c r="J195" s="77">
        <v>1</v>
      </c>
      <c r="K195" s="77">
        <v>8</v>
      </c>
      <c r="L195" s="77">
        <v>139</v>
      </c>
      <c r="M195" s="77">
        <v>0</v>
      </c>
      <c r="N195" s="77">
        <v>139</v>
      </c>
      <c r="O195" s="4">
        <v>26</v>
      </c>
      <c r="P195" s="4">
        <v>672</v>
      </c>
      <c r="Q195" s="2" t="s">
        <v>872</v>
      </c>
      <c r="R195" s="77">
        <v>26</v>
      </c>
      <c r="S195" s="77">
        <v>314</v>
      </c>
      <c r="T195" s="4">
        <v>5</v>
      </c>
      <c r="U195" s="4">
        <v>65</v>
      </c>
      <c r="V195" s="77">
        <v>28</v>
      </c>
      <c r="W195" s="77">
        <v>317</v>
      </c>
      <c r="X195" s="77">
        <v>17</v>
      </c>
      <c r="Y195" s="77">
        <v>584</v>
      </c>
      <c r="Z195" s="4">
        <v>76</v>
      </c>
      <c r="AA195" s="4">
        <v>1638</v>
      </c>
      <c r="AB195" s="77">
        <f>Table4[[#This Row],[Total Attendance]]/Table4[[#This Row],[Total Events]]</f>
        <v>21.55263157894737</v>
      </c>
      <c r="AC195" s="77">
        <f>Table4[[#This Row],[Total Attendance]]/AD195</f>
        <v>0.17021718798711422</v>
      </c>
      <c r="AD195" s="77">
        <v>9623</v>
      </c>
    </row>
    <row r="196" spans="1:30" ht="13.5" thickBot="1" x14ac:dyDescent="0.25">
      <c r="A196" s="2" t="s">
        <v>542</v>
      </c>
      <c r="B196" s="1" t="s">
        <v>541</v>
      </c>
      <c r="C196" s="2" t="s">
        <v>32</v>
      </c>
      <c r="D196" s="4">
        <v>65</v>
      </c>
      <c r="E196" s="4">
        <v>554</v>
      </c>
      <c r="F196" s="4">
        <v>0</v>
      </c>
      <c r="G196" s="4">
        <v>0</v>
      </c>
      <c r="H196" s="4">
        <v>30</v>
      </c>
      <c r="I196" s="4">
        <v>293</v>
      </c>
      <c r="J196" s="77">
        <v>0</v>
      </c>
      <c r="K196" s="77">
        <v>0</v>
      </c>
      <c r="L196" s="4">
        <v>113</v>
      </c>
      <c r="M196" s="77">
        <v>3</v>
      </c>
      <c r="N196" s="4">
        <v>116</v>
      </c>
      <c r="O196" s="4">
        <v>95</v>
      </c>
      <c r="P196" s="4">
        <v>847</v>
      </c>
      <c r="Q196" s="2" t="s">
        <v>872</v>
      </c>
      <c r="R196" s="4">
        <v>16</v>
      </c>
      <c r="S196" s="4">
        <v>51</v>
      </c>
      <c r="T196" s="4">
        <v>0</v>
      </c>
      <c r="U196" s="4">
        <v>0</v>
      </c>
      <c r="V196" s="4">
        <v>74</v>
      </c>
      <c r="W196" s="4">
        <v>440</v>
      </c>
      <c r="X196" s="4">
        <v>4</v>
      </c>
      <c r="Y196" s="4">
        <v>170</v>
      </c>
      <c r="Z196" s="4">
        <v>173</v>
      </c>
      <c r="AA196" s="4">
        <v>1457</v>
      </c>
      <c r="AB196" s="77">
        <f>Table4[[#This Row],[Total Attendance]]/Table4[[#This Row],[Total Events]]</f>
        <v>8.4219653179190743</v>
      </c>
      <c r="AC196" s="77">
        <f>Table4[[#This Row],[Total Attendance]]/AD196</f>
        <v>0.19030825496342738</v>
      </c>
      <c r="AD196" s="77">
        <v>7656</v>
      </c>
    </row>
    <row r="197" spans="1:30" ht="13.5" thickBot="1" x14ac:dyDescent="0.25">
      <c r="A197" s="2" t="s">
        <v>554</v>
      </c>
      <c r="B197" s="1" t="s">
        <v>553</v>
      </c>
      <c r="C197" s="2" t="s">
        <v>32</v>
      </c>
      <c r="D197" s="4">
        <v>94</v>
      </c>
      <c r="E197" s="4">
        <v>1724</v>
      </c>
      <c r="F197" s="4">
        <v>32</v>
      </c>
      <c r="G197" s="4">
        <v>202</v>
      </c>
      <c r="H197" s="4">
        <v>19</v>
      </c>
      <c r="I197" s="4">
        <v>537</v>
      </c>
      <c r="J197" s="77">
        <v>6</v>
      </c>
      <c r="K197" s="77">
        <v>77</v>
      </c>
      <c r="L197" s="77">
        <v>266</v>
      </c>
      <c r="M197" s="77">
        <v>23</v>
      </c>
      <c r="N197" s="77">
        <v>289</v>
      </c>
      <c r="O197" s="4">
        <v>113</v>
      </c>
      <c r="P197" s="4">
        <v>2261</v>
      </c>
      <c r="Q197" s="2" t="s">
        <v>872</v>
      </c>
      <c r="R197" s="77">
        <v>72</v>
      </c>
      <c r="S197" s="77">
        <v>1305</v>
      </c>
      <c r="T197" s="4">
        <v>38</v>
      </c>
      <c r="U197" s="4">
        <v>279</v>
      </c>
      <c r="V197" s="77">
        <v>115</v>
      </c>
      <c r="W197" s="77">
        <v>1717</v>
      </c>
      <c r="X197" s="77">
        <v>24</v>
      </c>
      <c r="Y197" s="77">
        <v>1005</v>
      </c>
      <c r="Z197" s="4">
        <v>290</v>
      </c>
      <c r="AA197" s="4">
        <v>5262</v>
      </c>
      <c r="AB197" s="77">
        <f>Table4[[#This Row],[Total Attendance]]/Table4[[#This Row],[Total Events]]</f>
        <v>18.144827586206898</v>
      </c>
      <c r="AC197" s="77">
        <f>Table4[[#This Row],[Total Attendance]]/AD197</f>
        <v>0.62987790280105338</v>
      </c>
      <c r="AD197" s="77">
        <v>8354</v>
      </c>
    </row>
    <row r="198" spans="1:30" ht="13.5" thickBot="1" x14ac:dyDescent="0.25">
      <c r="A198" s="2" t="s">
        <v>572</v>
      </c>
      <c r="B198" s="1" t="s">
        <v>571</v>
      </c>
      <c r="C198" s="2" t="s">
        <v>32</v>
      </c>
      <c r="D198" s="4">
        <v>25</v>
      </c>
      <c r="E198" s="4">
        <v>490</v>
      </c>
      <c r="F198" s="4">
        <v>0</v>
      </c>
      <c r="G198" s="4">
        <v>0</v>
      </c>
      <c r="H198" s="4">
        <v>13</v>
      </c>
      <c r="I198" s="4">
        <v>267</v>
      </c>
      <c r="J198" s="77">
        <v>0</v>
      </c>
      <c r="K198" s="77">
        <v>0</v>
      </c>
      <c r="L198" s="4">
        <v>31</v>
      </c>
      <c r="M198" s="77">
        <v>0</v>
      </c>
      <c r="N198" s="4">
        <v>31</v>
      </c>
      <c r="O198" s="4">
        <v>38</v>
      </c>
      <c r="P198" s="4">
        <v>757</v>
      </c>
      <c r="Q198" s="2" t="s">
        <v>873</v>
      </c>
      <c r="R198" s="4">
        <v>0</v>
      </c>
      <c r="S198" s="4">
        <v>0</v>
      </c>
      <c r="T198" s="4">
        <v>0</v>
      </c>
      <c r="U198" s="4">
        <v>0</v>
      </c>
      <c r="V198" s="4">
        <v>40</v>
      </c>
      <c r="W198" s="4">
        <v>383</v>
      </c>
      <c r="X198" s="4">
        <v>12</v>
      </c>
      <c r="Y198" s="4">
        <v>121</v>
      </c>
      <c r="Z198" s="4">
        <v>90</v>
      </c>
      <c r="AA198" s="4">
        <v>1261</v>
      </c>
      <c r="AB198" s="77">
        <f>Table4[[#This Row],[Total Attendance]]/Table4[[#This Row],[Total Events]]</f>
        <v>14.011111111111111</v>
      </c>
      <c r="AC198" s="77">
        <f>Table4[[#This Row],[Total Attendance]]/AD198</f>
        <v>0.14594907407407406</v>
      </c>
      <c r="AD198" s="77">
        <v>8640</v>
      </c>
    </row>
    <row r="199" spans="1:30" ht="13.5" thickBot="1" x14ac:dyDescent="0.25">
      <c r="A199" s="2" t="s">
        <v>582</v>
      </c>
      <c r="B199" s="1" t="s">
        <v>581</v>
      </c>
      <c r="C199" s="2" t="s">
        <v>32</v>
      </c>
      <c r="D199" s="4">
        <v>132</v>
      </c>
      <c r="E199" s="4">
        <v>1052</v>
      </c>
      <c r="F199" s="4">
        <v>28</v>
      </c>
      <c r="G199" s="4">
        <v>119</v>
      </c>
      <c r="H199" s="4">
        <v>23</v>
      </c>
      <c r="I199" s="4">
        <v>665</v>
      </c>
      <c r="J199" s="4">
        <v>0</v>
      </c>
      <c r="K199" s="4">
        <v>0</v>
      </c>
      <c r="L199" s="77">
        <v>145</v>
      </c>
      <c r="M199" s="77">
        <v>36</v>
      </c>
      <c r="N199" s="77">
        <v>181</v>
      </c>
      <c r="O199" s="4">
        <v>155</v>
      </c>
      <c r="P199" s="4">
        <v>1717</v>
      </c>
      <c r="Q199" s="2" t="s">
        <v>873</v>
      </c>
      <c r="R199" s="4">
        <v>0</v>
      </c>
      <c r="S199" s="4">
        <v>0</v>
      </c>
      <c r="T199" s="4">
        <v>28</v>
      </c>
      <c r="U199" s="4">
        <v>119</v>
      </c>
      <c r="V199" s="4">
        <v>108</v>
      </c>
      <c r="W199" s="4">
        <v>4151</v>
      </c>
      <c r="X199" s="4">
        <v>0</v>
      </c>
      <c r="Y199" s="77">
        <v>0</v>
      </c>
      <c r="Z199" s="4">
        <v>291</v>
      </c>
      <c r="AA199" s="4">
        <v>5987</v>
      </c>
      <c r="AB199" s="77">
        <f>Table4[[#This Row],[Total Attendance]]/Table4[[#This Row],[Total Events]]</f>
        <v>20.573883161512029</v>
      </c>
      <c r="AC199" s="77">
        <f>Table4[[#This Row],[Total Attendance]]/AD199</f>
        <v>0.60056174139833485</v>
      </c>
      <c r="AD199" s="77">
        <v>9969</v>
      </c>
    </row>
    <row r="200" spans="1:30" ht="13.5" thickBot="1" x14ac:dyDescent="0.25">
      <c r="A200" s="2" t="s">
        <v>586</v>
      </c>
      <c r="B200" s="1" t="s">
        <v>585</v>
      </c>
      <c r="C200" s="2" t="s">
        <v>32</v>
      </c>
      <c r="D200" s="4">
        <v>101</v>
      </c>
      <c r="E200" s="4">
        <v>1162</v>
      </c>
      <c r="F200" s="4">
        <v>3</v>
      </c>
      <c r="G200" s="4">
        <v>16</v>
      </c>
      <c r="H200" s="4">
        <v>13</v>
      </c>
      <c r="I200" s="4">
        <v>1006</v>
      </c>
      <c r="J200" s="77">
        <v>3</v>
      </c>
      <c r="K200" s="77">
        <v>58</v>
      </c>
      <c r="L200" s="77">
        <v>686</v>
      </c>
      <c r="M200" s="77">
        <v>125</v>
      </c>
      <c r="N200" s="77">
        <v>811</v>
      </c>
      <c r="O200" s="4">
        <v>114</v>
      </c>
      <c r="P200" s="4">
        <v>2168</v>
      </c>
      <c r="Q200" s="2" t="s">
        <v>872</v>
      </c>
      <c r="R200" s="4">
        <v>51</v>
      </c>
      <c r="S200" s="4">
        <v>602</v>
      </c>
      <c r="T200" s="4">
        <v>6</v>
      </c>
      <c r="U200" s="4">
        <v>74</v>
      </c>
      <c r="V200" s="78" t="s">
        <v>16</v>
      </c>
      <c r="W200" s="78" t="s">
        <v>16</v>
      </c>
      <c r="X200" s="78" t="s">
        <v>16</v>
      </c>
      <c r="Y200" s="78" t="s">
        <v>16</v>
      </c>
      <c r="Z200" s="4">
        <v>120</v>
      </c>
      <c r="AA200" s="4">
        <v>2242</v>
      </c>
      <c r="AB200" s="77">
        <f>Table4[[#This Row],[Total Attendance]]/Table4[[#This Row],[Total Events]]</f>
        <v>18.683333333333334</v>
      </c>
      <c r="AC200" s="77">
        <f>Table4[[#This Row],[Total Attendance]]/AD200</f>
        <v>0.31873756042081319</v>
      </c>
      <c r="AD200" s="77">
        <v>7034</v>
      </c>
    </row>
    <row r="201" spans="1:30" ht="13.5" thickBot="1" x14ac:dyDescent="0.25">
      <c r="A201" s="2" t="s">
        <v>596</v>
      </c>
      <c r="B201" s="1" t="s">
        <v>595</v>
      </c>
      <c r="C201" s="2" t="s">
        <v>32</v>
      </c>
      <c r="D201" s="4">
        <v>69</v>
      </c>
      <c r="E201" s="4">
        <v>2502</v>
      </c>
      <c r="F201" s="4">
        <v>38</v>
      </c>
      <c r="G201" s="4">
        <v>218</v>
      </c>
      <c r="H201" s="4">
        <v>34</v>
      </c>
      <c r="I201" s="4">
        <v>1832</v>
      </c>
      <c r="J201" s="77">
        <v>14</v>
      </c>
      <c r="K201" s="77">
        <v>118</v>
      </c>
      <c r="L201" s="77">
        <v>184</v>
      </c>
      <c r="M201" s="77">
        <v>36</v>
      </c>
      <c r="N201" s="77">
        <v>220</v>
      </c>
      <c r="O201" s="4">
        <v>103</v>
      </c>
      <c r="P201" s="4">
        <v>4334</v>
      </c>
      <c r="Q201" s="2" t="s">
        <v>872</v>
      </c>
      <c r="R201" s="77">
        <v>48</v>
      </c>
      <c r="S201" s="77">
        <v>1725</v>
      </c>
      <c r="T201" s="4">
        <v>52</v>
      </c>
      <c r="U201" s="4">
        <v>336</v>
      </c>
      <c r="V201" s="77">
        <v>180</v>
      </c>
      <c r="W201" s="77">
        <v>935</v>
      </c>
      <c r="X201" s="77">
        <v>12</v>
      </c>
      <c r="Y201" s="77">
        <v>534</v>
      </c>
      <c r="Z201" s="4">
        <v>347</v>
      </c>
      <c r="AA201" s="4">
        <v>6139</v>
      </c>
      <c r="AB201" s="77">
        <f>Table4[[#This Row],[Total Attendance]]/Table4[[#This Row],[Total Events]]</f>
        <v>17.691642651296831</v>
      </c>
      <c r="AC201" s="77">
        <f>Table4[[#This Row],[Total Attendance]]/AD201</f>
        <v>0.69500735876825537</v>
      </c>
      <c r="AD201" s="77">
        <v>8833</v>
      </c>
    </row>
    <row r="202" spans="1:30" ht="13.5" thickBot="1" x14ac:dyDescent="0.25">
      <c r="A202" s="2" t="s">
        <v>604</v>
      </c>
      <c r="B202" s="1" t="s">
        <v>603</v>
      </c>
      <c r="C202" s="2" t="s">
        <v>32</v>
      </c>
      <c r="D202" s="4">
        <v>252</v>
      </c>
      <c r="E202" s="4">
        <v>3993</v>
      </c>
      <c r="F202" s="4">
        <v>29</v>
      </c>
      <c r="G202" s="4">
        <v>413</v>
      </c>
      <c r="H202" s="4">
        <v>60</v>
      </c>
      <c r="I202" s="4">
        <v>979</v>
      </c>
      <c r="J202" s="4">
        <v>7</v>
      </c>
      <c r="K202" s="4">
        <v>185</v>
      </c>
      <c r="L202" s="4">
        <v>979</v>
      </c>
      <c r="M202" s="4">
        <v>114</v>
      </c>
      <c r="N202" s="4">
        <v>1093</v>
      </c>
      <c r="O202" s="4">
        <v>312</v>
      </c>
      <c r="P202" s="4">
        <v>4972</v>
      </c>
      <c r="Q202" s="2" t="s">
        <v>872</v>
      </c>
      <c r="R202" s="4">
        <v>193</v>
      </c>
      <c r="S202" s="4">
        <v>2585</v>
      </c>
      <c r="T202" s="4">
        <v>36</v>
      </c>
      <c r="U202" s="4">
        <v>598</v>
      </c>
      <c r="V202" s="4">
        <v>295</v>
      </c>
      <c r="W202" s="4">
        <v>3056</v>
      </c>
      <c r="X202" s="4">
        <v>171</v>
      </c>
      <c r="Y202" s="4">
        <v>4165</v>
      </c>
      <c r="Z202" s="4">
        <v>814</v>
      </c>
      <c r="AA202" s="4">
        <v>12791</v>
      </c>
      <c r="AB202" s="77">
        <f>Table4[[#This Row],[Total Attendance]]/Table4[[#This Row],[Total Events]]</f>
        <v>15.713759213759214</v>
      </c>
      <c r="AC202" s="77">
        <f>Table4[[#This Row],[Total Attendance]]/AD202</f>
        <v>1.111970790228636</v>
      </c>
      <c r="AD202" s="77">
        <v>11503</v>
      </c>
    </row>
    <row r="203" spans="1:30" ht="13.5" thickBot="1" x14ac:dyDescent="0.25">
      <c r="A203" s="2" t="s">
        <v>630</v>
      </c>
      <c r="B203" s="1" t="s">
        <v>629</v>
      </c>
      <c r="C203" s="2" t="s">
        <v>32</v>
      </c>
      <c r="D203" s="4">
        <v>98</v>
      </c>
      <c r="E203" s="4">
        <v>969</v>
      </c>
      <c r="F203" s="4">
        <v>12</v>
      </c>
      <c r="G203" s="4">
        <v>291</v>
      </c>
      <c r="H203" s="4">
        <v>17</v>
      </c>
      <c r="I203" s="4">
        <v>689</v>
      </c>
      <c r="J203" s="4">
        <v>4</v>
      </c>
      <c r="K203" s="4">
        <v>38</v>
      </c>
      <c r="L203" s="4">
        <v>95</v>
      </c>
      <c r="M203" s="77">
        <v>8</v>
      </c>
      <c r="N203" s="4">
        <v>103</v>
      </c>
      <c r="O203" s="4">
        <v>115</v>
      </c>
      <c r="P203" s="4">
        <v>1658</v>
      </c>
      <c r="Q203" s="2" t="s">
        <v>872</v>
      </c>
      <c r="R203" s="4">
        <v>59</v>
      </c>
      <c r="S203" s="4">
        <v>824</v>
      </c>
      <c r="T203" s="4">
        <v>16</v>
      </c>
      <c r="U203" s="4">
        <v>329</v>
      </c>
      <c r="V203" s="4">
        <v>79</v>
      </c>
      <c r="W203" s="4">
        <v>960</v>
      </c>
      <c r="X203" s="4">
        <v>87</v>
      </c>
      <c r="Y203" s="4">
        <v>1522</v>
      </c>
      <c r="Z203" s="4">
        <v>297</v>
      </c>
      <c r="AA203" s="4">
        <v>4469</v>
      </c>
      <c r="AB203" s="77">
        <f>Table4[[#This Row],[Total Attendance]]/Table4[[#This Row],[Total Events]]</f>
        <v>15.047138047138047</v>
      </c>
      <c r="AC203" s="77">
        <f>Table4[[#This Row],[Total Attendance]]/AD203</f>
        <v>0.50264312225846364</v>
      </c>
      <c r="AD203" s="77">
        <v>8891</v>
      </c>
    </row>
    <row r="204" spans="1:30" ht="13.5" thickBot="1" x14ac:dyDescent="0.25">
      <c r="A204" s="2" t="s">
        <v>638</v>
      </c>
      <c r="B204" s="1" t="s">
        <v>637</v>
      </c>
      <c r="C204" s="2" t="s">
        <v>32</v>
      </c>
      <c r="D204" s="4">
        <v>16</v>
      </c>
      <c r="E204" s="4">
        <v>210</v>
      </c>
      <c r="F204" s="4">
        <v>11</v>
      </c>
      <c r="G204" s="4">
        <v>45</v>
      </c>
      <c r="H204" s="4">
        <v>7</v>
      </c>
      <c r="I204" s="4">
        <v>315</v>
      </c>
      <c r="J204" s="77">
        <v>1</v>
      </c>
      <c r="K204" s="77">
        <v>8</v>
      </c>
      <c r="L204" s="77">
        <v>145</v>
      </c>
      <c r="M204" s="77">
        <v>32</v>
      </c>
      <c r="N204" s="77">
        <v>177</v>
      </c>
      <c r="O204" s="4">
        <v>23</v>
      </c>
      <c r="P204" s="4">
        <v>525</v>
      </c>
      <c r="Q204" s="2" t="s">
        <v>872</v>
      </c>
      <c r="R204" s="78" t="s">
        <v>16</v>
      </c>
      <c r="S204" s="77">
        <v>6</v>
      </c>
      <c r="T204" s="4">
        <v>12</v>
      </c>
      <c r="U204" s="4">
        <v>53</v>
      </c>
      <c r="V204" s="77">
        <v>42</v>
      </c>
      <c r="W204" s="77">
        <v>265</v>
      </c>
      <c r="X204" s="77">
        <v>15</v>
      </c>
      <c r="Y204" s="77">
        <v>317</v>
      </c>
      <c r="Z204" s="4">
        <v>92</v>
      </c>
      <c r="AA204" s="4">
        <v>1160</v>
      </c>
      <c r="AB204" s="77">
        <f>Table4[[#This Row],[Total Attendance]]/Table4[[#This Row],[Total Events]]</f>
        <v>12.608695652173912</v>
      </c>
      <c r="AC204" s="77">
        <f>Table4[[#This Row],[Total Attendance]]/AD204</f>
        <v>0.13578368254711459</v>
      </c>
      <c r="AD204" s="77">
        <v>8543</v>
      </c>
    </row>
    <row r="205" spans="1:30" ht="13.5" thickBot="1" x14ac:dyDescent="0.25">
      <c r="A205" s="2" t="s">
        <v>646</v>
      </c>
      <c r="B205" s="1" t="s">
        <v>645</v>
      </c>
      <c r="C205" s="2" t="s">
        <v>32</v>
      </c>
      <c r="D205" s="4">
        <v>178</v>
      </c>
      <c r="E205" s="4">
        <v>2517</v>
      </c>
      <c r="F205" s="4">
        <v>37</v>
      </c>
      <c r="G205" s="4">
        <v>348</v>
      </c>
      <c r="H205" s="4">
        <v>25</v>
      </c>
      <c r="I205" s="4">
        <v>703</v>
      </c>
      <c r="J205" s="77">
        <v>6</v>
      </c>
      <c r="K205" s="77">
        <v>100</v>
      </c>
      <c r="L205" s="77">
        <v>264</v>
      </c>
      <c r="M205" s="77">
        <v>50</v>
      </c>
      <c r="N205" s="77">
        <v>314</v>
      </c>
      <c r="O205" s="4">
        <v>203</v>
      </c>
      <c r="P205" s="4">
        <v>3220</v>
      </c>
      <c r="Q205" s="2" t="s">
        <v>873</v>
      </c>
      <c r="R205" s="77">
        <v>0</v>
      </c>
      <c r="S205" s="77">
        <v>0</v>
      </c>
      <c r="T205" s="4">
        <v>43</v>
      </c>
      <c r="U205" s="4">
        <v>448</v>
      </c>
      <c r="V205" s="77">
        <v>31</v>
      </c>
      <c r="W205" s="77">
        <v>1794</v>
      </c>
      <c r="X205" s="77">
        <v>28</v>
      </c>
      <c r="Y205" s="77">
        <v>1646</v>
      </c>
      <c r="Z205" s="4">
        <v>305</v>
      </c>
      <c r="AA205" s="4">
        <v>7108</v>
      </c>
      <c r="AB205" s="77">
        <f>Table4[[#This Row],[Total Attendance]]/Table4[[#This Row],[Total Events]]</f>
        <v>23.304918032786887</v>
      </c>
      <c r="AC205" s="77">
        <f>Table4[[#This Row],[Total Attendance]]/AD205</f>
        <v>0.93773087071240102</v>
      </c>
      <c r="AD205" s="77">
        <v>7580</v>
      </c>
    </row>
    <row r="206" spans="1:30" ht="13.5" thickBot="1" x14ac:dyDescent="0.25">
      <c r="A206" s="2" t="s">
        <v>656</v>
      </c>
      <c r="B206" s="1" t="s">
        <v>655</v>
      </c>
      <c r="C206" s="2" t="s">
        <v>32</v>
      </c>
      <c r="D206" s="4">
        <v>27</v>
      </c>
      <c r="E206" s="4">
        <v>858</v>
      </c>
      <c r="F206" s="4">
        <v>0</v>
      </c>
      <c r="G206" s="4">
        <v>0</v>
      </c>
      <c r="H206" s="4">
        <v>8</v>
      </c>
      <c r="I206" s="4">
        <v>209</v>
      </c>
      <c r="J206" s="4">
        <v>5</v>
      </c>
      <c r="K206" s="4">
        <v>48</v>
      </c>
      <c r="L206" s="4">
        <v>62</v>
      </c>
      <c r="M206" s="77">
        <v>10</v>
      </c>
      <c r="N206" s="4">
        <v>72</v>
      </c>
      <c r="O206" s="4">
        <v>35</v>
      </c>
      <c r="P206" s="4">
        <v>1067</v>
      </c>
      <c r="Q206" s="2" t="s">
        <v>872</v>
      </c>
      <c r="R206" s="4">
        <v>14</v>
      </c>
      <c r="S206" s="4">
        <v>179</v>
      </c>
      <c r="T206" s="4">
        <v>5</v>
      </c>
      <c r="U206" s="4">
        <v>48</v>
      </c>
      <c r="V206" s="4">
        <v>5</v>
      </c>
      <c r="W206" s="4">
        <v>102</v>
      </c>
      <c r="X206" s="78" t="s">
        <v>16</v>
      </c>
      <c r="Y206" s="78" t="s">
        <v>16</v>
      </c>
      <c r="Z206" s="4">
        <v>45</v>
      </c>
      <c r="AA206" s="4">
        <v>1217</v>
      </c>
      <c r="AB206" s="77">
        <f>Table4[[#This Row],[Total Attendance]]/Table4[[#This Row],[Total Events]]</f>
        <v>27.044444444444444</v>
      </c>
      <c r="AC206" s="77">
        <f>Table4[[#This Row],[Total Attendance]]/AD206</f>
        <v>0.15399215487789447</v>
      </c>
      <c r="AD206" s="77">
        <v>7903</v>
      </c>
    </row>
    <row r="207" spans="1:30" ht="13.5" thickBot="1" x14ac:dyDescent="0.25">
      <c r="A207" s="2" t="s">
        <v>674</v>
      </c>
      <c r="B207" s="1" t="s">
        <v>673</v>
      </c>
      <c r="C207" s="2" t="s">
        <v>32</v>
      </c>
      <c r="D207" s="4">
        <v>114</v>
      </c>
      <c r="E207" s="4">
        <v>3025</v>
      </c>
      <c r="F207" s="4">
        <v>12</v>
      </c>
      <c r="G207" s="4">
        <v>186</v>
      </c>
      <c r="H207" s="4">
        <v>20</v>
      </c>
      <c r="I207" s="4">
        <v>1083</v>
      </c>
      <c r="J207" s="77">
        <v>3</v>
      </c>
      <c r="K207" s="77">
        <v>29</v>
      </c>
      <c r="L207" s="4">
        <v>116</v>
      </c>
      <c r="M207" s="77">
        <v>27</v>
      </c>
      <c r="N207" s="4">
        <v>143</v>
      </c>
      <c r="O207" s="4">
        <v>134</v>
      </c>
      <c r="P207" s="4">
        <v>4108</v>
      </c>
      <c r="Q207" s="2" t="s">
        <v>872</v>
      </c>
      <c r="R207" s="4">
        <v>53</v>
      </c>
      <c r="S207" s="4">
        <v>540</v>
      </c>
      <c r="T207" s="4">
        <v>15</v>
      </c>
      <c r="U207" s="4">
        <v>215</v>
      </c>
      <c r="V207" s="4">
        <v>26</v>
      </c>
      <c r="W207" s="4">
        <v>363</v>
      </c>
      <c r="X207" s="4">
        <v>0</v>
      </c>
      <c r="Y207" s="4">
        <v>0</v>
      </c>
      <c r="Z207" s="4">
        <v>175</v>
      </c>
      <c r="AA207" s="4">
        <v>4686</v>
      </c>
      <c r="AB207" s="77">
        <f>Table4[[#This Row],[Total Attendance]]/Table4[[#This Row],[Total Events]]</f>
        <v>26.777142857142856</v>
      </c>
      <c r="AC207" s="77">
        <f>Table4[[#This Row],[Total Attendance]]/AD207</f>
        <v>0.40818815331010455</v>
      </c>
      <c r="AD207" s="77">
        <v>11480</v>
      </c>
    </row>
    <row r="208" spans="1:30" ht="13.5" thickBot="1" x14ac:dyDescent="0.25">
      <c r="A208" s="2" t="s">
        <v>676</v>
      </c>
      <c r="B208" s="1" t="s">
        <v>675</v>
      </c>
      <c r="C208" s="2" t="s">
        <v>32</v>
      </c>
      <c r="D208" s="4">
        <v>34</v>
      </c>
      <c r="E208" s="4">
        <v>453</v>
      </c>
      <c r="F208" s="4">
        <v>0</v>
      </c>
      <c r="G208" s="4">
        <v>0</v>
      </c>
      <c r="H208" s="4">
        <v>6</v>
      </c>
      <c r="I208" s="4">
        <v>356</v>
      </c>
      <c r="J208" s="4">
        <v>0</v>
      </c>
      <c r="K208" s="4">
        <v>0</v>
      </c>
      <c r="L208" s="4">
        <v>225</v>
      </c>
      <c r="M208" s="4">
        <v>75</v>
      </c>
      <c r="N208" s="4">
        <v>300</v>
      </c>
      <c r="O208" s="4">
        <v>40</v>
      </c>
      <c r="P208" s="4">
        <v>809</v>
      </c>
      <c r="Q208" s="2" t="s">
        <v>872</v>
      </c>
      <c r="R208" s="77">
        <v>15</v>
      </c>
      <c r="S208" s="4">
        <v>130</v>
      </c>
      <c r="T208" s="4">
        <v>0</v>
      </c>
      <c r="U208" s="4">
        <v>0</v>
      </c>
      <c r="V208" s="4">
        <v>48</v>
      </c>
      <c r="W208" s="4">
        <v>389</v>
      </c>
      <c r="X208" s="4">
        <v>0</v>
      </c>
      <c r="Y208" s="4">
        <v>0</v>
      </c>
      <c r="Z208" s="4">
        <v>88</v>
      </c>
      <c r="AA208" s="4">
        <v>1198</v>
      </c>
      <c r="AB208" s="77">
        <f>Table4[[#This Row],[Total Attendance]]/Table4[[#This Row],[Total Events]]</f>
        <v>13.613636363636363</v>
      </c>
      <c r="AC208" s="77">
        <f>Table4[[#This Row],[Total Attendance]]/AD208</f>
        <v>0.15362913567581432</v>
      </c>
      <c r="AD208" s="77">
        <v>7798</v>
      </c>
    </row>
    <row r="209" spans="1:30" ht="13.5" thickBot="1" x14ac:dyDescent="0.25">
      <c r="A209" s="2" t="s">
        <v>684</v>
      </c>
      <c r="B209" s="1" t="s">
        <v>683</v>
      </c>
      <c r="C209" s="2" t="s">
        <v>32</v>
      </c>
      <c r="D209" s="4">
        <v>54</v>
      </c>
      <c r="E209" s="4">
        <v>1125</v>
      </c>
      <c r="F209" s="4">
        <v>14</v>
      </c>
      <c r="G209" s="4">
        <v>78</v>
      </c>
      <c r="H209" s="4">
        <v>13</v>
      </c>
      <c r="I209" s="4">
        <v>633</v>
      </c>
      <c r="J209" s="4">
        <v>4</v>
      </c>
      <c r="K209" s="4">
        <v>51</v>
      </c>
      <c r="L209" s="4">
        <v>352</v>
      </c>
      <c r="M209" s="77">
        <v>121</v>
      </c>
      <c r="N209" s="4">
        <v>473</v>
      </c>
      <c r="O209" s="4">
        <v>67</v>
      </c>
      <c r="P209" s="4">
        <v>1758</v>
      </c>
      <c r="Q209" s="2" t="s">
        <v>872</v>
      </c>
      <c r="R209" s="4">
        <v>38</v>
      </c>
      <c r="S209" s="4">
        <v>870</v>
      </c>
      <c r="T209" s="4">
        <v>18</v>
      </c>
      <c r="U209" s="4">
        <v>129</v>
      </c>
      <c r="V209" s="4">
        <v>39</v>
      </c>
      <c r="W209" s="4">
        <v>448</v>
      </c>
      <c r="X209" s="77">
        <v>2</v>
      </c>
      <c r="Y209" s="77">
        <v>497</v>
      </c>
      <c r="Z209" s="4">
        <v>126</v>
      </c>
      <c r="AA209" s="4">
        <v>2832</v>
      </c>
      <c r="AB209" s="77">
        <f>Table4[[#This Row],[Total Attendance]]/Table4[[#This Row],[Total Events]]</f>
        <v>22.476190476190474</v>
      </c>
      <c r="AC209" s="77">
        <f>Table4[[#This Row],[Total Attendance]]/AD209</f>
        <v>0.38493951338860949</v>
      </c>
      <c r="AD209" s="77">
        <v>7357</v>
      </c>
    </row>
    <row r="210" spans="1:30" ht="13.5" thickBot="1" x14ac:dyDescent="0.25">
      <c r="A210" s="2" t="s">
        <v>690</v>
      </c>
      <c r="B210" s="1" t="s">
        <v>689</v>
      </c>
      <c r="C210" s="2" t="s">
        <v>32</v>
      </c>
      <c r="D210" s="77">
        <v>8</v>
      </c>
      <c r="E210" s="77">
        <v>500</v>
      </c>
      <c r="F210" s="77">
        <v>1</v>
      </c>
      <c r="G210" s="77">
        <v>50</v>
      </c>
      <c r="H210" s="77">
        <v>8</v>
      </c>
      <c r="I210" s="77">
        <v>450</v>
      </c>
      <c r="J210" s="77">
        <v>1</v>
      </c>
      <c r="K210" s="77">
        <v>50</v>
      </c>
      <c r="L210" s="77">
        <v>175</v>
      </c>
      <c r="M210" s="77">
        <v>25</v>
      </c>
      <c r="N210" s="77">
        <v>200</v>
      </c>
      <c r="O210" s="77">
        <v>16</v>
      </c>
      <c r="P210" s="77">
        <v>950</v>
      </c>
      <c r="Q210" s="2" t="s">
        <v>872</v>
      </c>
      <c r="R210" s="77">
        <v>8</v>
      </c>
      <c r="S210" s="77">
        <v>200</v>
      </c>
      <c r="T210" s="77">
        <v>2</v>
      </c>
      <c r="U210" s="77">
        <v>100</v>
      </c>
      <c r="V210" s="77">
        <v>10</v>
      </c>
      <c r="W210" s="77">
        <v>300</v>
      </c>
      <c r="X210" s="77">
        <v>0</v>
      </c>
      <c r="Y210" s="77">
        <v>0</v>
      </c>
      <c r="Z210" s="77">
        <v>28</v>
      </c>
      <c r="AA210" s="77">
        <v>1350</v>
      </c>
      <c r="AB210" s="77">
        <f>Table4[[#This Row],[Total Attendance]]/Table4[[#This Row],[Total Events]]</f>
        <v>48.214285714285715</v>
      </c>
      <c r="AC210" s="77">
        <f>Table4[[#This Row],[Total Attendance]]/AD210</f>
        <v>0.19006053780092919</v>
      </c>
      <c r="AD210" s="77">
        <v>7103</v>
      </c>
    </row>
    <row r="211" spans="1:30" ht="13.5" thickBot="1" x14ac:dyDescent="0.25">
      <c r="A211" s="2" t="s">
        <v>694</v>
      </c>
      <c r="B211" s="1" t="s">
        <v>693</v>
      </c>
      <c r="C211" s="2" t="s">
        <v>32</v>
      </c>
      <c r="D211" s="4">
        <v>60</v>
      </c>
      <c r="E211" s="4">
        <v>1300</v>
      </c>
      <c r="F211" s="4">
        <v>12</v>
      </c>
      <c r="G211" s="4">
        <v>75</v>
      </c>
      <c r="H211" s="4">
        <v>22</v>
      </c>
      <c r="I211" s="4">
        <v>750</v>
      </c>
      <c r="J211" s="77">
        <v>14</v>
      </c>
      <c r="K211" s="77">
        <v>96</v>
      </c>
      <c r="L211" s="77">
        <v>310</v>
      </c>
      <c r="M211" s="77">
        <v>200</v>
      </c>
      <c r="N211" s="77">
        <v>510</v>
      </c>
      <c r="O211" s="4">
        <v>82</v>
      </c>
      <c r="P211" s="4">
        <v>2050</v>
      </c>
      <c r="Q211" s="2" t="s">
        <v>872</v>
      </c>
      <c r="R211" s="77">
        <v>50</v>
      </c>
      <c r="S211" s="77">
        <v>200</v>
      </c>
      <c r="T211" s="4">
        <v>26</v>
      </c>
      <c r="U211" s="4">
        <v>171</v>
      </c>
      <c r="V211" s="77">
        <v>65</v>
      </c>
      <c r="W211" s="77">
        <v>1100</v>
      </c>
      <c r="X211" s="77">
        <v>3</v>
      </c>
      <c r="Y211" s="77">
        <v>350</v>
      </c>
      <c r="Z211" s="4">
        <v>176</v>
      </c>
      <c r="AA211" s="4">
        <v>3671</v>
      </c>
      <c r="AB211" s="77">
        <f>Table4[[#This Row],[Total Attendance]]/Table4[[#This Row],[Total Events]]</f>
        <v>20.857954545454547</v>
      </c>
      <c r="AC211" s="77">
        <f>Table4[[#This Row],[Total Attendance]]/AD211</f>
        <v>0.36647698911849858</v>
      </c>
      <c r="AD211" s="77">
        <v>10017</v>
      </c>
    </row>
    <row r="212" spans="1:30" ht="13.5" thickBot="1" x14ac:dyDescent="0.25">
      <c r="A212" s="2" t="s">
        <v>700</v>
      </c>
      <c r="B212" s="1" t="s">
        <v>699</v>
      </c>
      <c r="C212" s="2" t="s">
        <v>32</v>
      </c>
      <c r="D212" s="4">
        <v>51</v>
      </c>
      <c r="E212" s="4">
        <v>813</v>
      </c>
      <c r="F212" s="4">
        <v>12</v>
      </c>
      <c r="G212" s="4">
        <v>123</v>
      </c>
      <c r="H212" s="4">
        <v>19</v>
      </c>
      <c r="I212" s="4">
        <v>543</v>
      </c>
      <c r="J212" s="77">
        <v>6</v>
      </c>
      <c r="K212" s="77">
        <v>69</v>
      </c>
      <c r="L212" s="4">
        <v>78</v>
      </c>
      <c r="M212" s="77">
        <v>23</v>
      </c>
      <c r="N212" s="4">
        <v>101</v>
      </c>
      <c r="O212" s="4">
        <v>70</v>
      </c>
      <c r="P212" s="4">
        <v>1356</v>
      </c>
      <c r="Q212" s="2" t="s">
        <v>872</v>
      </c>
      <c r="R212" s="4">
        <v>27</v>
      </c>
      <c r="S212" s="4">
        <v>315</v>
      </c>
      <c r="T212" s="4">
        <v>18</v>
      </c>
      <c r="U212" s="4">
        <v>192</v>
      </c>
      <c r="V212" s="4">
        <v>16</v>
      </c>
      <c r="W212" s="4">
        <v>243</v>
      </c>
      <c r="X212" s="4">
        <v>47</v>
      </c>
      <c r="Y212" s="4">
        <v>1366</v>
      </c>
      <c r="Z212" s="4">
        <v>151</v>
      </c>
      <c r="AA212" s="4">
        <v>3157</v>
      </c>
      <c r="AB212" s="77">
        <f>Table4[[#This Row],[Total Attendance]]/Table4[[#This Row],[Total Events]]</f>
        <v>20.90728476821192</v>
      </c>
      <c r="AC212" s="77">
        <f>Table4[[#This Row],[Total Attendance]]/AD212</f>
        <v>0.43413091309130913</v>
      </c>
      <c r="AD212" s="77">
        <v>7272</v>
      </c>
    </row>
    <row r="213" spans="1:30" ht="13.5" thickBot="1" x14ac:dyDescent="0.25">
      <c r="A213" s="2" t="s">
        <v>706</v>
      </c>
      <c r="B213" s="1" t="s">
        <v>705</v>
      </c>
      <c r="C213" s="2" t="s">
        <v>32</v>
      </c>
      <c r="D213" s="77">
        <v>40</v>
      </c>
      <c r="E213" s="77">
        <v>422</v>
      </c>
      <c r="F213" s="77">
        <v>0</v>
      </c>
      <c r="G213" s="77">
        <v>34</v>
      </c>
      <c r="H213" s="77">
        <v>7</v>
      </c>
      <c r="I213" s="77">
        <v>93</v>
      </c>
      <c r="J213" s="77">
        <v>0</v>
      </c>
      <c r="K213" s="77">
        <v>0</v>
      </c>
      <c r="L213" s="77">
        <v>18</v>
      </c>
      <c r="M213" s="77">
        <v>0</v>
      </c>
      <c r="N213" s="77">
        <v>18</v>
      </c>
      <c r="O213" s="77">
        <v>47</v>
      </c>
      <c r="P213" s="77">
        <v>515</v>
      </c>
      <c r="Q213" s="2" t="s">
        <v>872</v>
      </c>
      <c r="R213" s="77">
        <v>40</v>
      </c>
      <c r="S213" s="77">
        <v>422</v>
      </c>
      <c r="T213" s="77">
        <v>0</v>
      </c>
      <c r="U213" s="77">
        <v>34</v>
      </c>
      <c r="V213" s="77">
        <v>3</v>
      </c>
      <c r="W213" s="77">
        <v>49</v>
      </c>
      <c r="X213" s="77">
        <v>13</v>
      </c>
      <c r="Y213" s="77">
        <v>147</v>
      </c>
      <c r="Z213" s="77">
        <v>63</v>
      </c>
      <c r="AA213" s="77">
        <v>745</v>
      </c>
      <c r="AB213" s="77">
        <f>Table4[[#This Row],[Total Attendance]]/Table4[[#This Row],[Total Events]]</f>
        <v>11.825396825396826</v>
      </c>
      <c r="AC213" s="77">
        <f>Table4[[#This Row],[Total Attendance]]/AD213</f>
        <v>6.5482992001406351E-2</v>
      </c>
      <c r="AD213" s="77">
        <v>11377</v>
      </c>
    </row>
    <row r="214" spans="1:30" ht="13.5" thickBot="1" x14ac:dyDescent="0.25">
      <c r="A214" s="2" t="s">
        <v>718</v>
      </c>
      <c r="B214" s="1" t="s">
        <v>717</v>
      </c>
      <c r="C214" s="2" t="s">
        <v>32</v>
      </c>
      <c r="D214" s="4">
        <v>53</v>
      </c>
      <c r="E214" s="4">
        <v>1573</v>
      </c>
      <c r="F214" s="4">
        <v>3</v>
      </c>
      <c r="G214" s="4">
        <v>18</v>
      </c>
      <c r="H214" s="4">
        <v>6</v>
      </c>
      <c r="I214" s="4">
        <v>280</v>
      </c>
      <c r="J214" s="77">
        <v>6</v>
      </c>
      <c r="K214" s="77">
        <v>54</v>
      </c>
      <c r="L214" s="4">
        <v>163</v>
      </c>
      <c r="M214" s="77">
        <v>17</v>
      </c>
      <c r="N214" s="4">
        <v>180</v>
      </c>
      <c r="O214" s="4">
        <v>59</v>
      </c>
      <c r="P214" s="4">
        <v>1853</v>
      </c>
      <c r="Q214" s="2" t="s">
        <v>872</v>
      </c>
      <c r="R214" s="4">
        <v>35</v>
      </c>
      <c r="S214" s="4">
        <v>912</v>
      </c>
      <c r="T214" s="4">
        <v>9</v>
      </c>
      <c r="U214" s="4">
        <v>72</v>
      </c>
      <c r="V214" s="4">
        <v>17</v>
      </c>
      <c r="W214" s="4">
        <v>222</v>
      </c>
      <c r="X214" s="4">
        <v>23</v>
      </c>
      <c r="Y214" s="4">
        <v>592</v>
      </c>
      <c r="Z214" s="4">
        <v>108</v>
      </c>
      <c r="AA214" s="4">
        <v>2739</v>
      </c>
      <c r="AB214" s="77">
        <f>Table4[[#This Row],[Total Attendance]]/Table4[[#This Row],[Total Events]]</f>
        <v>25.361111111111111</v>
      </c>
      <c r="AC214" s="77">
        <f>Table4[[#This Row],[Total Attendance]]/AD214</f>
        <v>0.32661578821845932</v>
      </c>
      <c r="AD214" s="77">
        <v>8386</v>
      </c>
    </row>
    <row r="215" spans="1:30" ht="13.5" thickBot="1" x14ac:dyDescent="0.25">
      <c r="A215" s="2" t="s">
        <v>724</v>
      </c>
      <c r="B215" s="1" t="s">
        <v>723</v>
      </c>
      <c r="C215" s="2" t="s">
        <v>32</v>
      </c>
      <c r="D215" s="4">
        <v>80</v>
      </c>
      <c r="E215" s="4">
        <v>1767</v>
      </c>
      <c r="F215" s="4">
        <v>0</v>
      </c>
      <c r="G215" s="4">
        <v>0</v>
      </c>
      <c r="H215" s="4">
        <v>13</v>
      </c>
      <c r="I215" s="4">
        <v>175</v>
      </c>
      <c r="J215" s="77">
        <v>2</v>
      </c>
      <c r="K215" s="77">
        <v>20</v>
      </c>
      <c r="L215" s="77">
        <v>298</v>
      </c>
      <c r="M215" s="77">
        <v>25</v>
      </c>
      <c r="N215" s="77">
        <v>323</v>
      </c>
      <c r="O215" s="4">
        <v>93</v>
      </c>
      <c r="P215" s="4">
        <v>1942</v>
      </c>
      <c r="Q215" s="2" t="s">
        <v>872</v>
      </c>
      <c r="R215" s="77">
        <v>70</v>
      </c>
      <c r="S215" s="77">
        <v>1430</v>
      </c>
      <c r="T215" s="4">
        <v>2</v>
      </c>
      <c r="U215" s="4">
        <v>20</v>
      </c>
      <c r="V215" s="77">
        <v>5</v>
      </c>
      <c r="W215" s="77">
        <v>273</v>
      </c>
      <c r="X215" s="77">
        <v>0</v>
      </c>
      <c r="Y215" s="77">
        <v>0</v>
      </c>
      <c r="Z215" s="4">
        <v>100</v>
      </c>
      <c r="AA215" s="4">
        <v>2235</v>
      </c>
      <c r="AB215" s="77">
        <f>Table4[[#This Row],[Total Attendance]]/Table4[[#This Row],[Total Events]]</f>
        <v>22.35</v>
      </c>
      <c r="AC215" s="77">
        <f>Table4[[#This Row],[Total Attendance]]/AD215</f>
        <v>0.24533479692645443</v>
      </c>
      <c r="AD215" s="77">
        <v>9110</v>
      </c>
    </row>
    <row r="216" spans="1:30" ht="13.5" thickBot="1" x14ac:dyDescent="0.25">
      <c r="A216" s="2" t="s">
        <v>726</v>
      </c>
      <c r="B216" s="1" t="s">
        <v>725</v>
      </c>
      <c r="C216" s="2" t="s">
        <v>32</v>
      </c>
      <c r="D216" s="4">
        <v>94</v>
      </c>
      <c r="E216" s="4">
        <v>2156</v>
      </c>
      <c r="F216" s="4">
        <v>3</v>
      </c>
      <c r="G216" s="4">
        <v>20</v>
      </c>
      <c r="H216" s="4">
        <v>8</v>
      </c>
      <c r="I216" s="4">
        <v>532</v>
      </c>
      <c r="J216" s="4">
        <v>2</v>
      </c>
      <c r="K216" s="4">
        <v>17</v>
      </c>
      <c r="L216" s="4">
        <v>108</v>
      </c>
      <c r="M216" s="77">
        <v>28</v>
      </c>
      <c r="N216" s="4">
        <v>136</v>
      </c>
      <c r="O216" s="4">
        <v>102</v>
      </c>
      <c r="P216" s="4">
        <v>2688</v>
      </c>
      <c r="Q216" s="2" t="s">
        <v>872</v>
      </c>
      <c r="R216" s="4">
        <v>66</v>
      </c>
      <c r="S216" s="4">
        <v>1599</v>
      </c>
      <c r="T216" s="4">
        <v>5</v>
      </c>
      <c r="U216" s="4">
        <v>37</v>
      </c>
      <c r="V216" s="77">
        <v>19</v>
      </c>
      <c r="W216" s="77">
        <v>695</v>
      </c>
      <c r="X216" s="77">
        <v>2</v>
      </c>
      <c r="Y216" s="77">
        <v>140</v>
      </c>
      <c r="Z216" s="4">
        <v>128</v>
      </c>
      <c r="AA216" s="4">
        <v>3560</v>
      </c>
      <c r="AB216" s="77">
        <f>Table4[[#This Row],[Total Attendance]]/Table4[[#This Row],[Total Events]]</f>
        <v>27.8125</v>
      </c>
      <c r="AC216" s="77">
        <f>Table4[[#This Row],[Total Attendance]]/AD216</f>
        <v>0.36910316226023848</v>
      </c>
      <c r="AD216" s="77">
        <v>9645</v>
      </c>
    </row>
    <row r="217" spans="1:30" ht="13.5" thickBot="1" x14ac:dyDescent="0.25">
      <c r="A217" s="2" t="s">
        <v>742</v>
      </c>
      <c r="B217" s="1" t="s">
        <v>741</v>
      </c>
      <c r="C217" s="2" t="s">
        <v>32</v>
      </c>
      <c r="D217" s="4">
        <v>37</v>
      </c>
      <c r="E217" s="4">
        <v>1486</v>
      </c>
      <c r="F217" s="4">
        <v>0</v>
      </c>
      <c r="G217" s="4">
        <v>0</v>
      </c>
      <c r="H217" s="4">
        <v>12</v>
      </c>
      <c r="I217" s="4">
        <v>573</v>
      </c>
      <c r="J217" s="77">
        <v>0</v>
      </c>
      <c r="K217" s="77">
        <v>0</v>
      </c>
      <c r="L217" s="4">
        <v>58</v>
      </c>
      <c r="M217" s="78" t="s">
        <v>16</v>
      </c>
      <c r="N217" s="4">
        <v>58</v>
      </c>
      <c r="O217" s="4">
        <v>49</v>
      </c>
      <c r="P217" s="4">
        <v>2059</v>
      </c>
      <c r="Q217" s="2" t="s">
        <v>873</v>
      </c>
      <c r="R217" s="77">
        <v>0</v>
      </c>
      <c r="S217" s="77">
        <v>0</v>
      </c>
      <c r="T217" s="4">
        <v>0</v>
      </c>
      <c r="U217" s="4">
        <v>0</v>
      </c>
      <c r="V217" s="4">
        <v>20</v>
      </c>
      <c r="W217" s="4">
        <v>388</v>
      </c>
      <c r="X217" s="4">
        <v>15</v>
      </c>
      <c r="Y217" s="4">
        <v>3142</v>
      </c>
      <c r="Z217" s="4">
        <v>84</v>
      </c>
      <c r="AA217" s="4">
        <v>5589</v>
      </c>
      <c r="AB217" s="77">
        <f>Table4[[#This Row],[Total Attendance]]/Table4[[#This Row],[Total Events]]</f>
        <v>66.535714285714292</v>
      </c>
      <c r="AC217" s="77">
        <f>Table4[[#This Row],[Total Attendance]]/AD217</f>
        <v>0.60090312869583917</v>
      </c>
      <c r="AD217" s="77">
        <v>9301</v>
      </c>
    </row>
    <row r="218" spans="1:30" ht="13.5" thickBot="1" x14ac:dyDescent="0.25">
      <c r="A218" s="2" t="s">
        <v>747</v>
      </c>
      <c r="B218" s="1" t="s">
        <v>746</v>
      </c>
      <c r="C218" s="2" t="s">
        <v>32</v>
      </c>
      <c r="D218" s="4">
        <v>48</v>
      </c>
      <c r="E218" s="4">
        <v>558</v>
      </c>
      <c r="F218" s="4">
        <v>33</v>
      </c>
      <c r="G218" s="4">
        <v>297</v>
      </c>
      <c r="H218" s="4">
        <v>13</v>
      </c>
      <c r="I218" s="4">
        <v>146</v>
      </c>
      <c r="J218" s="77">
        <v>7</v>
      </c>
      <c r="K218" s="77">
        <v>43</v>
      </c>
      <c r="L218" s="77">
        <v>34</v>
      </c>
      <c r="M218" s="77">
        <v>8</v>
      </c>
      <c r="N218" s="77">
        <v>42</v>
      </c>
      <c r="O218" s="4">
        <v>61</v>
      </c>
      <c r="P218" s="4">
        <v>704</v>
      </c>
      <c r="Q218" s="2" t="s">
        <v>872</v>
      </c>
      <c r="R218" s="4">
        <v>40</v>
      </c>
      <c r="S218" s="4">
        <v>326</v>
      </c>
      <c r="T218" s="4">
        <v>40</v>
      </c>
      <c r="U218" s="4">
        <v>340</v>
      </c>
      <c r="V218" s="4">
        <v>13</v>
      </c>
      <c r="W218" s="4">
        <v>133</v>
      </c>
      <c r="X218" s="77">
        <v>10</v>
      </c>
      <c r="Y218" s="77">
        <v>56</v>
      </c>
      <c r="Z218" s="4">
        <v>124</v>
      </c>
      <c r="AA218" s="4">
        <v>1233</v>
      </c>
      <c r="AB218" s="77">
        <f>Table4[[#This Row],[Total Attendance]]/Table4[[#This Row],[Total Events]]</f>
        <v>9.943548387096774</v>
      </c>
      <c r="AC218" s="77">
        <f>Table4[[#This Row],[Total Attendance]]/AD218</f>
        <v>0.15705005731753915</v>
      </c>
      <c r="AD218" s="77">
        <v>7851</v>
      </c>
    </row>
    <row r="219" spans="1:30" ht="13.5" thickBot="1" x14ac:dyDescent="0.25">
      <c r="A219" s="2" t="s">
        <v>749</v>
      </c>
      <c r="B219" s="1" t="s">
        <v>748</v>
      </c>
      <c r="C219" s="2" t="s">
        <v>32</v>
      </c>
      <c r="D219" s="4">
        <v>115</v>
      </c>
      <c r="E219" s="4">
        <v>1126</v>
      </c>
      <c r="F219" s="4">
        <v>0</v>
      </c>
      <c r="G219" s="4">
        <v>0</v>
      </c>
      <c r="H219" s="4">
        <v>9</v>
      </c>
      <c r="I219" s="4">
        <v>154</v>
      </c>
      <c r="J219" s="4">
        <v>0</v>
      </c>
      <c r="K219" s="4">
        <v>0</v>
      </c>
      <c r="L219" s="77">
        <v>119</v>
      </c>
      <c r="M219" s="77">
        <v>34</v>
      </c>
      <c r="N219" s="77">
        <v>153</v>
      </c>
      <c r="O219" s="4">
        <v>124</v>
      </c>
      <c r="P219" s="4">
        <v>1280</v>
      </c>
      <c r="Q219" s="2" t="s">
        <v>872</v>
      </c>
      <c r="R219" s="4">
        <v>80</v>
      </c>
      <c r="S219" s="4">
        <v>674</v>
      </c>
      <c r="T219" s="4">
        <v>0</v>
      </c>
      <c r="U219" s="4">
        <v>0</v>
      </c>
      <c r="V219" s="4">
        <v>80</v>
      </c>
      <c r="W219" s="4">
        <v>1932</v>
      </c>
      <c r="X219" s="77">
        <v>10</v>
      </c>
      <c r="Y219" s="77">
        <v>197</v>
      </c>
      <c r="Z219" s="4">
        <v>214</v>
      </c>
      <c r="AA219" s="4">
        <v>3409</v>
      </c>
      <c r="AB219" s="77">
        <f>Table4[[#This Row],[Total Attendance]]/Table4[[#This Row],[Total Events]]</f>
        <v>15.929906542056075</v>
      </c>
      <c r="AC219" s="77">
        <f>Table4[[#This Row],[Total Attendance]]/AD219</f>
        <v>0.33258536585365855</v>
      </c>
      <c r="AD219" s="77">
        <v>10250</v>
      </c>
    </row>
    <row r="220" spans="1:30" ht="13.5" thickBot="1" x14ac:dyDescent="0.25">
      <c r="A220" s="2" t="s">
        <v>759</v>
      </c>
      <c r="B220" s="1" t="s">
        <v>758</v>
      </c>
      <c r="C220" s="2" t="s">
        <v>32</v>
      </c>
      <c r="D220" s="4">
        <v>129</v>
      </c>
      <c r="E220" s="4">
        <v>2665</v>
      </c>
      <c r="F220" s="4">
        <v>15</v>
      </c>
      <c r="G220" s="4">
        <v>42</v>
      </c>
      <c r="H220" s="4">
        <v>10</v>
      </c>
      <c r="I220" s="4">
        <v>304</v>
      </c>
      <c r="J220" s="77">
        <v>3</v>
      </c>
      <c r="K220" s="77">
        <v>16</v>
      </c>
      <c r="L220" s="77">
        <v>122</v>
      </c>
      <c r="M220" s="77">
        <v>11</v>
      </c>
      <c r="N220" s="77">
        <v>133</v>
      </c>
      <c r="O220" s="4">
        <v>139</v>
      </c>
      <c r="P220" s="4">
        <v>2969</v>
      </c>
      <c r="Q220" s="2" t="s">
        <v>872</v>
      </c>
      <c r="R220" s="77">
        <v>47</v>
      </c>
      <c r="S220" s="77">
        <v>439</v>
      </c>
      <c r="T220" s="4">
        <v>18</v>
      </c>
      <c r="U220" s="4">
        <v>58</v>
      </c>
      <c r="V220" s="77">
        <v>17</v>
      </c>
      <c r="W220" s="77">
        <v>120</v>
      </c>
      <c r="X220" s="77">
        <v>5</v>
      </c>
      <c r="Y220" s="77">
        <v>162</v>
      </c>
      <c r="Z220" s="4">
        <v>179</v>
      </c>
      <c r="AA220" s="4">
        <v>3309</v>
      </c>
      <c r="AB220" s="77">
        <f>Table4[[#This Row],[Total Attendance]]/Table4[[#This Row],[Total Events]]</f>
        <v>18.486033519553072</v>
      </c>
      <c r="AC220" s="77">
        <f>Table4[[#This Row],[Total Attendance]]/AD220</f>
        <v>0.31035453010692177</v>
      </c>
      <c r="AD220" s="77">
        <v>10662</v>
      </c>
    </row>
    <row r="221" spans="1:30" ht="13.5" thickBot="1" x14ac:dyDescent="0.25">
      <c r="A221" s="2" t="s">
        <v>763</v>
      </c>
      <c r="B221" s="1" t="s">
        <v>762</v>
      </c>
      <c r="C221" s="2" t="s">
        <v>32</v>
      </c>
      <c r="D221" s="4">
        <v>37</v>
      </c>
      <c r="E221" s="4">
        <v>588</v>
      </c>
      <c r="F221" s="4">
        <v>0</v>
      </c>
      <c r="G221" s="4">
        <v>0</v>
      </c>
      <c r="H221" s="4">
        <v>7</v>
      </c>
      <c r="I221" s="4">
        <v>312</v>
      </c>
      <c r="J221" s="77">
        <v>0</v>
      </c>
      <c r="K221" s="77">
        <v>0</v>
      </c>
      <c r="L221" s="4">
        <v>296</v>
      </c>
      <c r="M221" s="77">
        <v>80</v>
      </c>
      <c r="N221" s="4">
        <v>376</v>
      </c>
      <c r="O221" s="4">
        <v>44</v>
      </c>
      <c r="P221" s="4">
        <v>900</v>
      </c>
      <c r="Q221" s="2" t="s">
        <v>872</v>
      </c>
      <c r="R221" s="4">
        <v>33</v>
      </c>
      <c r="S221" s="4">
        <v>370</v>
      </c>
      <c r="T221" s="4">
        <v>0</v>
      </c>
      <c r="U221" s="4">
        <v>0</v>
      </c>
      <c r="V221" s="4">
        <v>22</v>
      </c>
      <c r="W221" s="4">
        <v>170</v>
      </c>
      <c r="X221" s="77">
        <v>1</v>
      </c>
      <c r="Y221" s="77">
        <v>30</v>
      </c>
      <c r="Z221" s="4">
        <v>67</v>
      </c>
      <c r="AA221" s="4">
        <v>1100</v>
      </c>
      <c r="AB221" s="77">
        <f>Table4[[#This Row],[Total Attendance]]/Table4[[#This Row],[Total Events]]</f>
        <v>16.417910447761194</v>
      </c>
      <c r="AC221" s="77">
        <f>Table4[[#This Row],[Total Attendance]]/AD221</f>
        <v>9.1781393408427198E-2</v>
      </c>
      <c r="AD221" s="77">
        <v>11985</v>
      </c>
    </row>
    <row r="222" spans="1:30" ht="13.5" thickBot="1" x14ac:dyDescent="0.25">
      <c r="A222" s="2" t="s">
        <v>765</v>
      </c>
      <c r="B222" s="1" t="s">
        <v>764</v>
      </c>
      <c r="C222" s="2" t="s">
        <v>32</v>
      </c>
      <c r="D222" s="4">
        <v>85</v>
      </c>
      <c r="E222" s="4">
        <v>2568</v>
      </c>
      <c r="F222" s="4">
        <v>0</v>
      </c>
      <c r="G222" s="4">
        <v>0</v>
      </c>
      <c r="H222" s="4">
        <v>6</v>
      </c>
      <c r="I222" s="4">
        <v>468</v>
      </c>
      <c r="J222" s="77">
        <v>0</v>
      </c>
      <c r="K222" s="77">
        <v>0</v>
      </c>
      <c r="L222" s="77">
        <v>124</v>
      </c>
      <c r="M222" s="77">
        <v>0</v>
      </c>
      <c r="N222" s="77">
        <v>124</v>
      </c>
      <c r="O222" s="4">
        <v>91</v>
      </c>
      <c r="P222" s="4">
        <v>3036</v>
      </c>
      <c r="Q222" s="2" t="s">
        <v>872</v>
      </c>
      <c r="R222" s="77">
        <v>82</v>
      </c>
      <c r="S222" s="77">
        <v>2100</v>
      </c>
      <c r="T222" s="4">
        <v>0</v>
      </c>
      <c r="U222" s="4">
        <v>0</v>
      </c>
      <c r="V222" s="4">
        <v>27</v>
      </c>
      <c r="W222" s="4">
        <v>202</v>
      </c>
      <c r="X222" s="77">
        <v>0</v>
      </c>
      <c r="Y222" s="77">
        <v>0</v>
      </c>
      <c r="Z222" s="4">
        <v>118</v>
      </c>
      <c r="AA222" s="4">
        <v>3238</v>
      </c>
      <c r="AB222" s="77">
        <f>Table4[[#This Row],[Total Attendance]]/Table4[[#This Row],[Total Events]]</f>
        <v>27.440677966101696</v>
      </c>
      <c r="AC222" s="77">
        <f>Table4[[#This Row],[Total Attendance]]/AD222</f>
        <v>0.3974469129741009</v>
      </c>
      <c r="AD222" s="77">
        <v>8147</v>
      </c>
    </row>
    <row r="223" spans="1:30" ht="13.5" thickBot="1" x14ac:dyDescent="0.25">
      <c r="A223" s="2" t="s">
        <v>773</v>
      </c>
      <c r="B223" s="1" t="s">
        <v>772</v>
      </c>
      <c r="C223" s="2" t="s">
        <v>32</v>
      </c>
      <c r="D223" s="77">
        <v>80</v>
      </c>
      <c r="E223" s="77">
        <v>1617</v>
      </c>
      <c r="F223" s="77">
        <v>48</v>
      </c>
      <c r="G223" s="77">
        <v>290</v>
      </c>
      <c r="H223" s="77">
        <v>28</v>
      </c>
      <c r="I223" s="77">
        <v>3205</v>
      </c>
      <c r="J223" s="77">
        <v>7</v>
      </c>
      <c r="K223" s="77">
        <v>142</v>
      </c>
      <c r="L223" s="77">
        <v>401</v>
      </c>
      <c r="M223" s="77">
        <v>68</v>
      </c>
      <c r="N223" s="77">
        <v>469</v>
      </c>
      <c r="O223" s="77">
        <v>108</v>
      </c>
      <c r="P223" s="77">
        <v>4822</v>
      </c>
      <c r="Q223" s="2" t="s">
        <v>872</v>
      </c>
      <c r="R223" s="77">
        <v>62</v>
      </c>
      <c r="S223" s="77">
        <v>639</v>
      </c>
      <c r="T223" s="77">
        <v>55</v>
      </c>
      <c r="U223" s="77">
        <v>432</v>
      </c>
      <c r="V223" s="77">
        <v>42</v>
      </c>
      <c r="W223" s="77">
        <v>729</v>
      </c>
      <c r="X223" s="77">
        <v>8</v>
      </c>
      <c r="Y223" s="77">
        <v>1126</v>
      </c>
      <c r="Z223" s="77">
        <v>213</v>
      </c>
      <c r="AA223" s="77">
        <v>7109</v>
      </c>
      <c r="AB223" s="77">
        <f>Table4[[#This Row],[Total Attendance]]/Table4[[#This Row],[Total Events]]</f>
        <v>33.375586854460096</v>
      </c>
      <c r="AC223" s="77">
        <f>Table4[[#This Row],[Total Attendance]]/AD223</f>
        <v>0.73183034795141033</v>
      </c>
      <c r="AD223" s="77">
        <v>9714</v>
      </c>
    </row>
    <row r="224" spans="1:30" ht="13.5" thickBot="1" x14ac:dyDescent="0.25">
      <c r="A224" s="2" t="s">
        <v>803</v>
      </c>
      <c r="B224" s="1" t="s">
        <v>802</v>
      </c>
      <c r="C224" s="2" t="s">
        <v>32</v>
      </c>
      <c r="D224" s="77">
        <v>10</v>
      </c>
      <c r="E224" s="77">
        <v>100</v>
      </c>
      <c r="F224" s="77">
        <v>5</v>
      </c>
      <c r="G224" s="77">
        <v>35</v>
      </c>
      <c r="H224" s="77">
        <v>5</v>
      </c>
      <c r="I224" s="77">
        <v>100</v>
      </c>
      <c r="J224" s="77">
        <v>5</v>
      </c>
      <c r="K224" s="77">
        <v>35</v>
      </c>
      <c r="L224" s="77">
        <v>24</v>
      </c>
      <c r="M224" s="78" t="s">
        <v>16</v>
      </c>
      <c r="N224" s="77">
        <v>24</v>
      </c>
      <c r="O224" s="77">
        <v>15</v>
      </c>
      <c r="P224" s="77">
        <v>200</v>
      </c>
      <c r="Q224" s="2" t="s">
        <v>872</v>
      </c>
      <c r="R224" s="77">
        <v>5</v>
      </c>
      <c r="S224" s="77">
        <v>100</v>
      </c>
      <c r="T224" s="77">
        <v>10</v>
      </c>
      <c r="U224" s="77">
        <v>70</v>
      </c>
      <c r="V224" s="77">
        <v>12</v>
      </c>
      <c r="W224" s="77">
        <v>264</v>
      </c>
      <c r="X224" s="78" t="s">
        <v>16</v>
      </c>
      <c r="Y224" s="78" t="s">
        <v>16</v>
      </c>
      <c r="Z224" s="77">
        <v>37</v>
      </c>
      <c r="AA224" s="77">
        <v>534</v>
      </c>
      <c r="AB224" s="77">
        <f>Table4[[#This Row],[Total Attendance]]/Table4[[#This Row],[Total Events]]</f>
        <v>14.432432432432432</v>
      </c>
      <c r="AC224" s="77">
        <f>Table4[[#This Row],[Total Attendance]]/AD224</f>
        <v>5.6127811645995375E-2</v>
      </c>
      <c r="AD224" s="77">
        <v>9514</v>
      </c>
    </row>
    <row r="225" spans="1:30" ht="13.5" thickBot="1" x14ac:dyDescent="0.25">
      <c r="A225" s="2" t="s">
        <v>817</v>
      </c>
      <c r="B225" s="1" t="s">
        <v>816</v>
      </c>
      <c r="C225" s="2" t="s">
        <v>32</v>
      </c>
      <c r="D225" s="4">
        <v>110</v>
      </c>
      <c r="E225" s="4">
        <v>2300</v>
      </c>
      <c r="F225" s="4">
        <v>8</v>
      </c>
      <c r="G225" s="4">
        <v>163</v>
      </c>
      <c r="H225" s="4">
        <v>12</v>
      </c>
      <c r="I225" s="4">
        <v>646</v>
      </c>
      <c r="J225" s="77">
        <v>1</v>
      </c>
      <c r="K225" s="77">
        <v>45</v>
      </c>
      <c r="L225" s="4">
        <v>202</v>
      </c>
      <c r="M225" s="77">
        <v>42</v>
      </c>
      <c r="N225" s="4">
        <v>244</v>
      </c>
      <c r="O225" s="4">
        <v>122</v>
      </c>
      <c r="P225" s="4">
        <v>2946</v>
      </c>
      <c r="Q225" s="2" t="s">
        <v>872</v>
      </c>
      <c r="R225" s="4">
        <v>35</v>
      </c>
      <c r="S225" s="4">
        <v>490</v>
      </c>
      <c r="T225" s="4">
        <v>9</v>
      </c>
      <c r="U225" s="4">
        <v>208</v>
      </c>
      <c r="V225" s="4">
        <v>80</v>
      </c>
      <c r="W225" s="4">
        <v>1740</v>
      </c>
      <c r="X225" s="4">
        <v>3</v>
      </c>
      <c r="Y225" s="4">
        <v>1024</v>
      </c>
      <c r="Z225" s="4">
        <v>214</v>
      </c>
      <c r="AA225" s="4">
        <v>5918</v>
      </c>
      <c r="AB225" s="77">
        <f>Table4[[#This Row],[Total Attendance]]/Table4[[#This Row],[Total Events]]</f>
        <v>27.654205607476637</v>
      </c>
      <c r="AC225" s="77">
        <f>Table4[[#This Row],[Total Attendance]]/AD225</f>
        <v>0.64762530094112503</v>
      </c>
      <c r="AD225" s="77">
        <v>9138</v>
      </c>
    </row>
    <row r="226" spans="1:30" ht="13.5" thickBot="1" x14ac:dyDescent="0.25">
      <c r="A226" s="2" t="s">
        <v>819</v>
      </c>
      <c r="B226" s="1" t="s">
        <v>818</v>
      </c>
      <c r="C226" s="2" t="s">
        <v>32</v>
      </c>
      <c r="D226" s="4">
        <v>140</v>
      </c>
      <c r="E226" s="4">
        <v>3626</v>
      </c>
      <c r="F226" s="4">
        <v>4</v>
      </c>
      <c r="G226" s="4">
        <v>65</v>
      </c>
      <c r="H226" s="4">
        <v>7</v>
      </c>
      <c r="I226" s="4">
        <v>380</v>
      </c>
      <c r="J226" s="4">
        <v>0</v>
      </c>
      <c r="K226" s="4">
        <v>0</v>
      </c>
      <c r="L226" s="4">
        <v>90</v>
      </c>
      <c r="M226" s="77">
        <v>0</v>
      </c>
      <c r="N226" s="4">
        <v>90</v>
      </c>
      <c r="O226" s="4">
        <v>147</v>
      </c>
      <c r="P226" s="4">
        <v>4006</v>
      </c>
      <c r="Q226" s="2" t="s">
        <v>872</v>
      </c>
      <c r="R226" s="4">
        <v>61</v>
      </c>
      <c r="S226" s="4">
        <v>2525</v>
      </c>
      <c r="T226" s="4">
        <v>4</v>
      </c>
      <c r="U226" s="4">
        <v>65</v>
      </c>
      <c r="V226" s="77">
        <v>73</v>
      </c>
      <c r="W226" s="77">
        <v>576</v>
      </c>
      <c r="X226" s="77">
        <v>33</v>
      </c>
      <c r="Y226" s="77">
        <v>2495</v>
      </c>
      <c r="Z226" s="4">
        <v>257</v>
      </c>
      <c r="AA226" s="4">
        <v>7142</v>
      </c>
      <c r="AB226" s="77">
        <f>Table4[[#This Row],[Total Attendance]]/Table4[[#This Row],[Total Events]]</f>
        <v>27.789883268482491</v>
      </c>
      <c r="AC226" s="77">
        <f>Table4[[#This Row],[Total Attendance]]/AD226</f>
        <v>0.96906377204884664</v>
      </c>
      <c r="AD226" s="77">
        <v>7370</v>
      </c>
    </row>
    <row r="227" spans="1:30" ht="13.5" thickBot="1" x14ac:dyDescent="0.25">
      <c r="A227" s="2" t="s">
        <v>823</v>
      </c>
      <c r="B227" s="1" t="s">
        <v>822</v>
      </c>
      <c r="C227" s="2" t="s">
        <v>32</v>
      </c>
      <c r="D227" s="4">
        <v>78</v>
      </c>
      <c r="E227" s="4">
        <v>624</v>
      </c>
      <c r="F227" s="4">
        <v>22</v>
      </c>
      <c r="G227" s="4">
        <v>17</v>
      </c>
      <c r="H227" s="4">
        <v>21</v>
      </c>
      <c r="I227" s="4">
        <v>465</v>
      </c>
      <c r="J227" s="4">
        <v>3</v>
      </c>
      <c r="K227" s="4">
        <v>11</v>
      </c>
      <c r="L227" s="4">
        <v>222</v>
      </c>
      <c r="M227" s="4">
        <v>55</v>
      </c>
      <c r="N227" s="4">
        <v>277</v>
      </c>
      <c r="O227" s="4">
        <v>99</v>
      </c>
      <c r="P227" s="4">
        <v>1089</v>
      </c>
      <c r="Q227" s="2" t="s">
        <v>872</v>
      </c>
      <c r="R227" s="4">
        <v>13</v>
      </c>
      <c r="S227" s="4">
        <v>125</v>
      </c>
      <c r="T227" s="4">
        <v>25</v>
      </c>
      <c r="U227" s="4">
        <v>28</v>
      </c>
      <c r="V227" s="4">
        <v>45</v>
      </c>
      <c r="W227" s="4">
        <v>296</v>
      </c>
      <c r="X227" s="4">
        <v>1</v>
      </c>
      <c r="Y227" s="4">
        <v>15</v>
      </c>
      <c r="Z227" s="4">
        <v>170</v>
      </c>
      <c r="AA227" s="4">
        <v>1428</v>
      </c>
      <c r="AB227" s="77">
        <f>Table4[[#This Row],[Total Attendance]]/Table4[[#This Row],[Total Events]]</f>
        <v>8.4</v>
      </c>
      <c r="AC227" s="77">
        <f>Table4[[#This Row],[Total Attendance]]/AD227</f>
        <v>0.16735028712059064</v>
      </c>
      <c r="AD227" s="77">
        <v>8533</v>
      </c>
    </row>
    <row r="228" spans="1:30" ht="13.5" thickBot="1" x14ac:dyDescent="0.25">
      <c r="A228" s="2" t="s">
        <v>825</v>
      </c>
      <c r="B228" s="1" t="s">
        <v>824</v>
      </c>
      <c r="C228" s="2" t="s">
        <v>32</v>
      </c>
      <c r="D228" s="77">
        <v>148</v>
      </c>
      <c r="E228" s="77">
        <v>3656</v>
      </c>
      <c r="F228" s="77">
        <v>39</v>
      </c>
      <c r="G228" s="77">
        <v>246</v>
      </c>
      <c r="H228" s="77">
        <v>47</v>
      </c>
      <c r="I228" s="77">
        <v>2106</v>
      </c>
      <c r="J228" s="77">
        <v>18</v>
      </c>
      <c r="K228" s="77">
        <v>537</v>
      </c>
      <c r="L228" s="77">
        <v>394</v>
      </c>
      <c r="M228" s="77">
        <v>37</v>
      </c>
      <c r="N228" s="77">
        <v>431</v>
      </c>
      <c r="O228" s="77">
        <v>195</v>
      </c>
      <c r="P228" s="77">
        <v>5762</v>
      </c>
      <c r="Q228" s="2" t="s">
        <v>872</v>
      </c>
      <c r="R228" s="77">
        <v>108</v>
      </c>
      <c r="S228" s="77">
        <v>1989</v>
      </c>
      <c r="T228" s="77">
        <v>57</v>
      </c>
      <c r="U228" s="77">
        <v>783</v>
      </c>
      <c r="V228" s="77">
        <v>66</v>
      </c>
      <c r="W228" s="77">
        <v>788</v>
      </c>
      <c r="X228" s="77">
        <v>0</v>
      </c>
      <c r="Y228" s="77">
        <v>0</v>
      </c>
      <c r="Z228" s="77">
        <v>318</v>
      </c>
      <c r="AA228" s="77">
        <v>7333</v>
      </c>
      <c r="AB228" s="77">
        <f>Table4[[#This Row],[Total Attendance]]/Table4[[#This Row],[Total Events]]</f>
        <v>23.059748427672957</v>
      </c>
      <c r="AC228" s="77">
        <f>Table4[[#This Row],[Total Attendance]]/AD228</f>
        <v>0.6208619083904835</v>
      </c>
      <c r="AD228" s="77">
        <v>11811</v>
      </c>
    </row>
    <row r="229" spans="1:30" ht="13.5" thickBot="1" x14ac:dyDescent="0.25">
      <c r="A229" s="2" t="s">
        <v>831</v>
      </c>
      <c r="B229" s="1" t="s">
        <v>830</v>
      </c>
      <c r="C229" s="2" t="s">
        <v>32</v>
      </c>
      <c r="D229" s="4">
        <v>37</v>
      </c>
      <c r="E229" s="4">
        <v>2009</v>
      </c>
      <c r="F229" s="4">
        <v>5</v>
      </c>
      <c r="G229" s="4">
        <v>102</v>
      </c>
      <c r="H229" s="4">
        <v>4</v>
      </c>
      <c r="I229" s="4">
        <v>171</v>
      </c>
      <c r="J229" s="77">
        <v>3</v>
      </c>
      <c r="K229" s="77">
        <v>34</v>
      </c>
      <c r="L229" s="4">
        <v>186</v>
      </c>
      <c r="M229" s="77">
        <v>75</v>
      </c>
      <c r="N229" s="4">
        <v>261</v>
      </c>
      <c r="O229" s="4">
        <v>41</v>
      </c>
      <c r="P229" s="4">
        <v>2180</v>
      </c>
      <c r="Q229" s="2" t="s">
        <v>872</v>
      </c>
      <c r="R229" s="4">
        <v>19</v>
      </c>
      <c r="S229" s="4">
        <v>270</v>
      </c>
      <c r="T229" s="4">
        <v>8</v>
      </c>
      <c r="U229" s="4">
        <v>136</v>
      </c>
      <c r="V229" s="4">
        <v>16</v>
      </c>
      <c r="W229" s="4">
        <v>218</v>
      </c>
      <c r="X229" s="4">
        <v>21</v>
      </c>
      <c r="Y229" s="4">
        <v>583</v>
      </c>
      <c r="Z229" s="4">
        <v>86</v>
      </c>
      <c r="AA229" s="4">
        <v>3117</v>
      </c>
      <c r="AB229" s="77">
        <f>Table4[[#This Row],[Total Attendance]]/Table4[[#This Row],[Total Events]]</f>
        <v>36.244186046511629</v>
      </c>
      <c r="AC229" s="77">
        <f>Table4[[#This Row],[Total Attendance]]/AD229</f>
        <v>0.31126423007789095</v>
      </c>
      <c r="AD229" s="77">
        <v>10014</v>
      </c>
    </row>
    <row r="230" spans="1:30" ht="13.5" thickBot="1" x14ac:dyDescent="0.25">
      <c r="A230" s="2" t="s">
        <v>26</v>
      </c>
      <c r="B230" s="1" t="s">
        <v>25</v>
      </c>
      <c r="C230" s="2" t="s">
        <v>29</v>
      </c>
      <c r="D230" s="4">
        <v>100</v>
      </c>
      <c r="E230" s="4">
        <v>3278</v>
      </c>
      <c r="F230" s="4">
        <v>7</v>
      </c>
      <c r="G230" s="4">
        <v>47</v>
      </c>
      <c r="H230" s="4">
        <v>22</v>
      </c>
      <c r="I230" s="4">
        <v>1182</v>
      </c>
      <c r="J230" s="77">
        <v>8</v>
      </c>
      <c r="K230" s="77">
        <v>84</v>
      </c>
      <c r="L230" s="4">
        <v>341</v>
      </c>
      <c r="M230" s="4">
        <v>101</v>
      </c>
      <c r="N230" s="4">
        <v>442</v>
      </c>
      <c r="O230" s="4">
        <v>122</v>
      </c>
      <c r="P230" s="4">
        <v>4460</v>
      </c>
      <c r="Q230" s="2" t="s">
        <v>872</v>
      </c>
      <c r="R230" s="4">
        <v>54</v>
      </c>
      <c r="S230" s="4">
        <v>1233</v>
      </c>
      <c r="T230" s="4">
        <v>15</v>
      </c>
      <c r="U230" s="4">
        <v>131</v>
      </c>
      <c r="V230" s="4">
        <v>64</v>
      </c>
      <c r="W230" s="4">
        <v>1098</v>
      </c>
      <c r="X230" s="4">
        <v>3</v>
      </c>
      <c r="Y230" s="4">
        <v>333</v>
      </c>
      <c r="Z230" s="4">
        <v>204</v>
      </c>
      <c r="AA230" s="4">
        <v>6022</v>
      </c>
      <c r="AB230" s="77">
        <f>Table4[[#This Row],[Total Attendance]]/Table4[[#This Row],[Total Events]]</f>
        <v>29.519607843137255</v>
      </c>
      <c r="AC230" s="77">
        <f>Table4[[#This Row],[Total Attendance]]/AD230</f>
        <v>0.2849571759806937</v>
      </c>
      <c r="AD230" s="77">
        <v>21133</v>
      </c>
    </row>
    <row r="231" spans="1:30" ht="13.5" thickBot="1" x14ac:dyDescent="0.25">
      <c r="A231" s="2" t="s">
        <v>42</v>
      </c>
      <c r="B231" s="1" t="s">
        <v>41</v>
      </c>
      <c r="C231" s="2" t="s">
        <v>29</v>
      </c>
      <c r="D231" s="4">
        <v>116</v>
      </c>
      <c r="E231" s="4">
        <v>1720</v>
      </c>
      <c r="F231" s="4">
        <v>21</v>
      </c>
      <c r="G231" s="4">
        <v>136</v>
      </c>
      <c r="H231" s="4">
        <v>32</v>
      </c>
      <c r="I231" s="4">
        <v>760</v>
      </c>
      <c r="J231" s="4">
        <v>8</v>
      </c>
      <c r="K231" s="4">
        <v>90</v>
      </c>
      <c r="L231" s="77">
        <v>133</v>
      </c>
      <c r="M231" s="77">
        <v>158</v>
      </c>
      <c r="N231" s="77">
        <v>291</v>
      </c>
      <c r="O231" s="4">
        <v>148</v>
      </c>
      <c r="P231" s="4">
        <v>2480</v>
      </c>
      <c r="Q231" s="2" t="s">
        <v>872</v>
      </c>
      <c r="R231" s="4">
        <v>48</v>
      </c>
      <c r="S231" s="4">
        <v>629</v>
      </c>
      <c r="T231" s="4">
        <v>29</v>
      </c>
      <c r="U231" s="4">
        <v>226</v>
      </c>
      <c r="V231" s="77">
        <v>75</v>
      </c>
      <c r="W231" s="77">
        <v>2195</v>
      </c>
      <c r="X231" s="78" t="s">
        <v>16</v>
      </c>
      <c r="Y231" s="78" t="s">
        <v>16</v>
      </c>
      <c r="Z231" s="4">
        <v>252</v>
      </c>
      <c r="AA231" s="4">
        <v>4901</v>
      </c>
      <c r="AB231" s="77">
        <f>Table4[[#This Row],[Total Attendance]]/Table4[[#This Row],[Total Events]]</f>
        <v>19.448412698412699</v>
      </c>
      <c r="AC231" s="77">
        <f>Table4[[#This Row],[Total Attendance]]/AD231</f>
        <v>0.28165047985747943</v>
      </c>
      <c r="AD231" s="77">
        <v>17401</v>
      </c>
    </row>
    <row r="232" spans="1:30" ht="13.5" thickBot="1" x14ac:dyDescent="0.25">
      <c r="A232" s="2" t="s">
        <v>70</v>
      </c>
      <c r="B232" s="1" t="s">
        <v>69</v>
      </c>
      <c r="C232" s="2" t="s">
        <v>29</v>
      </c>
      <c r="D232" s="4">
        <v>262</v>
      </c>
      <c r="E232" s="4">
        <v>4983</v>
      </c>
      <c r="F232" s="4">
        <v>65</v>
      </c>
      <c r="G232" s="4">
        <v>496</v>
      </c>
      <c r="H232" s="4">
        <v>83</v>
      </c>
      <c r="I232" s="4">
        <v>3288</v>
      </c>
      <c r="J232" s="4">
        <v>20</v>
      </c>
      <c r="K232" s="4">
        <v>189</v>
      </c>
      <c r="L232" s="4">
        <v>445</v>
      </c>
      <c r="M232" s="4">
        <v>106</v>
      </c>
      <c r="N232" s="4">
        <v>551</v>
      </c>
      <c r="O232" s="4">
        <v>345</v>
      </c>
      <c r="P232" s="4">
        <v>8271</v>
      </c>
      <c r="Q232" s="2" t="s">
        <v>872</v>
      </c>
      <c r="R232" s="4">
        <v>106</v>
      </c>
      <c r="S232" s="4">
        <v>2491</v>
      </c>
      <c r="T232" s="4">
        <v>85</v>
      </c>
      <c r="U232" s="4">
        <v>685</v>
      </c>
      <c r="V232" s="4">
        <v>132</v>
      </c>
      <c r="W232" s="4">
        <v>987</v>
      </c>
      <c r="X232" s="4">
        <v>132</v>
      </c>
      <c r="Y232" s="4">
        <v>987</v>
      </c>
      <c r="Z232" s="4">
        <v>694</v>
      </c>
      <c r="AA232" s="4">
        <v>10930</v>
      </c>
      <c r="AB232" s="77">
        <f>Table4[[#This Row],[Total Attendance]]/Table4[[#This Row],[Total Events]]</f>
        <v>15.749279538904899</v>
      </c>
      <c r="AC232" s="77">
        <f>Table4[[#This Row],[Total Attendance]]/AD232</f>
        <v>0.51046142350084067</v>
      </c>
      <c r="AD232" s="77">
        <v>21412</v>
      </c>
    </row>
    <row r="233" spans="1:30" ht="13.5" thickBot="1" x14ac:dyDescent="0.25">
      <c r="A233" s="2" t="s">
        <v>76</v>
      </c>
      <c r="B233" s="1" t="s">
        <v>75</v>
      </c>
      <c r="C233" s="2" t="s">
        <v>29</v>
      </c>
      <c r="D233" s="4">
        <v>142</v>
      </c>
      <c r="E233" s="4">
        <v>3251</v>
      </c>
      <c r="F233" s="4">
        <v>2</v>
      </c>
      <c r="G233" s="4">
        <v>167</v>
      </c>
      <c r="H233" s="4">
        <v>67</v>
      </c>
      <c r="I233" s="4">
        <v>2126</v>
      </c>
      <c r="J233" s="4">
        <v>12</v>
      </c>
      <c r="K233" s="77">
        <v>71</v>
      </c>
      <c r="L233" s="4">
        <v>340</v>
      </c>
      <c r="M233" s="77">
        <v>89</v>
      </c>
      <c r="N233" s="4">
        <v>429</v>
      </c>
      <c r="O233" s="4">
        <v>209</v>
      </c>
      <c r="P233" s="4">
        <v>5377</v>
      </c>
      <c r="Q233" s="2" t="s">
        <v>872</v>
      </c>
      <c r="R233" s="4">
        <v>117</v>
      </c>
      <c r="S233" s="77">
        <v>2843</v>
      </c>
      <c r="T233" s="4">
        <v>14</v>
      </c>
      <c r="U233" s="4">
        <v>238</v>
      </c>
      <c r="V233" s="4">
        <v>78</v>
      </c>
      <c r="W233" s="4">
        <v>693</v>
      </c>
      <c r="X233" s="4">
        <v>0</v>
      </c>
      <c r="Y233" s="4">
        <v>0</v>
      </c>
      <c r="Z233" s="4">
        <v>301</v>
      </c>
      <c r="AA233" s="4">
        <v>6308</v>
      </c>
      <c r="AB233" s="77">
        <f>Table4[[#This Row],[Total Attendance]]/Table4[[#This Row],[Total Events]]</f>
        <v>20.956810631229235</v>
      </c>
      <c r="AC233" s="77">
        <f>Table4[[#This Row],[Total Attendance]]/AD233</f>
        <v>0.24371208901595642</v>
      </c>
      <c r="AD233" s="77">
        <v>25883</v>
      </c>
    </row>
    <row r="234" spans="1:30" ht="13.5" thickBot="1" x14ac:dyDescent="0.25">
      <c r="A234" s="2" t="s">
        <v>96</v>
      </c>
      <c r="B234" s="1" t="s">
        <v>95</v>
      </c>
      <c r="C234" s="2" t="s">
        <v>29</v>
      </c>
      <c r="D234" s="4">
        <v>185</v>
      </c>
      <c r="E234" s="4">
        <v>1565</v>
      </c>
      <c r="F234" s="4">
        <v>41</v>
      </c>
      <c r="G234" s="4">
        <v>390</v>
      </c>
      <c r="H234" s="4">
        <v>54</v>
      </c>
      <c r="I234" s="4">
        <v>1327</v>
      </c>
      <c r="J234" s="77">
        <v>23</v>
      </c>
      <c r="K234" s="77">
        <v>330</v>
      </c>
      <c r="L234" s="77">
        <v>168</v>
      </c>
      <c r="M234" s="77">
        <v>50</v>
      </c>
      <c r="N234" s="77">
        <v>218</v>
      </c>
      <c r="O234" s="4">
        <v>239</v>
      </c>
      <c r="P234" s="4">
        <v>2892</v>
      </c>
      <c r="Q234" s="2" t="s">
        <v>872</v>
      </c>
      <c r="R234" s="4">
        <v>37</v>
      </c>
      <c r="S234" s="4">
        <v>296</v>
      </c>
      <c r="T234" s="4">
        <v>64</v>
      </c>
      <c r="U234" s="4">
        <v>720</v>
      </c>
      <c r="V234" s="4">
        <v>64</v>
      </c>
      <c r="W234" s="4">
        <v>1286</v>
      </c>
      <c r="X234" s="4">
        <v>29</v>
      </c>
      <c r="Y234" s="77">
        <v>319</v>
      </c>
      <c r="Z234" s="4">
        <v>396</v>
      </c>
      <c r="AA234" s="4">
        <v>5217</v>
      </c>
      <c r="AB234" s="77">
        <f>Table4[[#This Row],[Total Attendance]]/Table4[[#This Row],[Total Events]]</f>
        <v>13.174242424242424</v>
      </c>
      <c r="AC234" s="77">
        <f>Table4[[#This Row],[Total Attendance]]/AD234</f>
        <v>0.21047323193609555</v>
      </c>
      <c r="AD234" s="77">
        <v>24787</v>
      </c>
    </row>
    <row r="235" spans="1:30" ht="13.5" thickBot="1" x14ac:dyDescent="0.25">
      <c r="A235" s="2" t="s">
        <v>102</v>
      </c>
      <c r="B235" s="1" t="s">
        <v>101</v>
      </c>
      <c r="C235" s="2" t="s">
        <v>29</v>
      </c>
      <c r="D235" s="4">
        <v>100</v>
      </c>
      <c r="E235" s="4">
        <v>1954</v>
      </c>
      <c r="F235" s="4">
        <v>6</v>
      </c>
      <c r="G235" s="4">
        <v>180</v>
      </c>
      <c r="H235" s="4">
        <v>20</v>
      </c>
      <c r="I235" s="4">
        <v>990</v>
      </c>
      <c r="J235" s="77">
        <v>6</v>
      </c>
      <c r="K235" s="77">
        <v>28</v>
      </c>
      <c r="L235" s="77">
        <v>331</v>
      </c>
      <c r="M235" s="77">
        <v>40</v>
      </c>
      <c r="N235" s="77">
        <v>371</v>
      </c>
      <c r="O235" s="4">
        <v>120</v>
      </c>
      <c r="P235" s="4">
        <v>2944</v>
      </c>
      <c r="Q235" s="2" t="s">
        <v>873</v>
      </c>
      <c r="R235" s="4">
        <v>0</v>
      </c>
      <c r="S235" s="4">
        <v>0</v>
      </c>
      <c r="T235" s="4">
        <v>12</v>
      </c>
      <c r="U235" s="4">
        <v>208</v>
      </c>
      <c r="V235" s="4">
        <v>90</v>
      </c>
      <c r="W235" s="4">
        <v>1790</v>
      </c>
      <c r="X235" s="77">
        <v>1</v>
      </c>
      <c r="Y235" s="77">
        <v>300</v>
      </c>
      <c r="Z235" s="4">
        <v>223</v>
      </c>
      <c r="AA235" s="4">
        <v>5242</v>
      </c>
      <c r="AB235" s="77">
        <f>Table4[[#This Row],[Total Attendance]]/Table4[[#This Row],[Total Events]]</f>
        <v>23.506726457399104</v>
      </c>
      <c r="AC235" s="77">
        <f>Table4[[#This Row],[Total Attendance]]/AD235</f>
        <v>0.35016700066800266</v>
      </c>
      <c r="AD235" s="77">
        <v>14970</v>
      </c>
    </row>
    <row r="236" spans="1:30" ht="13.5" thickBot="1" x14ac:dyDescent="0.25">
      <c r="A236" s="2" t="s">
        <v>110</v>
      </c>
      <c r="B236" s="1" t="s">
        <v>109</v>
      </c>
      <c r="C236" s="2" t="s">
        <v>29</v>
      </c>
      <c r="D236" s="4">
        <v>117</v>
      </c>
      <c r="E236" s="4">
        <v>2287</v>
      </c>
      <c r="F236" s="4">
        <v>5</v>
      </c>
      <c r="G236" s="4">
        <v>69</v>
      </c>
      <c r="H236" s="4">
        <v>25</v>
      </c>
      <c r="I236" s="4">
        <v>1216</v>
      </c>
      <c r="J236" s="77">
        <v>4</v>
      </c>
      <c r="K236" s="77">
        <v>103</v>
      </c>
      <c r="L236" s="4">
        <v>248</v>
      </c>
      <c r="M236" s="4">
        <v>39</v>
      </c>
      <c r="N236" s="4">
        <v>287</v>
      </c>
      <c r="O236" s="4">
        <v>142</v>
      </c>
      <c r="P236" s="4">
        <v>3503</v>
      </c>
      <c r="Q236" s="2" t="s">
        <v>872</v>
      </c>
      <c r="R236" s="4">
        <v>78</v>
      </c>
      <c r="S236" s="4">
        <v>1686</v>
      </c>
      <c r="T236" s="4">
        <v>9</v>
      </c>
      <c r="U236" s="4">
        <v>172</v>
      </c>
      <c r="V236" s="4">
        <v>128</v>
      </c>
      <c r="W236" s="4">
        <v>1283</v>
      </c>
      <c r="X236" s="4">
        <v>0</v>
      </c>
      <c r="Y236" s="4">
        <v>0</v>
      </c>
      <c r="Z236" s="4">
        <v>279</v>
      </c>
      <c r="AA236" s="4">
        <v>4958</v>
      </c>
      <c r="AB236" s="77">
        <f>Table4[[#This Row],[Total Attendance]]/Table4[[#This Row],[Total Events]]</f>
        <v>17.770609318996417</v>
      </c>
      <c r="AC236" s="77">
        <f>Table4[[#This Row],[Total Attendance]]/AD236</f>
        <v>0.24759051186017478</v>
      </c>
      <c r="AD236" s="77">
        <v>20025</v>
      </c>
    </row>
    <row r="237" spans="1:30" ht="13.5" thickBot="1" x14ac:dyDescent="0.25">
      <c r="A237" s="2" t="s">
        <v>122</v>
      </c>
      <c r="B237" s="1" t="s">
        <v>121</v>
      </c>
      <c r="C237" s="2" t="s">
        <v>29</v>
      </c>
      <c r="D237" s="4">
        <v>415</v>
      </c>
      <c r="E237" s="4">
        <v>5811</v>
      </c>
      <c r="F237" s="4">
        <v>27</v>
      </c>
      <c r="G237" s="4">
        <v>1275</v>
      </c>
      <c r="H237" s="4">
        <v>25</v>
      </c>
      <c r="I237" s="4">
        <v>721</v>
      </c>
      <c r="J237" s="4">
        <v>14</v>
      </c>
      <c r="K237" s="4">
        <v>79</v>
      </c>
      <c r="L237" s="4">
        <v>116</v>
      </c>
      <c r="M237" s="4">
        <v>20</v>
      </c>
      <c r="N237" s="4">
        <v>136</v>
      </c>
      <c r="O237" s="4">
        <v>440</v>
      </c>
      <c r="P237" s="4">
        <v>6532</v>
      </c>
      <c r="Q237" s="2" t="s">
        <v>872</v>
      </c>
      <c r="R237" s="4">
        <v>215</v>
      </c>
      <c r="S237" s="77">
        <v>3080</v>
      </c>
      <c r="T237" s="4">
        <v>41</v>
      </c>
      <c r="U237" s="4">
        <v>1354</v>
      </c>
      <c r="V237" s="4">
        <v>88</v>
      </c>
      <c r="W237" s="4">
        <v>1975</v>
      </c>
      <c r="X237" s="4">
        <v>27</v>
      </c>
      <c r="Y237" s="4">
        <v>1354</v>
      </c>
      <c r="Z237" s="4">
        <v>596</v>
      </c>
      <c r="AA237" s="4">
        <v>11215</v>
      </c>
      <c r="AB237" s="77">
        <f>Table4[[#This Row],[Total Attendance]]/Table4[[#This Row],[Total Events]]</f>
        <v>18.817114093959731</v>
      </c>
      <c r="AC237" s="77">
        <f>Table4[[#This Row],[Total Attendance]]/AD237</f>
        <v>0.73904448105436571</v>
      </c>
      <c r="AD237" s="77">
        <v>15175</v>
      </c>
    </row>
    <row r="238" spans="1:30" ht="13.5" thickBot="1" x14ac:dyDescent="0.25">
      <c r="A238" s="2" t="s">
        <v>124</v>
      </c>
      <c r="B238" s="1" t="s">
        <v>123</v>
      </c>
      <c r="C238" s="2" t="s">
        <v>29</v>
      </c>
      <c r="D238" s="4">
        <v>45</v>
      </c>
      <c r="E238" s="4">
        <v>329</v>
      </c>
      <c r="F238" s="4">
        <v>0</v>
      </c>
      <c r="G238" s="4">
        <v>0</v>
      </c>
      <c r="H238" s="4">
        <v>4</v>
      </c>
      <c r="I238" s="4">
        <v>90</v>
      </c>
      <c r="J238" s="77">
        <v>0</v>
      </c>
      <c r="K238" s="77">
        <v>0</v>
      </c>
      <c r="L238" s="4">
        <v>146</v>
      </c>
      <c r="M238" s="77">
        <v>42</v>
      </c>
      <c r="N238" s="4">
        <v>188</v>
      </c>
      <c r="O238" s="4">
        <v>49</v>
      </c>
      <c r="P238" s="4">
        <v>419</v>
      </c>
      <c r="Q238" s="2" t="s">
        <v>872</v>
      </c>
      <c r="R238" s="4">
        <v>45</v>
      </c>
      <c r="S238" s="4">
        <v>329</v>
      </c>
      <c r="T238" s="4">
        <v>0</v>
      </c>
      <c r="U238" s="4">
        <v>0</v>
      </c>
      <c r="V238" s="4">
        <v>12</v>
      </c>
      <c r="W238" s="4">
        <v>193</v>
      </c>
      <c r="X238" s="4">
        <v>0</v>
      </c>
      <c r="Y238" s="4">
        <v>0</v>
      </c>
      <c r="Z238" s="4">
        <v>61</v>
      </c>
      <c r="AA238" s="4">
        <v>612</v>
      </c>
      <c r="AB238" s="77">
        <f>Table4[[#This Row],[Total Attendance]]/Table4[[#This Row],[Total Events]]</f>
        <v>10.032786885245901</v>
      </c>
      <c r="AC238" s="77">
        <f>Table4[[#This Row],[Total Attendance]]/AD238</f>
        <v>4.8314518038998971E-2</v>
      </c>
      <c r="AD238" s="77">
        <v>12667</v>
      </c>
    </row>
    <row r="239" spans="1:30" ht="13.5" thickBot="1" x14ac:dyDescent="0.25">
      <c r="A239" s="2" t="s">
        <v>128</v>
      </c>
      <c r="B239" s="1" t="s">
        <v>127</v>
      </c>
      <c r="C239" s="2" t="s">
        <v>29</v>
      </c>
      <c r="D239" s="4">
        <v>211</v>
      </c>
      <c r="E239" s="4">
        <v>4719</v>
      </c>
      <c r="F239" s="4">
        <v>7</v>
      </c>
      <c r="G239" s="4">
        <v>37</v>
      </c>
      <c r="H239" s="4">
        <v>84</v>
      </c>
      <c r="I239" s="4">
        <v>1328</v>
      </c>
      <c r="J239" s="4">
        <v>0</v>
      </c>
      <c r="K239" s="4">
        <v>0</v>
      </c>
      <c r="L239" s="77">
        <v>217</v>
      </c>
      <c r="M239" s="77">
        <v>30</v>
      </c>
      <c r="N239" s="77">
        <v>247</v>
      </c>
      <c r="O239" s="4">
        <v>295</v>
      </c>
      <c r="P239" s="4">
        <v>6047</v>
      </c>
      <c r="Q239" s="2" t="s">
        <v>872</v>
      </c>
      <c r="R239" s="4">
        <v>205</v>
      </c>
      <c r="S239" s="4">
        <v>4272</v>
      </c>
      <c r="T239" s="4">
        <v>7</v>
      </c>
      <c r="U239" s="4">
        <v>37</v>
      </c>
      <c r="V239" s="4">
        <v>39</v>
      </c>
      <c r="W239" s="4">
        <v>291</v>
      </c>
      <c r="X239" s="4">
        <v>12</v>
      </c>
      <c r="Y239" s="77">
        <v>1458</v>
      </c>
      <c r="Z239" s="4">
        <v>353</v>
      </c>
      <c r="AA239" s="4">
        <v>7833</v>
      </c>
      <c r="AB239" s="77">
        <f>Table4[[#This Row],[Total Attendance]]/Table4[[#This Row],[Total Events]]</f>
        <v>22.189801699716714</v>
      </c>
      <c r="AC239" s="77">
        <f>Table4[[#This Row],[Total Attendance]]/AD239</f>
        <v>0.36088458880442292</v>
      </c>
      <c r="AD239" s="77">
        <v>21705</v>
      </c>
    </row>
    <row r="240" spans="1:30" ht="13.5" thickBot="1" x14ac:dyDescent="0.25">
      <c r="A240" s="2" t="s">
        <v>166</v>
      </c>
      <c r="B240" s="1" t="s">
        <v>165</v>
      </c>
      <c r="C240" s="2" t="s">
        <v>29</v>
      </c>
      <c r="D240" s="4">
        <v>250</v>
      </c>
      <c r="E240" s="4">
        <v>3845</v>
      </c>
      <c r="F240" s="4">
        <v>104</v>
      </c>
      <c r="G240" s="4">
        <v>1023</v>
      </c>
      <c r="H240" s="4">
        <v>87</v>
      </c>
      <c r="I240" s="4">
        <v>1498</v>
      </c>
      <c r="J240" s="77">
        <v>9</v>
      </c>
      <c r="K240" s="77">
        <v>182</v>
      </c>
      <c r="L240" s="4">
        <v>601</v>
      </c>
      <c r="M240" s="4">
        <v>203</v>
      </c>
      <c r="N240" s="4">
        <v>804</v>
      </c>
      <c r="O240" s="4">
        <v>337</v>
      </c>
      <c r="P240" s="4">
        <v>5343</v>
      </c>
      <c r="Q240" s="2" t="s">
        <v>872</v>
      </c>
      <c r="R240" s="77">
        <v>210</v>
      </c>
      <c r="S240" s="77">
        <v>2381</v>
      </c>
      <c r="T240" s="4">
        <v>113</v>
      </c>
      <c r="U240" s="4">
        <v>1205</v>
      </c>
      <c r="V240" s="4">
        <v>65</v>
      </c>
      <c r="W240" s="4">
        <v>658</v>
      </c>
      <c r="X240" s="77">
        <v>6</v>
      </c>
      <c r="Y240" s="77">
        <v>745</v>
      </c>
      <c r="Z240" s="4">
        <v>521</v>
      </c>
      <c r="AA240" s="4">
        <v>7951</v>
      </c>
      <c r="AB240" s="77">
        <f>Table4[[#This Row],[Total Attendance]]/Table4[[#This Row],[Total Events]]</f>
        <v>15.261036468330134</v>
      </c>
      <c r="AC240" s="77">
        <f>Table4[[#This Row],[Total Attendance]]/AD240</f>
        <v>0.52767454207592246</v>
      </c>
      <c r="AD240" s="77">
        <v>15068</v>
      </c>
    </row>
    <row r="241" spans="1:30" ht="13.5" thickBot="1" x14ac:dyDescent="0.25">
      <c r="A241" s="2" t="s">
        <v>170</v>
      </c>
      <c r="B241" s="1" t="s">
        <v>169</v>
      </c>
      <c r="C241" s="2" t="s">
        <v>29</v>
      </c>
      <c r="D241" s="4">
        <v>125</v>
      </c>
      <c r="E241" s="4">
        <v>6600</v>
      </c>
      <c r="F241" s="4">
        <v>65</v>
      </c>
      <c r="G241" s="4">
        <v>600</v>
      </c>
      <c r="H241" s="4">
        <v>14</v>
      </c>
      <c r="I241" s="4">
        <v>2837</v>
      </c>
      <c r="J241" s="4">
        <v>5</v>
      </c>
      <c r="K241" s="4">
        <v>32</v>
      </c>
      <c r="L241" s="4">
        <v>360</v>
      </c>
      <c r="M241" s="4">
        <v>77</v>
      </c>
      <c r="N241" s="4">
        <v>437</v>
      </c>
      <c r="O241" s="4">
        <v>139</v>
      </c>
      <c r="P241" s="4">
        <v>9437</v>
      </c>
      <c r="Q241" s="2" t="s">
        <v>872</v>
      </c>
      <c r="R241" s="4">
        <v>114</v>
      </c>
      <c r="S241" s="4">
        <v>5000</v>
      </c>
      <c r="T241" s="4">
        <v>70</v>
      </c>
      <c r="U241" s="4">
        <v>632</v>
      </c>
      <c r="V241" s="4">
        <v>40</v>
      </c>
      <c r="W241" s="4">
        <v>544</v>
      </c>
      <c r="X241" s="4">
        <v>0</v>
      </c>
      <c r="Y241" s="4">
        <v>0</v>
      </c>
      <c r="Z241" s="4">
        <v>249</v>
      </c>
      <c r="AA241" s="4">
        <v>10613</v>
      </c>
      <c r="AB241" s="77">
        <f>Table4[[#This Row],[Total Attendance]]/Table4[[#This Row],[Total Events]]</f>
        <v>42.622489959839356</v>
      </c>
      <c r="AC241" s="77">
        <f>Table4[[#This Row],[Total Attendance]]/AD241</f>
        <v>0.45830634365418665</v>
      </c>
      <c r="AD241" s="77">
        <v>23157</v>
      </c>
    </row>
    <row r="242" spans="1:30" ht="13.5" thickBot="1" x14ac:dyDescent="0.25">
      <c r="A242" s="2" t="s">
        <v>174</v>
      </c>
      <c r="B242" s="1" t="s">
        <v>173</v>
      </c>
      <c r="C242" s="2" t="s">
        <v>29</v>
      </c>
      <c r="D242" s="4">
        <v>115</v>
      </c>
      <c r="E242" s="4">
        <v>2302</v>
      </c>
      <c r="F242" s="4">
        <v>76</v>
      </c>
      <c r="G242" s="4">
        <v>1526</v>
      </c>
      <c r="H242" s="4">
        <v>14</v>
      </c>
      <c r="I242" s="4">
        <v>256</v>
      </c>
      <c r="J242" s="78" t="s">
        <v>16</v>
      </c>
      <c r="K242" s="78" t="s">
        <v>16</v>
      </c>
      <c r="L242" s="4">
        <v>256</v>
      </c>
      <c r="M242" s="4">
        <v>0</v>
      </c>
      <c r="N242" s="4">
        <v>256</v>
      </c>
      <c r="O242" s="4">
        <v>129</v>
      </c>
      <c r="P242" s="4">
        <v>2558</v>
      </c>
      <c r="Q242" s="2" t="s">
        <v>873</v>
      </c>
      <c r="R242" s="78" t="s">
        <v>16</v>
      </c>
      <c r="S242" s="78" t="s">
        <v>16</v>
      </c>
      <c r="T242" s="4">
        <v>76</v>
      </c>
      <c r="U242" s="4">
        <v>1526</v>
      </c>
      <c r="V242" s="4">
        <v>830</v>
      </c>
      <c r="W242" s="4">
        <v>10201</v>
      </c>
      <c r="X242" s="78" t="s">
        <v>16</v>
      </c>
      <c r="Y242" s="78" t="s">
        <v>16</v>
      </c>
      <c r="Z242" s="4">
        <v>1035</v>
      </c>
      <c r="AA242" s="4">
        <v>14285</v>
      </c>
      <c r="AB242" s="77">
        <f>Table4[[#This Row],[Total Attendance]]/Table4[[#This Row],[Total Events]]</f>
        <v>13.801932367149758</v>
      </c>
      <c r="AC242" s="77">
        <f>Table4[[#This Row],[Total Attendance]]/AD242</f>
        <v>1.0281416438750539</v>
      </c>
      <c r="AD242" s="77">
        <v>13894</v>
      </c>
    </row>
    <row r="243" spans="1:30" ht="13.5" thickBot="1" x14ac:dyDescent="0.25">
      <c r="A243" s="2" t="s">
        <v>176</v>
      </c>
      <c r="B243" s="1" t="s">
        <v>175</v>
      </c>
      <c r="C243" s="2" t="s">
        <v>29</v>
      </c>
      <c r="D243" s="4">
        <v>306</v>
      </c>
      <c r="E243" s="4">
        <v>8428</v>
      </c>
      <c r="F243" s="4">
        <v>53</v>
      </c>
      <c r="G243" s="4">
        <v>1320</v>
      </c>
      <c r="H243" s="4">
        <v>35</v>
      </c>
      <c r="I243" s="4">
        <v>2938</v>
      </c>
      <c r="J243" s="77">
        <v>13</v>
      </c>
      <c r="K243" s="77">
        <v>1049</v>
      </c>
      <c r="L243" s="77">
        <v>740</v>
      </c>
      <c r="M243" s="77">
        <v>292</v>
      </c>
      <c r="N243" s="77">
        <v>1032</v>
      </c>
      <c r="O243" s="4">
        <v>341</v>
      </c>
      <c r="P243" s="4">
        <v>11366</v>
      </c>
      <c r="Q243" s="2" t="s">
        <v>872</v>
      </c>
      <c r="R243" s="4">
        <v>118</v>
      </c>
      <c r="S243" s="4">
        <v>2422</v>
      </c>
      <c r="T243" s="4">
        <v>66</v>
      </c>
      <c r="U243" s="4">
        <v>2369</v>
      </c>
      <c r="V243" s="4">
        <v>226</v>
      </c>
      <c r="W243" s="4">
        <v>3861</v>
      </c>
      <c r="X243" s="77">
        <v>65</v>
      </c>
      <c r="Y243" s="77">
        <v>2826</v>
      </c>
      <c r="Z243" s="4">
        <v>698</v>
      </c>
      <c r="AA243" s="4">
        <v>20422</v>
      </c>
      <c r="AB243" s="77">
        <f>Table4[[#This Row],[Total Attendance]]/Table4[[#This Row],[Total Events]]</f>
        <v>29.257879656160458</v>
      </c>
      <c r="AC243" s="77">
        <f>Table4[[#This Row],[Total Attendance]]/AD243</f>
        <v>1.3605596269153897</v>
      </c>
      <c r="AD243" s="77">
        <v>15010</v>
      </c>
    </row>
    <row r="244" spans="1:30" ht="13.5" thickBot="1" x14ac:dyDescent="0.25">
      <c r="A244" s="2" t="s">
        <v>190</v>
      </c>
      <c r="B244" s="1" t="s">
        <v>189</v>
      </c>
      <c r="C244" s="2" t="s">
        <v>29</v>
      </c>
      <c r="D244" s="4">
        <v>67</v>
      </c>
      <c r="E244" s="4">
        <v>729</v>
      </c>
      <c r="F244" s="4">
        <v>12</v>
      </c>
      <c r="G244" s="4">
        <v>240</v>
      </c>
      <c r="H244" s="4">
        <v>7</v>
      </c>
      <c r="I244" s="4">
        <v>257</v>
      </c>
      <c r="J244" s="4">
        <v>0</v>
      </c>
      <c r="K244" s="77">
        <v>0</v>
      </c>
      <c r="L244" s="77">
        <v>242</v>
      </c>
      <c r="M244" s="78" t="s">
        <v>16</v>
      </c>
      <c r="N244" s="77">
        <v>242</v>
      </c>
      <c r="O244" s="4">
        <v>74</v>
      </c>
      <c r="P244" s="4">
        <v>986</v>
      </c>
      <c r="Q244" s="2" t="s">
        <v>872</v>
      </c>
      <c r="R244" s="4">
        <v>43</v>
      </c>
      <c r="S244" s="4">
        <v>338</v>
      </c>
      <c r="T244" s="4">
        <v>12</v>
      </c>
      <c r="U244" s="4">
        <v>240</v>
      </c>
      <c r="V244" s="4">
        <v>27</v>
      </c>
      <c r="W244" s="77">
        <v>195</v>
      </c>
      <c r="X244" s="77">
        <v>1</v>
      </c>
      <c r="Y244" s="77">
        <v>601</v>
      </c>
      <c r="Z244" s="4">
        <v>114</v>
      </c>
      <c r="AA244" s="4">
        <v>2022</v>
      </c>
      <c r="AB244" s="77">
        <f>Table4[[#This Row],[Total Attendance]]/Table4[[#This Row],[Total Events]]</f>
        <v>17.736842105263158</v>
      </c>
      <c r="AC244" s="77">
        <f>Table4[[#This Row],[Total Attendance]]/AD244</f>
        <v>0.15575412109074102</v>
      </c>
      <c r="AD244" s="77">
        <v>12982</v>
      </c>
    </row>
    <row r="245" spans="1:30" ht="13.5" thickBot="1" x14ac:dyDescent="0.25">
      <c r="A245" s="2" t="s">
        <v>200</v>
      </c>
      <c r="B245" s="1" t="s">
        <v>199</v>
      </c>
      <c r="C245" s="2" t="s">
        <v>29</v>
      </c>
      <c r="D245" s="4">
        <v>234</v>
      </c>
      <c r="E245" s="4">
        <v>4428</v>
      </c>
      <c r="F245" s="4">
        <v>15</v>
      </c>
      <c r="G245" s="4">
        <v>66</v>
      </c>
      <c r="H245" s="4">
        <v>60</v>
      </c>
      <c r="I245" s="4">
        <v>2252</v>
      </c>
      <c r="J245" s="4">
        <v>8</v>
      </c>
      <c r="K245" s="4">
        <v>53</v>
      </c>
      <c r="L245" s="4">
        <v>894</v>
      </c>
      <c r="M245" s="4">
        <v>95</v>
      </c>
      <c r="N245" s="4">
        <v>989</v>
      </c>
      <c r="O245" s="4">
        <v>294</v>
      </c>
      <c r="P245" s="4">
        <v>6680</v>
      </c>
      <c r="Q245" s="2" t="s">
        <v>872</v>
      </c>
      <c r="R245" s="4">
        <v>120</v>
      </c>
      <c r="S245" s="4">
        <v>1695</v>
      </c>
      <c r="T245" s="4">
        <v>23</v>
      </c>
      <c r="U245" s="4">
        <v>119</v>
      </c>
      <c r="V245" s="4">
        <v>94</v>
      </c>
      <c r="W245" s="4">
        <v>766</v>
      </c>
      <c r="X245" s="77">
        <v>4</v>
      </c>
      <c r="Y245" s="77">
        <v>600</v>
      </c>
      <c r="Z245" s="4">
        <v>415</v>
      </c>
      <c r="AA245" s="4">
        <v>8165</v>
      </c>
      <c r="AB245" s="77">
        <f>Table4[[#This Row],[Total Attendance]]/Table4[[#This Row],[Total Events]]</f>
        <v>19.674698795180724</v>
      </c>
      <c r="AC245" s="77">
        <f>Table4[[#This Row],[Total Attendance]]/AD245</f>
        <v>0.5496835869126161</v>
      </c>
      <c r="AD245" s="77">
        <v>14854</v>
      </c>
    </row>
    <row r="246" spans="1:30" ht="13.5" thickBot="1" x14ac:dyDescent="0.25">
      <c r="A246" s="2" t="s">
        <v>206</v>
      </c>
      <c r="B246" s="1" t="s">
        <v>205</v>
      </c>
      <c r="C246" s="2" t="s">
        <v>29</v>
      </c>
      <c r="D246" s="4">
        <v>248</v>
      </c>
      <c r="E246" s="4">
        <v>3379</v>
      </c>
      <c r="F246" s="4">
        <v>49</v>
      </c>
      <c r="G246" s="4">
        <v>1400</v>
      </c>
      <c r="H246" s="4">
        <v>30</v>
      </c>
      <c r="I246" s="4">
        <v>875</v>
      </c>
      <c r="J246" s="77">
        <v>0</v>
      </c>
      <c r="K246" s="77">
        <v>0</v>
      </c>
      <c r="L246" s="4">
        <v>167</v>
      </c>
      <c r="M246" s="77">
        <v>24</v>
      </c>
      <c r="N246" s="4">
        <v>191</v>
      </c>
      <c r="O246" s="4">
        <v>278</v>
      </c>
      <c r="P246" s="4">
        <v>4254</v>
      </c>
      <c r="Q246" s="2" t="s">
        <v>872</v>
      </c>
      <c r="R246" s="77">
        <v>248</v>
      </c>
      <c r="S246" s="77">
        <v>2734</v>
      </c>
      <c r="T246" s="4">
        <v>49</v>
      </c>
      <c r="U246" s="4">
        <v>1400</v>
      </c>
      <c r="V246" s="77">
        <v>308</v>
      </c>
      <c r="W246" s="77">
        <v>1416</v>
      </c>
      <c r="X246" s="77">
        <v>13</v>
      </c>
      <c r="Y246" s="77">
        <v>1849</v>
      </c>
      <c r="Z246" s="4">
        <v>648</v>
      </c>
      <c r="AA246" s="4">
        <v>8919</v>
      </c>
      <c r="AB246" s="77">
        <f>Table4[[#This Row],[Total Attendance]]/Table4[[#This Row],[Total Events]]</f>
        <v>13.763888888888889</v>
      </c>
      <c r="AC246" s="77">
        <f>Table4[[#This Row],[Total Attendance]]/AD246</f>
        <v>0.63372175643029705</v>
      </c>
      <c r="AD246" s="77">
        <v>14074</v>
      </c>
    </row>
    <row r="247" spans="1:30" ht="13.5" thickBot="1" x14ac:dyDescent="0.25">
      <c r="A247" s="2" t="s">
        <v>235</v>
      </c>
      <c r="B247" s="1" t="s">
        <v>234</v>
      </c>
      <c r="C247" s="2" t="s">
        <v>29</v>
      </c>
      <c r="D247" s="4">
        <v>248</v>
      </c>
      <c r="E247" s="4">
        <v>6557</v>
      </c>
      <c r="F247" s="4">
        <v>81</v>
      </c>
      <c r="G247" s="4">
        <v>589</v>
      </c>
      <c r="H247" s="4">
        <v>35</v>
      </c>
      <c r="I247" s="4">
        <v>1856</v>
      </c>
      <c r="J247" s="4">
        <v>16</v>
      </c>
      <c r="K247" s="4">
        <v>65</v>
      </c>
      <c r="L247" s="4">
        <v>412</v>
      </c>
      <c r="M247" s="4">
        <v>77</v>
      </c>
      <c r="N247" s="4">
        <v>489</v>
      </c>
      <c r="O247" s="4">
        <v>283</v>
      </c>
      <c r="P247" s="4">
        <v>8413</v>
      </c>
      <c r="Q247" s="2" t="s">
        <v>872</v>
      </c>
      <c r="R247" s="4">
        <v>110</v>
      </c>
      <c r="S247" s="4">
        <v>2885</v>
      </c>
      <c r="T247" s="4">
        <v>97</v>
      </c>
      <c r="U247" s="4">
        <v>654</v>
      </c>
      <c r="V247" s="4">
        <v>94</v>
      </c>
      <c r="W247" s="4">
        <v>1090</v>
      </c>
      <c r="X247" s="4">
        <v>0</v>
      </c>
      <c r="Y247" s="4">
        <v>0</v>
      </c>
      <c r="Z247" s="4">
        <v>474</v>
      </c>
      <c r="AA247" s="4">
        <v>10157</v>
      </c>
      <c r="AB247" s="77">
        <f>Table4[[#This Row],[Total Attendance]]/Table4[[#This Row],[Total Events]]</f>
        <v>21.428270042194093</v>
      </c>
      <c r="AC247" s="77">
        <f>Table4[[#This Row],[Total Attendance]]/AD247</f>
        <v>0.49445039431408822</v>
      </c>
      <c r="AD247" s="77">
        <v>20542</v>
      </c>
    </row>
    <row r="248" spans="1:30" ht="13.5" thickBot="1" x14ac:dyDescent="0.25">
      <c r="A248" s="2" t="s">
        <v>237</v>
      </c>
      <c r="B248" s="1" t="s">
        <v>236</v>
      </c>
      <c r="C248" s="2" t="s">
        <v>29</v>
      </c>
      <c r="D248" s="4">
        <v>328</v>
      </c>
      <c r="E248" s="4">
        <v>20489</v>
      </c>
      <c r="F248" s="4">
        <v>42</v>
      </c>
      <c r="G248" s="4">
        <v>1140</v>
      </c>
      <c r="H248" s="4">
        <v>40</v>
      </c>
      <c r="I248" s="4">
        <v>7227</v>
      </c>
      <c r="J248" s="77">
        <v>18</v>
      </c>
      <c r="K248" s="77">
        <v>772</v>
      </c>
      <c r="L248" s="77">
        <v>921</v>
      </c>
      <c r="M248" s="77">
        <v>289</v>
      </c>
      <c r="N248" s="77">
        <v>1210</v>
      </c>
      <c r="O248" s="4">
        <v>368</v>
      </c>
      <c r="P248" s="4">
        <v>27716</v>
      </c>
      <c r="Q248" s="2" t="s">
        <v>872</v>
      </c>
      <c r="R248" s="4">
        <v>211</v>
      </c>
      <c r="S248" s="4">
        <v>6448</v>
      </c>
      <c r="T248" s="4">
        <v>60</v>
      </c>
      <c r="U248" s="4">
        <v>1912</v>
      </c>
      <c r="V248" s="4">
        <v>139</v>
      </c>
      <c r="W248" s="4">
        <v>2861</v>
      </c>
      <c r="X248" s="77">
        <v>120</v>
      </c>
      <c r="Y248" s="77">
        <v>12581</v>
      </c>
      <c r="Z248" s="4">
        <v>687</v>
      </c>
      <c r="AA248" s="4">
        <v>45070</v>
      </c>
      <c r="AB248" s="77">
        <f>Table4[[#This Row],[Total Attendance]]/Table4[[#This Row],[Total Events]]</f>
        <v>65.604075691411936</v>
      </c>
      <c r="AC248" s="77">
        <f>Table4[[#This Row],[Total Attendance]]/AD248</f>
        <v>2.3005461691593077</v>
      </c>
      <c r="AD248" s="77">
        <v>19591</v>
      </c>
    </row>
    <row r="249" spans="1:30" ht="13.5" thickBot="1" x14ac:dyDescent="0.25">
      <c r="A249" s="2" t="s">
        <v>245</v>
      </c>
      <c r="B249" s="1" t="s">
        <v>244</v>
      </c>
      <c r="C249" s="2" t="s">
        <v>29</v>
      </c>
      <c r="D249" s="4">
        <v>122</v>
      </c>
      <c r="E249" s="4">
        <v>2309</v>
      </c>
      <c r="F249" s="4">
        <v>67</v>
      </c>
      <c r="G249" s="4">
        <v>523</v>
      </c>
      <c r="H249" s="4">
        <v>12</v>
      </c>
      <c r="I249" s="4">
        <v>319</v>
      </c>
      <c r="J249" s="4">
        <v>10</v>
      </c>
      <c r="K249" s="4">
        <v>102</v>
      </c>
      <c r="L249" s="4">
        <v>50</v>
      </c>
      <c r="M249" s="4">
        <v>5</v>
      </c>
      <c r="N249" s="4">
        <v>55</v>
      </c>
      <c r="O249" s="4">
        <v>134</v>
      </c>
      <c r="P249" s="4">
        <v>2628</v>
      </c>
      <c r="Q249" s="2" t="s">
        <v>872</v>
      </c>
      <c r="R249" s="4">
        <v>102</v>
      </c>
      <c r="S249" s="4">
        <v>1214</v>
      </c>
      <c r="T249" s="4">
        <v>77</v>
      </c>
      <c r="U249" s="4">
        <v>625</v>
      </c>
      <c r="V249" s="4">
        <v>29</v>
      </c>
      <c r="W249" s="4">
        <v>225</v>
      </c>
      <c r="X249" s="77">
        <v>3</v>
      </c>
      <c r="Y249" s="77">
        <v>190</v>
      </c>
      <c r="Z249" s="4">
        <v>243</v>
      </c>
      <c r="AA249" s="4">
        <v>3668</v>
      </c>
      <c r="AB249" s="77">
        <f>Table4[[#This Row],[Total Attendance]]/Table4[[#This Row],[Total Events]]</f>
        <v>15.094650205761317</v>
      </c>
      <c r="AC249" s="77">
        <f>Table4[[#This Row],[Total Attendance]]/AD249</f>
        <v>0.27566511348263939</v>
      </c>
      <c r="AD249" s="77">
        <v>13306</v>
      </c>
    </row>
    <row r="250" spans="1:30" ht="13.5" thickBot="1" x14ac:dyDescent="0.25">
      <c r="A250" s="2" t="s">
        <v>255</v>
      </c>
      <c r="B250" s="1" t="s">
        <v>254</v>
      </c>
      <c r="C250" s="2" t="s">
        <v>29</v>
      </c>
      <c r="D250" s="4">
        <v>42</v>
      </c>
      <c r="E250" s="4">
        <v>924</v>
      </c>
      <c r="F250" s="4">
        <v>36</v>
      </c>
      <c r="G250" s="4">
        <v>155</v>
      </c>
      <c r="H250" s="4">
        <v>24</v>
      </c>
      <c r="I250" s="4">
        <v>925</v>
      </c>
      <c r="J250" s="77">
        <v>8</v>
      </c>
      <c r="K250" s="77">
        <v>160</v>
      </c>
      <c r="L250" s="4">
        <v>303</v>
      </c>
      <c r="M250" s="77">
        <v>98</v>
      </c>
      <c r="N250" s="4">
        <v>401</v>
      </c>
      <c r="O250" s="4">
        <v>66</v>
      </c>
      <c r="P250" s="4">
        <v>1849</v>
      </c>
      <c r="Q250" s="2" t="s">
        <v>872</v>
      </c>
      <c r="R250" s="77">
        <v>41</v>
      </c>
      <c r="S250" s="77">
        <v>1136</v>
      </c>
      <c r="T250" s="4">
        <v>44</v>
      </c>
      <c r="U250" s="4">
        <v>315</v>
      </c>
      <c r="V250" s="4">
        <v>135</v>
      </c>
      <c r="W250" s="4">
        <v>957</v>
      </c>
      <c r="X250" s="4">
        <v>14</v>
      </c>
      <c r="Y250" s="4">
        <v>2120</v>
      </c>
      <c r="Z250" s="4">
        <v>259</v>
      </c>
      <c r="AA250" s="4">
        <v>5241</v>
      </c>
      <c r="AB250" s="77">
        <f>Table4[[#This Row],[Total Attendance]]/Table4[[#This Row],[Total Events]]</f>
        <v>20.235521235521237</v>
      </c>
      <c r="AC250" s="77">
        <f>Table4[[#This Row],[Total Attendance]]/AD250</f>
        <v>0.41365430149960536</v>
      </c>
      <c r="AD250" s="77">
        <v>12670</v>
      </c>
    </row>
    <row r="251" spans="1:30" ht="13.5" thickBot="1" x14ac:dyDescent="0.25">
      <c r="A251" s="2" t="s">
        <v>271</v>
      </c>
      <c r="B251" s="1" t="s">
        <v>270</v>
      </c>
      <c r="C251" s="2" t="s">
        <v>29</v>
      </c>
      <c r="D251" s="4">
        <v>81</v>
      </c>
      <c r="E251" s="4">
        <v>2301</v>
      </c>
      <c r="F251" s="4">
        <v>5</v>
      </c>
      <c r="G251" s="4">
        <v>70</v>
      </c>
      <c r="H251" s="4">
        <v>16</v>
      </c>
      <c r="I251" s="4">
        <v>362</v>
      </c>
      <c r="J251" s="4">
        <v>4</v>
      </c>
      <c r="K251" s="4">
        <v>47</v>
      </c>
      <c r="L251" s="77">
        <v>165</v>
      </c>
      <c r="M251" s="77">
        <v>0</v>
      </c>
      <c r="N251" s="77">
        <v>165</v>
      </c>
      <c r="O251" s="4">
        <v>97</v>
      </c>
      <c r="P251" s="4">
        <v>2663</v>
      </c>
      <c r="Q251" s="2" t="s">
        <v>872</v>
      </c>
      <c r="R251" s="4">
        <v>6</v>
      </c>
      <c r="S251" s="4">
        <v>328</v>
      </c>
      <c r="T251" s="4">
        <v>9</v>
      </c>
      <c r="U251" s="4">
        <v>117</v>
      </c>
      <c r="V251" s="4">
        <v>62</v>
      </c>
      <c r="W251" s="4">
        <v>718</v>
      </c>
      <c r="X251" s="4">
        <v>0</v>
      </c>
      <c r="Y251" s="77">
        <v>0</v>
      </c>
      <c r="Z251" s="4">
        <v>168</v>
      </c>
      <c r="AA251" s="4">
        <v>3498</v>
      </c>
      <c r="AB251" s="77">
        <f>Table4[[#This Row],[Total Attendance]]/Table4[[#This Row],[Total Events]]</f>
        <v>20.821428571428573</v>
      </c>
      <c r="AC251" s="77">
        <f>Table4[[#This Row],[Total Attendance]]/AD251</f>
        <v>0.1354239256678281</v>
      </c>
      <c r="AD251" s="77">
        <v>25830</v>
      </c>
    </row>
    <row r="252" spans="1:30" ht="13.5" thickBot="1" x14ac:dyDescent="0.25">
      <c r="A252" s="2" t="s">
        <v>279</v>
      </c>
      <c r="B252" s="1" t="s">
        <v>278</v>
      </c>
      <c r="C252" s="2" t="s">
        <v>29</v>
      </c>
      <c r="D252" s="4">
        <v>109</v>
      </c>
      <c r="E252" s="4">
        <v>2984</v>
      </c>
      <c r="F252" s="4">
        <v>23</v>
      </c>
      <c r="G252" s="4">
        <v>122</v>
      </c>
      <c r="H252" s="4">
        <v>17</v>
      </c>
      <c r="I252" s="4">
        <v>1554</v>
      </c>
      <c r="J252" s="77">
        <v>12</v>
      </c>
      <c r="K252" s="77">
        <v>100</v>
      </c>
      <c r="L252" s="4">
        <v>224</v>
      </c>
      <c r="M252" s="77">
        <v>33</v>
      </c>
      <c r="N252" s="4">
        <v>257</v>
      </c>
      <c r="O252" s="4">
        <v>126</v>
      </c>
      <c r="P252" s="4">
        <v>4538</v>
      </c>
      <c r="Q252" s="2" t="s">
        <v>872</v>
      </c>
      <c r="R252" s="4">
        <v>37</v>
      </c>
      <c r="S252" s="4">
        <v>488</v>
      </c>
      <c r="T252" s="4">
        <v>35</v>
      </c>
      <c r="U252" s="4">
        <v>222</v>
      </c>
      <c r="V252" s="4">
        <v>122</v>
      </c>
      <c r="W252" s="4">
        <v>488</v>
      </c>
      <c r="X252" s="4">
        <v>253</v>
      </c>
      <c r="Y252" s="4">
        <v>4530</v>
      </c>
      <c r="Z252" s="4">
        <v>536</v>
      </c>
      <c r="AA252" s="4">
        <v>9778</v>
      </c>
      <c r="AB252" s="77">
        <f>Table4[[#This Row],[Total Attendance]]/Table4[[#This Row],[Total Events]]</f>
        <v>18.242537313432837</v>
      </c>
      <c r="AC252" s="77">
        <f>Table4[[#This Row],[Total Attendance]]/AD252</f>
        <v>0.68713984539704853</v>
      </c>
      <c r="AD252" s="77">
        <v>14230</v>
      </c>
    </row>
    <row r="253" spans="1:30" ht="13.5" thickBot="1" x14ac:dyDescent="0.25">
      <c r="A253" s="2" t="s">
        <v>281</v>
      </c>
      <c r="B253" s="1" t="s">
        <v>280</v>
      </c>
      <c r="C253" s="2" t="s">
        <v>29</v>
      </c>
      <c r="D253" s="4">
        <v>269</v>
      </c>
      <c r="E253" s="4">
        <v>9913</v>
      </c>
      <c r="F253" s="4">
        <v>55</v>
      </c>
      <c r="G253" s="4">
        <v>384</v>
      </c>
      <c r="H253" s="4">
        <v>14</v>
      </c>
      <c r="I253" s="4">
        <v>1045</v>
      </c>
      <c r="J253" s="4">
        <v>0</v>
      </c>
      <c r="K253" s="4">
        <v>0</v>
      </c>
      <c r="L253" s="4">
        <v>245</v>
      </c>
      <c r="M253" s="77">
        <v>19</v>
      </c>
      <c r="N253" s="4">
        <v>264</v>
      </c>
      <c r="O253" s="4">
        <v>283</v>
      </c>
      <c r="P253" s="4">
        <v>10958</v>
      </c>
      <c r="Q253" s="2" t="s">
        <v>872</v>
      </c>
      <c r="R253" s="4">
        <v>160</v>
      </c>
      <c r="S253" s="4">
        <v>7573</v>
      </c>
      <c r="T253" s="4">
        <v>55</v>
      </c>
      <c r="U253" s="4">
        <v>384</v>
      </c>
      <c r="V253" s="4">
        <v>112</v>
      </c>
      <c r="W253" s="4">
        <v>1777</v>
      </c>
      <c r="X253" s="4">
        <v>15</v>
      </c>
      <c r="Y253" s="4">
        <v>1864</v>
      </c>
      <c r="Z253" s="4">
        <v>465</v>
      </c>
      <c r="AA253" s="4">
        <v>14983</v>
      </c>
      <c r="AB253" s="77">
        <f>Table4[[#This Row],[Total Attendance]]/Table4[[#This Row],[Total Events]]</f>
        <v>32.221505376344084</v>
      </c>
      <c r="AC253" s="77">
        <f>Table4[[#This Row],[Total Attendance]]/AD253</f>
        <v>0.75291457286432162</v>
      </c>
      <c r="AD253" s="77">
        <v>19900</v>
      </c>
    </row>
    <row r="254" spans="1:30" ht="13.5" thickBot="1" x14ac:dyDescent="0.25">
      <c r="A254" s="2" t="s">
        <v>285</v>
      </c>
      <c r="B254" s="1" t="s">
        <v>284</v>
      </c>
      <c r="C254" s="2" t="s">
        <v>29</v>
      </c>
      <c r="D254" s="4">
        <v>133</v>
      </c>
      <c r="E254" s="4">
        <v>3051</v>
      </c>
      <c r="F254" s="4">
        <v>29</v>
      </c>
      <c r="G254" s="4">
        <v>29</v>
      </c>
      <c r="H254" s="4">
        <v>25</v>
      </c>
      <c r="I254" s="4">
        <v>1715</v>
      </c>
      <c r="J254" s="4">
        <v>7</v>
      </c>
      <c r="K254" s="4">
        <v>188</v>
      </c>
      <c r="L254" s="4">
        <v>560</v>
      </c>
      <c r="M254" s="4">
        <v>253</v>
      </c>
      <c r="N254" s="4">
        <v>813</v>
      </c>
      <c r="O254" s="4">
        <v>158</v>
      </c>
      <c r="P254" s="4">
        <v>4766</v>
      </c>
      <c r="Q254" s="2" t="s">
        <v>872</v>
      </c>
      <c r="R254" s="4">
        <v>83</v>
      </c>
      <c r="S254" s="4">
        <v>1191</v>
      </c>
      <c r="T254" s="4">
        <v>36</v>
      </c>
      <c r="U254" s="4">
        <v>217</v>
      </c>
      <c r="V254" s="4">
        <v>47</v>
      </c>
      <c r="W254" s="4">
        <v>332</v>
      </c>
      <c r="X254" s="4">
        <v>42</v>
      </c>
      <c r="Y254" s="4">
        <v>2754</v>
      </c>
      <c r="Z254" s="4">
        <v>283</v>
      </c>
      <c r="AA254" s="4">
        <v>8069</v>
      </c>
      <c r="AB254" s="77">
        <f>Table4[[#This Row],[Total Attendance]]/Table4[[#This Row],[Total Events]]</f>
        <v>28.512367491166078</v>
      </c>
      <c r="AC254" s="77">
        <f>Table4[[#This Row],[Total Attendance]]/AD254</f>
        <v>0.45778962895722231</v>
      </c>
      <c r="AD254" s="77">
        <v>17626</v>
      </c>
    </row>
    <row r="255" spans="1:30" ht="13.5" thickBot="1" x14ac:dyDescent="0.25">
      <c r="A255" s="2" t="s">
        <v>287</v>
      </c>
      <c r="B255" s="1" t="s">
        <v>286</v>
      </c>
      <c r="C255" s="2" t="s">
        <v>29</v>
      </c>
      <c r="D255" s="4">
        <v>143</v>
      </c>
      <c r="E255" s="4">
        <v>2187</v>
      </c>
      <c r="F255" s="4">
        <v>4</v>
      </c>
      <c r="G255" s="4">
        <v>5</v>
      </c>
      <c r="H255" s="4">
        <v>11</v>
      </c>
      <c r="I255" s="4">
        <v>106</v>
      </c>
      <c r="J255" s="77">
        <v>3</v>
      </c>
      <c r="K255" s="77">
        <v>7</v>
      </c>
      <c r="L255" s="77">
        <v>127</v>
      </c>
      <c r="M255" s="77">
        <v>28</v>
      </c>
      <c r="N255" s="77">
        <v>155</v>
      </c>
      <c r="O255" s="4">
        <v>154</v>
      </c>
      <c r="P255" s="4">
        <v>2293</v>
      </c>
      <c r="Q255" s="2" t="s">
        <v>872</v>
      </c>
      <c r="R255" s="4">
        <v>128</v>
      </c>
      <c r="S255" s="4">
        <v>1952</v>
      </c>
      <c r="T255" s="4">
        <v>7</v>
      </c>
      <c r="U255" s="4">
        <v>12</v>
      </c>
      <c r="V255" s="4">
        <v>20</v>
      </c>
      <c r="W255" s="4">
        <v>98</v>
      </c>
      <c r="X255" s="4">
        <v>0</v>
      </c>
      <c r="Y255" s="77">
        <v>0</v>
      </c>
      <c r="Z255" s="4">
        <v>181</v>
      </c>
      <c r="AA255" s="4">
        <v>2403</v>
      </c>
      <c r="AB255" s="77">
        <f>Table4[[#This Row],[Total Attendance]]/Table4[[#This Row],[Total Events]]</f>
        <v>13.276243093922652</v>
      </c>
      <c r="AC255" s="77">
        <f>Table4[[#This Row],[Total Attendance]]/AD255</f>
        <v>0.13482578690456151</v>
      </c>
      <c r="AD255" s="77">
        <v>17823</v>
      </c>
    </row>
    <row r="256" spans="1:30" ht="13.5" thickBot="1" x14ac:dyDescent="0.25">
      <c r="A256" s="2" t="s">
        <v>295</v>
      </c>
      <c r="B256" s="1" t="s">
        <v>294</v>
      </c>
      <c r="C256" s="2" t="s">
        <v>29</v>
      </c>
      <c r="D256" s="4">
        <v>110</v>
      </c>
      <c r="E256" s="4">
        <v>1054</v>
      </c>
      <c r="F256" s="4">
        <v>46</v>
      </c>
      <c r="G256" s="4">
        <v>3473</v>
      </c>
      <c r="H256" s="4">
        <v>28</v>
      </c>
      <c r="I256" s="4">
        <v>591</v>
      </c>
      <c r="J256" s="77">
        <v>6</v>
      </c>
      <c r="K256" s="77">
        <v>43</v>
      </c>
      <c r="L256" s="4">
        <v>132</v>
      </c>
      <c r="M256" s="77">
        <v>25</v>
      </c>
      <c r="N256" s="4">
        <v>157</v>
      </c>
      <c r="O256" s="4">
        <v>138</v>
      </c>
      <c r="P256" s="4">
        <v>1645</v>
      </c>
      <c r="Q256" s="2" t="s">
        <v>872</v>
      </c>
      <c r="R256" s="4">
        <v>105</v>
      </c>
      <c r="S256" s="77">
        <v>1092</v>
      </c>
      <c r="T256" s="4">
        <v>52</v>
      </c>
      <c r="U256" s="4">
        <v>3516</v>
      </c>
      <c r="V256" s="4">
        <v>100</v>
      </c>
      <c r="W256" s="4">
        <v>1014</v>
      </c>
      <c r="X256" s="77">
        <v>24</v>
      </c>
      <c r="Y256" s="77">
        <v>308</v>
      </c>
      <c r="Z256" s="4">
        <v>314</v>
      </c>
      <c r="AA256" s="4">
        <v>6483</v>
      </c>
      <c r="AB256" s="77">
        <f>Table4[[#This Row],[Total Attendance]]/Table4[[#This Row],[Total Events]]</f>
        <v>20.646496815286625</v>
      </c>
      <c r="AC256" s="77">
        <f>Table4[[#This Row],[Total Attendance]]/AD256</f>
        <v>0.3798336067494727</v>
      </c>
      <c r="AD256" s="77">
        <v>17068</v>
      </c>
    </row>
    <row r="257" spans="1:30" ht="13.5" thickBot="1" x14ac:dyDescent="0.25">
      <c r="A257" s="2" t="s">
        <v>301</v>
      </c>
      <c r="B257" s="1" t="s">
        <v>300</v>
      </c>
      <c r="C257" s="2" t="s">
        <v>29</v>
      </c>
      <c r="D257" s="4">
        <v>211</v>
      </c>
      <c r="E257" s="4">
        <v>2424</v>
      </c>
      <c r="F257" s="4">
        <v>24</v>
      </c>
      <c r="G257" s="4">
        <v>118</v>
      </c>
      <c r="H257" s="4">
        <v>42</v>
      </c>
      <c r="I257" s="4">
        <v>380</v>
      </c>
      <c r="J257" s="77">
        <v>10</v>
      </c>
      <c r="K257" s="77">
        <v>70</v>
      </c>
      <c r="L257" s="77">
        <v>114</v>
      </c>
      <c r="M257" s="77">
        <v>25</v>
      </c>
      <c r="N257" s="77">
        <v>139</v>
      </c>
      <c r="O257" s="4">
        <v>253</v>
      </c>
      <c r="P257" s="4">
        <v>2804</v>
      </c>
      <c r="Q257" s="2" t="s">
        <v>872</v>
      </c>
      <c r="R257" s="4">
        <v>177</v>
      </c>
      <c r="S257" s="4">
        <v>2211</v>
      </c>
      <c r="T257" s="4">
        <v>34</v>
      </c>
      <c r="U257" s="4">
        <v>188</v>
      </c>
      <c r="V257" s="4">
        <v>108</v>
      </c>
      <c r="W257" s="4">
        <v>567</v>
      </c>
      <c r="X257" s="77">
        <v>46</v>
      </c>
      <c r="Y257" s="77">
        <v>1662</v>
      </c>
      <c r="Z257" s="4">
        <v>441</v>
      </c>
      <c r="AA257" s="4">
        <v>5221</v>
      </c>
      <c r="AB257" s="77">
        <f>Table4[[#This Row],[Total Attendance]]/Table4[[#This Row],[Total Events]]</f>
        <v>11.839002267573695</v>
      </c>
      <c r="AC257" s="77">
        <f>Table4[[#This Row],[Total Attendance]]/AD257</f>
        <v>0.36056629834254145</v>
      </c>
      <c r="AD257" s="77">
        <v>14480</v>
      </c>
    </row>
    <row r="258" spans="1:30" ht="13.5" thickBot="1" x14ac:dyDescent="0.25">
      <c r="A258" s="2" t="s">
        <v>305</v>
      </c>
      <c r="B258" s="1" t="s">
        <v>304</v>
      </c>
      <c r="C258" s="2" t="s">
        <v>29</v>
      </c>
      <c r="D258" s="4">
        <v>122</v>
      </c>
      <c r="E258" s="4">
        <v>3693</v>
      </c>
      <c r="F258" s="4">
        <v>3</v>
      </c>
      <c r="G258" s="4">
        <v>18</v>
      </c>
      <c r="H258" s="4">
        <v>23</v>
      </c>
      <c r="I258" s="4">
        <v>1919</v>
      </c>
      <c r="J258" s="77">
        <v>8</v>
      </c>
      <c r="K258" s="77">
        <v>57</v>
      </c>
      <c r="L258" s="77">
        <v>355</v>
      </c>
      <c r="M258" s="77">
        <v>54</v>
      </c>
      <c r="N258" s="77">
        <v>409</v>
      </c>
      <c r="O258" s="4">
        <v>145</v>
      </c>
      <c r="P258" s="4">
        <v>5612</v>
      </c>
      <c r="Q258" s="2" t="s">
        <v>872</v>
      </c>
      <c r="R258" s="4">
        <v>92</v>
      </c>
      <c r="S258" s="4">
        <v>2709</v>
      </c>
      <c r="T258" s="4">
        <v>11</v>
      </c>
      <c r="U258" s="4">
        <v>75</v>
      </c>
      <c r="V258" s="4">
        <v>44</v>
      </c>
      <c r="W258" s="4">
        <v>358</v>
      </c>
      <c r="X258" s="77">
        <v>0</v>
      </c>
      <c r="Y258" s="77">
        <v>0</v>
      </c>
      <c r="Z258" s="4">
        <v>200</v>
      </c>
      <c r="AA258" s="4">
        <v>6045</v>
      </c>
      <c r="AB258" s="77">
        <f>Table4[[#This Row],[Total Attendance]]/Table4[[#This Row],[Total Events]]</f>
        <v>30.225000000000001</v>
      </c>
      <c r="AC258" s="77">
        <f>Table4[[#This Row],[Total Attendance]]/AD258</f>
        <v>0.45362449347140926</v>
      </c>
      <c r="AD258" s="77">
        <v>13326</v>
      </c>
    </row>
    <row r="259" spans="1:30" ht="13.5" thickBot="1" x14ac:dyDescent="0.25">
      <c r="A259" s="2" t="s">
        <v>307</v>
      </c>
      <c r="B259" s="1" t="s">
        <v>306</v>
      </c>
      <c r="C259" s="2" t="s">
        <v>29</v>
      </c>
      <c r="D259" s="4">
        <v>33</v>
      </c>
      <c r="E259" s="4">
        <v>479</v>
      </c>
      <c r="F259" s="4">
        <v>0</v>
      </c>
      <c r="G259" s="4">
        <v>0</v>
      </c>
      <c r="H259" s="4">
        <v>0</v>
      </c>
      <c r="I259" s="4">
        <v>0</v>
      </c>
      <c r="J259" s="4">
        <v>0</v>
      </c>
      <c r="K259" s="77">
        <v>0</v>
      </c>
      <c r="L259" s="4">
        <v>-1</v>
      </c>
      <c r="M259" s="77">
        <v>-1</v>
      </c>
      <c r="N259" s="4">
        <v>-2</v>
      </c>
      <c r="O259" s="4">
        <v>33</v>
      </c>
      <c r="P259" s="4">
        <v>479</v>
      </c>
      <c r="Q259" s="2" t="s">
        <v>872</v>
      </c>
      <c r="R259" s="4">
        <v>28</v>
      </c>
      <c r="S259" s="4">
        <v>354</v>
      </c>
      <c r="T259" s="4">
        <v>0</v>
      </c>
      <c r="U259" s="4">
        <v>0</v>
      </c>
      <c r="V259" s="4">
        <v>0</v>
      </c>
      <c r="W259" s="4">
        <v>0</v>
      </c>
      <c r="X259" s="4">
        <v>2</v>
      </c>
      <c r="Y259" s="4">
        <v>68</v>
      </c>
      <c r="Z259" s="4">
        <v>35</v>
      </c>
      <c r="AA259" s="4">
        <v>547</v>
      </c>
      <c r="AB259" s="77">
        <f>Table4[[#This Row],[Total Attendance]]/Table4[[#This Row],[Total Events]]</f>
        <v>15.628571428571428</v>
      </c>
      <c r="AC259" s="77">
        <f>Table4[[#This Row],[Total Attendance]]/AD259</f>
        <v>4.0226503897632007E-2</v>
      </c>
      <c r="AD259" s="77">
        <v>13598</v>
      </c>
    </row>
    <row r="260" spans="1:30" ht="13.5" thickBot="1" x14ac:dyDescent="0.25">
      <c r="A260" s="2" t="s">
        <v>325</v>
      </c>
      <c r="B260" s="1" t="s">
        <v>324</v>
      </c>
      <c r="C260" s="2" t="s">
        <v>29</v>
      </c>
      <c r="D260" s="4">
        <v>132</v>
      </c>
      <c r="E260" s="4">
        <v>3669</v>
      </c>
      <c r="F260" s="4">
        <v>0</v>
      </c>
      <c r="G260" s="4">
        <v>0</v>
      </c>
      <c r="H260" s="4">
        <v>58</v>
      </c>
      <c r="I260" s="4">
        <v>1238</v>
      </c>
      <c r="J260" s="77">
        <v>0</v>
      </c>
      <c r="K260" s="77">
        <v>0</v>
      </c>
      <c r="L260" s="4">
        <v>677</v>
      </c>
      <c r="M260" s="77">
        <v>0</v>
      </c>
      <c r="N260" s="4">
        <v>677</v>
      </c>
      <c r="O260" s="4">
        <v>190</v>
      </c>
      <c r="P260" s="4">
        <v>4907</v>
      </c>
      <c r="Q260" s="2" t="s">
        <v>872</v>
      </c>
      <c r="R260" s="4">
        <v>16</v>
      </c>
      <c r="S260" s="4">
        <v>504</v>
      </c>
      <c r="T260" s="4">
        <v>0</v>
      </c>
      <c r="U260" s="4">
        <v>0</v>
      </c>
      <c r="V260" s="4">
        <v>21</v>
      </c>
      <c r="W260" s="4">
        <v>656</v>
      </c>
      <c r="X260" s="4">
        <v>5</v>
      </c>
      <c r="Y260" s="4">
        <v>240</v>
      </c>
      <c r="Z260" s="4">
        <v>216</v>
      </c>
      <c r="AA260" s="4">
        <v>5803</v>
      </c>
      <c r="AB260" s="77">
        <f>Table4[[#This Row],[Total Attendance]]/Table4[[#This Row],[Total Events]]</f>
        <v>26.86574074074074</v>
      </c>
      <c r="AC260" s="77">
        <f>Table4[[#This Row],[Total Attendance]]/AD260</f>
        <v>0.22586797446676007</v>
      </c>
      <c r="AD260" s="77">
        <v>25692</v>
      </c>
    </row>
    <row r="261" spans="1:30" ht="13.5" thickBot="1" x14ac:dyDescent="0.25">
      <c r="A261" s="2" t="s">
        <v>333</v>
      </c>
      <c r="B261" s="1" t="s">
        <v>332</v>
      </c>
      <c r="C261" s="2" t="s">
        <v>29</v>
      </c>
      <c r="D261" s="4">
        <v>216</v>
      </c>
      <c r="E261" s="4">
        <v>7631</v>
      </c>
      <c r="F261" s="4">
        <v>1</v>
      </c>
      <c r="G261" s="4">
        <v>20</v>
      </c>
      <c r="H261" s="4">
        <v>50</v>
      </c>
      <c r="I261" s="4">
        <v>3951</v>
      </c>
      <c r="J261" s="4">
        <v>0</v>
      </c>
      <c r="K261" s="4">
        <v>0</v>
      </c>
      <c r="L261" s="4">
        <v>632</v>
      </c>
      <c r="M261" s="4">
        <v>44</v>
      </c>
      <c r="N261" s="4">
        <v>676</v>
      </c>
      <c r="O261" s="4">
        <v>266</v>
      </c>
      <c r="P261" s="4">
        <v>11582</v>
      </c>
      <c r="Q261" s="2" t="s">
        <v>872</v>
      </c>
      <c r="R261" s="4">
        <v>111</v>
      </c>
      <c r="S261" s="4">
        <v>1779</v>
      </c>
      <c r="T261" s="4">
        <v>1</v>
      </c>
      <c r="U261" s="4">
        <v>20</v>
      </c>
      <c r="V261" s="4">
        <v>30</v>
      </c>
      <c r="W261" s="4">
        <v>692</v>
      </c>
      <c r="X261" s="4">
        <v>42</v>
      </c>
      <c r="Y261" s="4">
        <v>3175</v>
      </c>
      <c r="Z261" s="4">
        <v>339</v>
      </c>
      <c r="AA261" s="4">
        <v>15469</v>
      </c>
      <c r="AB261" s="77">
        <f>Table4[[#This Row],[Total Attendance]]/Table4[[#This Row],[Total Events]]</f>
        <v>45.631268436578168</v>
      </c>
      <c r="AC261" s="77">
        <f>Table4[[#This Row],[Total Attendance]]/AD261</f>
        <v>0.96929632182467573</v>
      </c>
      <c r="AD261" s="77">
        <v>15959</v>
      </c>
    </row>
    <row r="262" spans="1:30" ht="13.5" thickBot="1" x14ac:dyDescent="0.25">
      <c r="A262" s="2" t="s">
        <v>343</v>
      </c>
      <c r="B262" s="1" t="s">
        <v>342</v>
      </c>
      <c r="C262" s="2" t="s">
        <v>29</v>
      </c>
      <c r="D262" s="4">
        <v>128</v>
      </c>
      <c r="E262" s="4">
        <v>1398</v>
      </c>
      <c r="F262" s="4">
        <v>0</v>
      </c>
      <c r="G262" s="4">
        <v>0</v>
      </c>
      <c r="H262" s="4">
        <v>21</v>
      </c>
      <c r="I262" s="4">
        <v>973</v>
      </c>
      <c r="J262" s="77">
        <v>0</v>
      </c>
      <c r="K262" s="77">
        <v>0</v>
      </c>
      <c r="L262" s="77">
        <v>263</v>
      </c>
      <c r="M262" s="77">
        <v>0</v>
      </c>
      <c r="N262" s="77">
        <v>263</v>
      </c>
      <c r="O262" s="4">
        <v>149</v>
      </c>
      <c r="P262" s="4">
        <v>2371</v>
      </c>
      <c r="Q262" s="2" t="s">
        <v>872</v>
      </c>
      <c r="R262" s="4">
        <v>125</v>
      </c>
      <c r="S262" s="4">
        <v>1610</v>
      </c>
      <c r="T262" s="4">
        <v>0</v>
      </c>
      <c r="U262" s="4">
        <v>0</v>
      </c>
      <c r="V262" s="4">
        <v>78</v>
      </c>
      <c r="W262" s="4">
        <v>1658</v>
      </c>
      <c r="X262" s="77">
        <v>5</v>
      </c>
      <c r="Y262" s="77">
        <v>661</v>
      </c>
      <c r="Z262" s="4">
        <v>232</v>
      </c>
      <c r="AA262" s="4">
        <v>4690</v>
      </c>
      <c r="AB262" s="77">
        <f>Table4[[#This Row],[Total Attendance]]/Table4[[#This Row],[Total Events]]</f>
        <v>20.21551724137931</v>
      </c>
      <c r="AC262" s="77">
        <f>Table4[[#This Row],[Total Attendance]]/AD262</f>
        <v>0.22159225135837468</v>
      </c>
      <c r="AD262" s="77">
        <v>21165</v>
      </c>
    </row>
    <row r="263" spans="1:30" ht="13.5" thickBot="1" x14ac:dyDescent="0.25">
      <c r="A263" s="2" t="s">
        <v>345</v>
      </c>
      <c r="B263" s="1" t="s">
        <v>344</v>
      </c>
      <c r="C263" s="2" t="s">
        <v>29</v>
      </c>
      <c r="D263" s="4">
        <v>81</v>
      </c>
      <c r="E263" s="4">
        <v>1954</v>
      </c>
      <c r="F263" s="4">
        <v>13</v>
      </c>
      <c r="G263" s="4">
        <v>78</v>
      </c>
      <c r="H263" s="4">
        <v>18</v>
      </c>
      <c r="I263" s="4">
        <v>423</v>
      </c>
      <c r="J263" s="4">
        <v>6</v>
      </c>
      <c r="K263" s="4">
        <v>128</v>
      </c>
      <c r="L263" s="4">
        <v>106</v>
      </c>
      <c r="M263" s="77">
        <v>35</v>
      </c>
      <c r="N263" s="4">
        <v>141</v>
      </c>
      <c r="O263" s="4">
        <v>99</v>
      </c>
      <c r="P263" s="4">
        <v>2377</v>
      </c>
      <c r="Q263" s="2" t="s">
        <v>872</v>
      </c>
      <c r="R263" s="4">
        <v>21</v>
      </c>
      <c r="S263" s="4">
        <v>220</v>
      </c>
      <c r="T263" s="4">
        <v>19</v>
      </c>
      <c r="U263" s="4">
        <v>206</v>
      </c>
      <c r="V263" s="4">
        <v>136</v>
      </c>
      <c r="W263" s="4">
        <v>1501</v>
      </c>
      <c r="X263" s="4">
        <v>62</v>
      </c>
      <c r="Y263" s="4">
        <v>1591</v>
      </c>
      <c r="Z263" s="4">
        <v>316</v>
      </c>
      <c r="AA263" s="4">
        <v>5675</v>
      </c>
      <c r="AB263" s="77">
        <f>Table4[[#This Row],[Total Attendance]]/Table4[[#This Row],[Total Events]]</f>
        <v>17.958860759493671</v>
      </c>
      <c r="AC263" s="77">
        <f>Table4[[#This Row],[Total Attendance]]/AD263</f>
        <v>0.25308834678678144</v>
      </c>
      <c r="AD263" s="77">
        <v>22423</v>
      </c>
    </row>
    <row r="264" spans="1:30" ht="13.5" thickBot="1" x14ac:dyDescent="0.25">
      <c r="A264" s="2" t="s">
        <v>351</v>
      </c>
      <c r="B264" s="1" t="s">
        <v>350</v>
      </c>
      <c r="C264" s="2" t="s">
        <v>29</v>
      </c>
      <c r="D264" s="4">
        <v>153</v>
      </c>
      <c r="E264" s="4">
        <v>1252</v>
      </c>
      <c r="F264" s="4">
        <v>16</v>
      </c>
      <c r="G264" s="4">
        <v>146</v>
      </c>
      <c r="H264" s="4">
        <v>24</v>
      </c>
      <c r="I264" s="4">
        <v>287</v>
      </c>
      <c r="J264" s="77">
        <v>3</v>
      </c>
      <c r="K264" s="77">
        <v>41</v>
      </c>
      <c r="L264" s="4">
        <v>126</v>
      </c>
      <c r="M264" s="77">
        <v>25</v>
      </c>
      <c r="N264" s="4">
        <v>151</v>
      </c>
      <c r="O264" s="4">
        <v>177</v>
      </c>
      <c r="P264" s="4">
        <v>1539</v>
      </c>
      <c r="Q264" s="2" t="s">
        <v>872</v>
      </c>
      <c r="R264" s="4">
        <v>71</v>
      </c>
      <c r="S264" s="4">
        <v>748</v>
      </c>
      <c r="T264" s="4">
        <v>19</v>
      </c>
      <c r="U264" s="4">
        <v>187</v>
      </c>
      <c r="V264" s="77">
        <v>71</v>
      </c>
      <c r="W264" s="77">
        <v>565</v>
      </c>
      <c r="X264" s="77">
        <v>8</v>
      </c>
      <c r="Y264" s="77">
        <v>284</v>
      </c>
      <c r="Z264" s="4">
        <v>275</v>
      </c>
      <c r="AA264" s="4">
        <v>2575</v>
      </c>
      <c r="AB264" s="77">
        <f>Table4[[#This Row],[Total Attendance]]/Table4[[#This Row],[Total Events]]</f>
        <v>9.3636363636363633</v>
      </c>
      <c r="AC264" s="77">
        <f>Table4[[#This Row],[Total Attendance]]/AD264</f>
        <v>0.18087946052261872</v>
      </c>
      <c r="AD264" s="77">
        <v>14236</v>
      </c>
    </row>
    <row r="265" spans="1:30" ht="13.5" thickBot="1" x14ac:dyDescent="0.25">
      <c r="A265" s="2" t="s">
        <v>353</v>
      </c>
      <c r="B265" s="1" t="s">
        <v>352</v>
      </c>
      <c r="C265" s="2" t="s">
        <v>29</v>
      </c>
      <c r="D265" s="77">
        <v>102</v>
      </c>
      <c r="E265" s="77">
        <v>4179</v>
      </c>
      <c r="F265" s="77">
        <v>24</v>
      </c>
      <c r="G265" s="77">
        <v>253</v>
      </c>
      <c r="H265" s="77">
        <v>56</v>
      </c>
      <c r="I265" s="77">
        <v>2576</v>
      </c>
      <c r="J265" s="77">
        <v>14</v>
      </c>
      <c r="K265" s="77">
        <v>188</v>
      </c>
      <c r="L265" s="77">
        <v>175</v>
      </c>
      <c r="M265" s="77">
        <v>28</v>
      </c>
      <c r="N265" s="77">
        <v>203</v>
      </c>
      <c r="O265" s="77">
        <v>158</v>
      </c>
      <c r="P265" s="77">
        <v>6755</v>
      </c>
      <c r="Q265" s="2" t="s">
        <v>872</v>
      </c>
      <c r="R265" s="77">
        <v>48</v>
      </c>
      <c r="S265" s="77">
        <v>720</v>
      </c>
      <c r="T265" s="77">
        <v>38</v>
      </c>
      <c r="U265" s="77">
        <v>441</v>
      </c>
      <c r="V265" s="77">
        <v>47</v>
      </c>
      <c r="W265" s="77">
        <v>704</v>
      </c>
      <c r="X265" s="77">
        <v>29</v>
      </c>
      <c r="Y265" s="77">
        <v>154</v>
      </c>
      <c r="Z265" s="77">
        <v>272</v>
      </c>
      <c r="AA265" s="77">
        <v>8054</v>
      </c>
      <c r="AB265" s="77">
        <f>Table4[[#This Row],[Total Attendance]]/Table4[[#This Row],[Total Events]]</f>
        <v>29.610294117647058</v>
      </c>
      <c r="AC265" s="77">
        <f>Table4[[#This Row],[Total Attendance]]/AD265</f>
        <v>0.62337461300309593</v>
      </c>
      <c r="AD265" s="77">
        <v>12920</v>
      </c>
    </row>
    <row r="266" spans="1:30" ht="13.5" thickBot="1" x14ac:dyDescent="0.25">
      <c r="A266" s="2" t="s">
        <v>355</v>
      </c>
      <c r="B266" s="1" t="s">
        <v>354</v>
      </c>
      <c r="C266" s="2" t="s">
        <v>29</v>
      </c>
      <c r="D266" s="4">
        <v>134</v>
      </c>
      <c r="E266" s="4">
        <v>2191</v>
      </c>
      <c r="F266" s="4">
        <v>0</v>
      </c>
      <c r="G266" s="4">
        <v>0</v>
      </c>
      <c r="H266" s="4">
        <v>3</v>
      </c>
      <c r="I266" s="4">
        <v>197</v>
      </c>
      <c r="J266" s="4">
        <v>0</v>
      </c>
      <c r="K266" s="77">
        <v>0</v>
      </c>
      <c r="L266" s="4">
        <v>97</v>
      </c>
      <c r="M266" s="77">
        <v>0</v>
      </c>
      <c r="N266" s="4">
        <v>97</v>
      </c>
      <c r="O266" s="4">
        <v>137</v>
      </c>
      <c r="P266" s="4">
        <v>2388</v>
      </c>
      <c r="Q266" s="2" t="s">
        <v>872</v>
      </c>
      <c r="R266" s="4">
        <v>97</v>
      </c>
      <c r="S266" s="77">
        <v>1693</v>
      </c>
      <c r="T266" s="4">
        <v>0</v>
      </c>
      <c r="U266" s="4">
        <v>0</v>
      </c>
      <c r="V266" s="4">
        <v>96</v>
      </c>
      <c r="W266" s="4">
        <v>1819</v>
      </c>
      <c r="X266" s="4">
        <v>0</v>
      </c>
      <c r="Y266" s="4">
        <v>0</v>
      </c>
      <c r="Z266" s="4">
        <v>233</v>
      </c>
      <c r="AA266" s="4">
        <v>4207</v>
      </c>
      <c r="AB266" s="77">
        <f>Table4[[#This Row],[Total Attendance]]/Table4[[#This Row],[Total Events]]</f>
        <v>18.055793991416309</v>
      </c>
      <c r="AC266" s="77">
        <f>Table4[[#This Row],[Total Attendance]]/AD266</f>
        <v>0.17110668239313459</v>
      </c>
      <c r="AD266" s="77">
        <v>24587</v>
      </c>
    </row>
    <row r="267" spans="1:30" ht="13.5" thickBot="1" x14ac:dyDescent="0.25">
      <c r="A267" s="2" t="s">
        <v>361</v>
      </c>
      <c r="B267" s="1" t="s">
        <v>360</v>
      </c>
      <c r="C267" s="2" t="s">
        <v>29</v>
      </c>
      <c r="D267" s="4">
        <v>158</v>
      </c>
      <c r="E267" s="4">
        <v>4321</v>
      </c>
      <c r="F267" s="4">
        <v>17</v>
      </c>
      <c r="G267" s="4">
        <v>302</v>
      </c>
      <c r="H267" s="4">
        <v>12</v>
      </c>
      <c r="I267" s="4">
        <v>704</v>
      </c>
      <c r="J267" s="4">
        <v>8</v>
      </c>
      <c r="K267" s="4">
        <v>118</v>
      </c>
      <c r="L267" s="4">
        <v>380</v>
      </c>
      <c r="M267" s="77">
        <v>116</v>
      </c>
      <c r="N267" s="4">
        <v>496</v>
      </c>
      <c r="O267" s="4">
        <v>170</v>
      </c>
      <c r="P267" s="4">
        <v>5025</v>
      </c>
      <c r="Q267" s="2" t="s">
        <v>872</v>
      </c>
      <c r="R267" s="4">
        <v>122</v>
      </c>
      <c r="S267" s="4">
        <v>2853</v>
      </c>
      <c r="T267" s="4">
        <v>25</v>
      </c>
      <c r="U267" s="4">
        <v>420</v>
      </c>
      <c r="V267" s="4">
        <v>146</v>
      </c>
      <c r="W267" s="4">
        <v>2578</v>
      </c>
      <c r="X267" s="77">
        <v>43</v>
      </c>
      <c r="Y267" s="77">
        <v>474</v>
      </c>
      <c r="Z267" s="4">
        <v>384</v>
      </c>
      <c r="AA267" s="4">
        <v>8497</v>
      </c>
      <c r="AB267" s="77">
        <f>Table4[[#This Row],[Total Attendance]]/Table4[[#This Row],[Total Events]]</f>
        <v>22.127604166666668</v>
      </c>
      <c r="AC267" s="77">
        <f>Table4[[#This Row],[Total Attendance]]/AD267</f>
        <v>0.64210685407692891</v>
      </c>
      <c r="AD267" s="77">
        <v>13233</v>
      </c>
    </row>
    <row r="268" spans="1:30" ht="13.5" thickBot="1" x14ac:dyDescent="0.25">
      <c r="A268" s="2" t="s">
        <v>363</v>
      </c>
      <c r="B268" s="1" t="s">
        <v>362</v>
      </c>
      <c r="C268" s="2" t="s">
        <v>29</v>
      </c>
      <c r="D268" s="4">
        <v>71</v>
      </c>
      <c r="E268" s="4">
        <v>1620</v>
      </c>
      <c r="F268" s="4">
        <v>23</v>
      </c>
      <c r="G268" s="4">
        <v>299</v>
      </c>
      <c r="H268" s="4">
        <v>10</v>
      </c>
      <c r="I268" s="4">
        <v>543</v>
      </c>
      <c r="J268" s="4">
        <v>4</v>
      </c>
      <c r="K268" s="4">
        <v>87</v>
      </c>
      <c r="L268" s="4">
        <v>160</v>
      </c>
      <c r="M268" s="4">
        <v>76</v>
      </c>
      <c r="N268" s="4">
        <v>236</v>
      </c>
      <c r="O268" s="4">
        <v>81</v>
      </c>
      <c r="P268" s="4">
        <v>2163</v>
      </c>
      <c r="Q268" s="2" t="s">
        <v>872</v>
      </c>
      <c r="R268" s="4">
        <v>63</v>
      </c>
      <c r="S268" s="77">
        <v>1119</v>
      </c>
      <c r="T268" s="4">
        <v>27</v>
      </c>
      <c r="U268" s="4">
        <v>386</v>
      </c>
      <c r="V268" s="4">
        <v>115</v>
      </c>
      <c r="W268" s="4">
        <v>2022</v>
      </c>
      <c r="X268" s="4">
        <v>36</v>
      </c>
      <c r="Y268" s="4">
        <v>1488</v>
      </c>
      <c r="Z268" s="4">
        <v>259</v>
      </c>
      <c r="AA268" s="4">
        <v>6059</v>
      </c>
      <c r="AB268" s="77">
        <f>Table4[[#This Row],[Total Attendance]]/Table4[[#This Row],[Total Events]]</f>
        <v>23.393822393822393</v>
      </c>
      <c r="AC268" s="77">
        <f>Table4[[#This Row],[Total Attendance]]/AD268</f>
        <v>0.36895627816343929</v>
      </c>
      <c r="AD268" s="77">
        <v>16422</v>
      </c>
    </row>
    <row r="269" spans="1:30" ht="13.5" thickBot="1" x14ac:dyDescent="0.25">
      <c r="A269" s="2" t="s">
        <v>371</v>
      </c>
      <c r="B269" s="1" t="s">
        <v>370</v>
      </c>
      <c r="C269" s="2" t="s">
        <v>29</v>
      </c>
      <c r="D269" s="4">
        <v>178</v>
      </c>
      <c r="E269" s="4">
        <v>2235</v>
      </c>
      <c r="F269" s="4">
        <v>42</v>
      </c>
      <c r="G269" s="4">
        <v>342</v>
      </c>
      <c r="H269" s="4">
        <v>72</v>
      </c>
      <c r="I269" s="4">
        <v>1310</v>
      </c>
      <c r="J269" s="77">
        <v>22</v>
      </c>
      <c r="K269" s="77">
        <v>245</v>
      </c>
      <c r="L269" s="77">
        <v>415</v>
      </c>
      <c r="M269" s="77">
        <v>95</v>
      </c>
      <c r="N269" s="77">
        <v>510</v>
      </c>
      <c r="O269" s="4">
        <v>250</v>
      </c>
      <c r="P269" s="4">
        <v>3545</v>
      </c>
      <c r="Q269" s="2" t="s">
        <v>872</v>
      </c>
      <c r="R269" s="4">
        <v>74</v>
      </c>
      <c r="S269" s="4">
        <v>1351</v>
      </c>
      <c r="T269" s="4">
        <v>64</v>
      </c>
      <c r="U269" s="4">
        <v>587</v>
      </c>
      <c r="V269" s="4">
        <v>95</v>
      </c>
      <c r="W269" s="4">
        <v>642</v>
      </c>
      <c r="X269" s="77">
        <v>21</v>
      </c>
      <c r="Y269" s="77">
        <v>1564</v>
      </c>
      <c r="Z269" s="4">
        <v>430</v>
      </c>
      <c r="AA269" s="4">
        <v>6338</v>
      </c>
      <c r="AB269" s="77">
        <f>Table4[[#This Row],[Total Attendance]]/Table4[[#This Row],[Total Events]]</f>
        <v>14.73953488372093</v>
      </c>
      <c r="AC269" s="77">
        <f>Table4[[#This Row],[Total Attendance]]/AD269</f>
        <v>0.3300697843974586</v>
      </c>
      <c r="AD269" s="77">
        <v>19202</v>
      </c>
    </row>
    <row r="270" spans="1:30" ht="13.5" thickBot="1" x14ac:dyDescent="0.25">
      <c r="A270" s="2" t="s">
        <v>375</v>
      </c>
      <c r="B270" s="1" t="s">
        <v>374</v>
      </c>
      <c r="C270" s="2" t="s">
        <v>29</v>
      </c>
      <c r="D270" s="4">
        <v>85</v>
      </c>
      <c r="E270" s="4">
        <v>1872</v>
      </c>
      <c r="F270" s="4">
        <v>15</v>
      </c>
      <c r="G270" s="4">
        <v>62</v>
      </c>
      <c r="H270" s="4">
        <v>18</v>
      </c>
      <c r="I270" s="4">
        <v>1092</v>
      </c>
      <c r="J270" s="4">
        <v>0</v>
      </c>
      <c r="K270" s="4">
        <v>0</v>
      </c>
      <c r="L270" s="4">
        <v>120</v>
      </c>
      <c r="M270" s="78" t="s">
        <v>16</v>
      </c>
      <c r="N270" s="4">
        <v>120</v>
      </c>
      <c r="O270" s="4">
        <v>103</v>
      </c>
      <c r="P270" s="4">
        <v>2964</v>
      </c>
      <c r="Q270" s="2" t="s">
        <v>872</v>
      </c>
      <c r="R270" s="4">
        <v>6</v>
      </c>
      <c r="S270" s="4">
        <v>234</v>
      </c>
      <c r="T270" s="4">
        <v>15</v>
      </c>
      <c r="U270" s="4">
        <v>62</v>
      </c>
      <c r="V270" s="77">
        <v>19</v>
      </c>
      <c r="W270" s="77">
        <v>191</v>
      </c>
      <c r="X270" s="77">
        <v>5</v>
      </c>
      <c r="Y270" s="77">
        <v>108</v>
      </c>
      <c r="Z270" s="4">
        <v>142</v>
      </c>
      <c r="AA270" s="4">
        <v>3325</v>
      </c>
      <c r="AB270" s="77">
        <f>Table4[[#This Row],[Total Attendance]]/Table4[[#This Row],[Total Events]]</f>
        <v>23.41549295774648</v>
      </c>
      <c r="AC270" s="77">
        <f>Table4[[#This Row],[Total Attendance]]/AD270</f>
        <v>0.14401420651420652</v>
      </c>
      <c r="AD270" s="77">
        <v>23088</v>
      </c>
    </row>
    <row r="271" spans="1:30" ht="13.5" thickBot="1" x14ac:dyDescent="0.25">
      <c r="A271" s="2" t="s">
        <v>383</v>
      </c>
      <c r="B271" s="1" t="s">
        <v>382</v>
      </c>
      <c r="C271" s="2" t="s">
        <v>29</v>
      </c>
      <c r="D271" s="4">
        <v>222</v>
      </c>
      <c r="E271" s="4">
        <v>3267</v>
      </c>
      <c r="F271" s="4">
        <v>0</v>
      </c>
      <c r="G271" s="4">
        <v>0</v>
      </c>
      <c r="H271" s="4">
        <v>20</v>
      </c>
      <c r="I271" s="4">
        <v>586</v>
      </c>
      <c r="J271" s="77">
        <v>0</v>
      </c>
      <c r="K271" s="77">
        <v>109</v>
      </c>
      <c r="L271" s="77">
        <v>586</v>
      </c>
      <c r="M271" s="78" t="s">
        <v>16</v>
      </c>
      <c r="N271" s="77">
        <v>586</v>
      </c>
      <c r="O271" s="4">
        <v>242</v>
      </c>
      <c r="P271" s="4">
        <v>3853</v>
      </c>
      <c r="Q271" s="2" t="s">
        <v>872</v>
      </c>
      <c r="R271" s="4">
        <v>6</v>
      </c>
      <c r="S271" s="4">
        <v>73</v>
      </c>
      <c r="T271" s="4">
        <v>0</v>
      </c>
      <c r="U271" s="4">
        <v>109</v>
      </c>
      <c r="V271" s="4">
        <v>136</v>
      </c>
      <c r="W271" s="4">
        <v>999</v>
      </c>
      <c r="X271" s="78" t="s">
        <v>16</v>
      </c>
      <c r="Y271" s="78" t="s">
        <v>16</v>
      </c>
      <c r="Z271" s="4">
        <v>378</v>
      </c>
      <c r="AA271" s="4">
        <v>4961</v>
      </c>
      <c r="AB271" s="77">
        <f>Table4[[#This Row],[Total Attendance]]/Table4[[#This Row],[Total Events]]</f>
        <v>13.124338624338625</v>
      </c>
      <c r="AC271" s="77">
        <f>Table4[[#This Row],[Total Attendance]]/AD271</f>
        <v>0.32378279597963711</v>
      </c>
      <c r="AD271" s="77">
        <v>15322</v>
      </c>
    </row>
    <row r="272" spans="1:30" ht="13.5" thickBot="1" x14ac:dyDescent="0.25">
      <c r="A272" s="2" t="s">
        <v>385</v>
      </c>
      <c r="B272" s="1" t="s">
        <v>384</v>
      </c>
      <c r="C272" s="2" t="s">
        <v>29</v>
      </c>
      <c r="D272" s="4">
        <v>124</v>
      </c>
      <c r="E272" s="4">
        <v>2892</v>
      </c>
      <c r="F272" s="4">
        <v>10</v>
      </c>
      <c r="G272" s="4">
        <v>101</v>
      </c>
      <c r="H272" s="4">
        <v>47</v>
      </c>
      <c r="I272" s="4">
        <v>1531</v>
      </c>
      <c r="J272" s="77">
        <v>6</v>
      </c>
      <c r="K272" s="77">
        <v>175</v>
      </c>
      <c r="L272" s="77">
        <v>1151</v>
      </c>
      <c r="M272" s="77">
        <v>371</v>
      </c>
      <c r="N272" s="77">
        <v>1522</v>
      </c>
      <c r="O272" s="4">
        <v>171</v>
      </c>
      <c r="P272" s="4">
        <v>4423</v>
      </c>
      <c r="Q272" s="2" t="s">
        <v>872</v>
      </c>
      <c r="R272" s="77">
        <v>96</v>
      </c>
      <c r="S272" s="77">
        <v>2004</v>
      </c>
      <c r="T272" s="4">
        <v>16</v>
      </c>
      <c r="U272" s="4">
        <v>276</v>
      </c>
      <c r="V272" s="77">
        <v>88</v>
      </c>
      <c r="W272" s="77">
        <v>811</v>
      </c>
      <c r="X272" s="77">
        <v>18</v>
      </c>
      <c r="Y272" s="77">
        <v>1177</v>
      </c>
      <c r="Z272" s="4">
        <v>293</v>
      </c>
      <c r="AA272" s="4">
        <v>6687</v>
      </c>
      <c r="AB272" s="77">
        <f>Table4[[#This Row],[Total Attendance]]/Table4[[#This Row],[Total Events]]</f>
        <v>22.822525597269625</v>
      </c>
      <c r="AC272" s="77">
        <f>Table4[[#This Row],[Total Attendance]]/AD272</f>
        <v>0.30237395432964054</v>
      </c>
      <c r="AD272" s="77">
        <v>22115</v>
      </c>
    </row>
    <row r="273" spans="1:30" ht="13.5" thickBot="1" x14ac:dyDescent="0.25">
      <c r="A273" s="2" t="s">
        <v>399</v>
      </c>
      <c r="B273" s="1" t="s">
        <v>398</v>
      </c>
      <c r="C273" s="2" t="s">
        <v>29</v>
      </c>
      <c r="D273" s="4">
        <v>152</v>
      </c>
      <c r="E273" s="4">
        <v>2989</v>
      </c>
      <c r="F273" s="4">
        <v>99</v>
      </c>
      <c r="G273" s="4">
        <v>997</v>
      </c>
      <c r="H273" s="4">
        <v>8</v>
      </c>
      <c r="I273" s="4">
        <v>1707</v>
      </c>
      <c r="J273" s="77">
        <v>5</v>
      </c>
      <c r="K273" s="77">
        <v>91</v>
      </c>
      <c r="L273" s="77">
        <v>413</v>
      </c>
      <c r="M273" s="77">
        <v>151</v>
      </c>
      <c r="N273" s="77">
        <v>564</v>
      </c>
      <c r="O273" s="4">
        <v>160</v>
      </c>
      <c r="P273" s="4">
        <v>4696</v>
      </c>
      <c r="Q273" s="2" t="s">
        <v>873</v>
      </c>
      <c r="R273" s="4">
        <v>0</v>
      </c>
      <c r="S273" s="4">
        <v>0</v>
      </c>
      <c r="T273" s="4">
        <v>104</v>
      </c>
      <c r="U273" s="4">
        <v>1088</v>
      </c>
      <c r="V273" s="4">
        <v>76</v>
      </c>
      <c r="W273" s="4">
        <v>989</v>
      </c>
      <c r="X273" s="77">
        <v>129</v>
      </c>
      <c r="Y273" s="77">
        <v>7179</v>
      </c>
      <c r="Z273" s="4">
        <v>469</v>
      </c>
      <c r="AA273" s="4">
        <v>13952</v>
      </c>
      <c r="AB273" s="77">
        <f>Table4[[#This Row],[Total Attendance]]/Table4[[#This Row],[Total Events]]</f>
        <v>29.748400852878465</v>
      </c>
      <c r="AC273" s="77">
        <f>Table4[[#This Row],[Total Attendance]]/AD273</f>
        <v>0.63792236294636728</v>
      </c>
      <c r="AD273" s="77">
        <v>21871</v>
      </c>
    </row>
    <row r="274" spans="1:30" ht="13.5" thickBot="1" x14ac:dyDescent="0.25">
      <c r="A274" s="2" t="s">
        <v>405</v>
      </c>
      <c r="B274" s="1" t="s">
        <v>404</v>
      </c>
      <c r="C274" s="2" t="s">
        <v>29</v>
      </c>
      <c r="D274" s="4">
        <v>83</v>
      </c>
      <c r="E274" s="4">
        <v>2294</v>
      </c>
      <c r="F274" s="4">
        <v>18</v>
      </c>
      <c r="G274" s="4">
        <v>90</v>
      </c>
      <c r="H274" s="4">
        <v>25</v>
      </c>
      <c r="I274" s="4">
        <v>760</v>
      </c>
      <c r="J274" s="4">
        <v>15</v>
      </c>
      <c r="K274" s="4">
        <v>237</v>
      </c>
      <c r="L274" s="4">
        <v>313</v>
      </c>
      <c r="M274" s="77">
        <v>33</v>
      </c>
      <c r="N274" s="4">
        <v>346</v>
      </c>
      <c r="O274" s="4">
        <v>108</v>
      </c>
      <c r="P274" s="4">
        <v>3054</v>
      </c>
      <c r="Q274" s="2" t="s">
        <v>872</v>
      </c>
      <c r="R274" s="4">
        <v>58</v>
      </c>
      <c r="S274" s="77">
        <v>1615</v>
      </c>
      <c r="T274" s="4">
        <v>33</v>
      </c>
      <c r="U274" s="4">
        <v>327</v>
      </c>
      <c r="V274" s="77">
        <v>47</v>
      </c>
      <c r="W274" s="77">
        <v>479</v>
      </c>
      <c r="X274" s="77">
        <v>4</v>
      </c>
      <c r="Y274" s="77">
        <v>181</v>
      </c>
      <c r="Z274" s="4">
        <v>192</v>
      </c>
      <c r="AA274" s="4">
        <v>4041</v>
      </c>
      <c r="AB274" s="77">
        <f>Table4[[#This Row],[Total Attendance]]/Table4[[#This Row],[Total Events]]</f>
        <v>21.046875</v>
      </c>
      <c r="AC274" s="77">
        <f>Table4[[#This Row],[Total Attendance]]/AD274</f>
        <v>0.29713235294117646</v>
      </c>
      <c r="AD274" s="77">
        <v>13600</v>
      </c>
    </row>
    <row r="275" spans="1:30" ht="13.5" thickBot="1" x14ac:dyDescent="0.25">
      <c r="A275" s="2" t="s">
        <v>419</v>
      </c>
      <c r="B275" s="1" t="s">
        <v>418</v>
      </c>
      <c r="C275" s="2" t="s">
        <v>29</v>
      </c>
      <c r="D275" s="4">
        <v>105</v>
      </c>
      <c r="E275" s="4">
        <v>2704</v>
      </c>
      <c r="F275" s="4">
        <v>18</v>
      </c>
      <c r="G275" s="4">
        <v>136</v>
      </c>
      <c r="H275" s="4">
        <v>11</v>
      </c>
      <c r="I275" s="4">
        <v>746</v>
      </c>
      <c r="J275" s="4">
        <v>0</v>
      </c>
      <c r="K275" s="4">
        <v>0</v>
      </c>
      <c r="L275" s="4">
        <v>0</v>
      </c>
      <c r="M275" s="77">
        <v>0</v>
      </c>
      <c r="N275" s="4">
        <v>0</v>
      </c>
      <c r="O275" s="4">
        <v>116</v>
      </c>
      <c r="P275" s="4">
        <v>3450</v>
      </c>
      <c r="Q275" s="2" t="s">
        <v>872</v>
      </c>
      <c r="R275" s="4">
        <v>45</v>
      </c>
      <c r="S275" s="4">
        <v>434</v>
      </c>
      <c r="T275" s="4">
        <v>18</v>
      </c>
      <c r="U275" s="4">
        <v>136</v>
      </c>
      <c r="V275" s="4">
        <v>72</v>
      </c>
      <c r="W275" s="4">
        <v>1754</v>
      </c>
      <c r="X275" s="77">
        <v>0</v>
      </c>
      <c r="Y275" s="77">
        <v>0</v>
      </c>
      <c r="Z275" s="4">
        <v>206</v>
      </c>
      <c r="AA275" s="4">
        <v>5340</v>
      </c>
      <c r="AB275" s="77">
        <f>Table4[[#This Row],[Total Attendance]]/Table4[[#This Row],[Total Events]]</f>
        <v>25.922330097087379</v>
      </c>
      <c r="AC275" s="77">
        <f>Table4[[#This Row],[Total Attendance]]/AD275</f>
        <v>0.31131580481548415</v>
      </c>
      <c r="AD275" s="77">
        <v>17153</v>
      </c>
    </row>
    <row r="276" spans="1:30" ht="13.5" thickBot="1" x14ac:dyDescent="0.25">
      <c r="A276" s="2" t="s">
        <v>437</v>
      </c>
      <c r="B276" s="1" t="s">
        <v>436</v>
      </c>
      <c r="C276" s="2" t="s">
        <v>29</v>
      </c>
      <c r="D276" s="4">
        <v>91</v>
      </c>
      <c r="E276" s="4">
        <v>695</v>
      </c>
      <c r="F276" s="4">
        <v>24</v>
      </c>
      <c r="G276" s="4">
        <v>114</v>
      </c>
      <c r="H276" s="4">
        <v>15</v>
      </c>
      <c r="I276" s="4">
        <v>255</v>
      </c>
      <c r="J276" s="78" t="s">
        <v>16</v>
      </c>
      <c r="K276" s="78" t="s">
        <v>16</v>
      </c>
      <c r="L276" s="78" t="s">
        <v>16</v>
      </c>
      <c r="M276" s="78" t="s">
        <v>16</v>
      </c>
      <c r="N276" s="78" t="s">
        <v>16</v>
      </c>
      <c r="O276" s="4">
        <v>106</v>
      </c>
      <c r="P276" s="4">
        <v>950</v>
      </c>
      <c r="Q276" s="2" t="s">
        <v>872</v>
      </c>
      <c r="R276" s="78" t="s">
        <v>16</v>
      </c>
      <c r="S276" s="78" t="s">
        <v>16</v>
      </c>
      <c r="T276" s="4">
        <v>24</v>
      </c>
      <c r="U276" s="4">
        <v>114</v>
      </c>
      <c r="V276" s="78" t="s">
        <v>16</v>
      </c>
      <c r="W276" s="78" t="s">
        <v>16</v>
      </c>
      <c r="X276" s="78" t="s">
        <v>16</v>
      </c>
      <c r="Y276" s="78" t="s">
        <v>16</v>
      </c>
      <c r="Z276" s="4">
        <v>130</v>
      </c>
      <c r="AA276" s="4">
        <v>1064</v>
      </c>
      <c r="AB276" s="77">
        <f>Table4[[#This Row],[Total Attendance]]/Table4[[#This Row],[Total Events]]</f>
        <v>8.184615384615384</v>
      </c>
      <c r="AC276" s="77">
        <f>Table4[[#This Row],[Total Attendance]]/AD276</f>
        <v>4.1940951555047498E-2</v>
      </c>
      <c r="AD276" s="77">
        <v>25369</v>
      </c>
    </row>
    <row r="277" spans="1:30" ht="13.5" thickBot="1" x14ac:dyDescent="0.25">
      <c r="A277" s="2" t="s">
        <v>453</v>
      </c>
      <c r="B277" s="1" t="s">
        <v>452</v>
      </c>
      <c r="C277" s="2" t="s">
        <v>29</v>
      </c>
      <c r="D277" s="4">
        <v>300</v>
      </c>
      <c r="E277" s="4">
        <v>10200</v>
      </c>
      <c r="F277" s="4">
        <v>63</v>
      </c>
      <c r="G277" s="4">
        <v>701</v>
      </c>
      <c r="H277" s="4">
        <v>28</v>
      </c>
      <c r="I277" s="4">
        <v>1507</v>
      </c>
      <c r="J277" s="77">
        <v>11</v>
      </c>
      <c r="K277" s="77">
        <v>177</v>
      </c>
      <c r="L277" s="4">
        <v>713</v>
      </c>
      <c r="M277" s="77">
        <v>215</v>
      </c>
      <c r="N277" s="4">
        <v>928</v>
      </c>
      <c r="O277" s="4">
        <v>328</v>
      </c>
      <c r="P277" s="4">
        <v>11707</v>
      </c>
      <c r="Q277" s="2" t="s">
        <v>872</v>
      </c>
      <c r="R277" s="4">
        <v>176</v>
      </c>
      <c r="S277" s="4">
        <v>5076</v>
      </c>
      <c r="T277" s="4">
        <v>74</v>
      </c>
      <c r="U277" s="4">
        <v>878</v>
      </c>
      <c r="V277" s="4">
        <v>200</v>
      </c>
      <c r="W277" s="4">
        <v>1454</v>
      </c>
      <c r="X277" s="77">
        <v>8</v>
      </c>
      <c r="Y277" s="77">
        <v>1107</v>
      </c>
      <c r="Z277" s="4">
        <v>610</v>
      </c>
      <c r="AA277" s="4">
        <v>15146</v>
      </c>
      <c r="AB277" s="77">
        <f>Table4[[#This Row],[Total Attendance]]/Table4[[#This Row],[Total Events]]</f>
        <v>24.82950819672131</v>
      </c>
      <c r="AC277" s="77">
        <f>Table4[[#This Row],[Total Attendance]]/AD277</f>
        <v>0.68047443615778591</v>
      </c>
      <c r="AD277" s="77">
        <v>22258</v>
      </c>
    </row>
    <row r="278" spans="1:30" ht="13.5" thickBot="1" x14ac:dyDescent="0.25">
      <c r="A278" s="2" t="s">
        <v>467</v>
      </c>
      <c r="B278" s="1" t="s">
        <v>466</v>
      </c>
      <c r="C278" s="2" t="s">
        <v>29</v>
      </c>
      <c r="D278" s="4">
        <v>110</v>
      </c>
      <c r="E278" s="4">
        <v>2752</v>
      </c>
      <c r="F278" s="4">
        <v>6</v>
      </c>
      <c r="G278" s="4">
        <v>89</v>
      </c>
      <c r="H278" s="4">
        <v>14</v>
      </c>
      <c r="I278" s="4">
        <v>1420</v>
      </c>
      <c r="J278" s="77">
        <v>3</v>
      </c>
      <c r="K278" s="77">
        <v>61</v>
      </c>
      <c r="L278" s="77">
        <v>492</v>
      </c>
      <c r="M278" s="77">
        <v>113</v>
      </c>
      <c r="N278" s="77">
        <v>605</v>
      </c>
      <c r="O278" s="4">
        <v>124</v>
      </c>
      <c r="P278" s="4">
        <v>4172</v>
      </c>
      <c r="Q278" s="2" t="s">
        <v>872</v>
      </c>
      <c r="R278" s="4">
        <v>87</v>
      </c>
      <c r="S278" s="4">
        <v>1985</v>
      </c>
      <c r="T278" s="4">
        <v>9</v>
      </c>
      <c r="U278" s="4">
        <v>150</v>
      </c>
      <c r="V278" s="4">
        <v>100</v>
      </c>
      <c r="W278" s="4">
        <v>1492</v>
      </c>
      <c r="X278" s="4">
        <v>4</v>
      </c>
      <c r="Y278" s="77">
        <v>320</v>
      </c>
      <c r="Z278" s="4">
        <v>237</v>
      </c>
      <c r="AA278" s="4">
        <v>6134</v>
      </c>
      <c r="AB278" s="77">
        <f>Table4[[#This Row],[Total Attendance]]/Table4[[#This Row],[Total Events]]</f>
        <v>25.881856540084389</v>
      </c>
      <c r="AC278" s="77">
        <f>Table4[[#This Row],[Total Attendance]]/AD278</f>
        <v>0.42172567892746649</v>
      </c>
      <c r="AD278" s="77">
        <v>14545</v>
      </c>
    </row>
    <row r="279" spans="1:30" ht="13.5" thickBot="1" x14ac:dyDescent="0.25">
      <c r="A279" s="2" t="s">
        <v>474</v>
      </c>
      <c r="B279" s="1" t="s">
        <v>473</v>
      </c>
      <c r="C279" s="2" t="s">
        <v>29</v>
      </c>
      <c r="D279" s="4">
        <v>170</v>
      </c>
      <c r="E279" s="4">
        <v>3529</v>
      </c>
      <c r="F279" s="4">
        <v>4</v>
      </c>
      <c r="G279" s="4">
        <v>78</v>
      </c>
      <c r="H279" s="4">
        <v>39</v>
      </c>
      <c r="I279" s="4">
        <v>948</v>
      </c>
      <c r="J279" s="4">
        <v>0</v>
      </c>
      <c r="K279" s="4">
        <v>0</v>
      </c>
      <c r="L279" s="4">
        <v>183</v>
      </c>
      <c r="M279" s="77">
        <v>34</v>
      </c>
      <c r="N279" s="4">
        <v>217</v>
      </c>
      <c r="O279" s="4">
        <v>209</v>
      </c>
      <c r="P279" s="4">
        <v>4477</v>
      </c>
      <c r="Q279" s="2" t="s">
        <v>872</v>
      </c>
      <c r="R279" s="4">
        <v>112</v>
      </c>
      <c r="S279" s="4">
        <v>1442</v>
      </c>
      <c r="T279" s="4">
        <v>4</v>
      </c>
      <c r="U279" s="4">
        <v>78</v>
      </c>
      <c r="V279" s="4">
        <v>70</v>
      </c>
      <c r="W279" s="4">
        <v>478</v>
      </c>
      <c r="X279" s="77">
        <v>2</v>
      </c>
      <c r="Y279" s="77">
        <v>222</v>
      </c>
      <c r="Z279" s="4">
        <v>285</v>
      </c>
      <c r="AA279" s="4">
        <v>5255</v>
      </c>
      <c r="AB279" s="77">
        <f>Table4[[#This Row],[Total Attendance]]/Table4[[#This Row],[Total Events]]</f>
        <v>18.438596491228068</v>
      </c>
      <c r="AC279" s="77">
        <f>Table4[[#This Row],[Total Attendance]]/AD279</f>
        <v>0.39064823074635741</v>
      </c>
      <c r="AD279" s="77">
        <v>13452</v>
      </c>
    </row>
    <row r="280" spans="1:30" ht="13.5" thickBot="1" x14ac:dyDescent="0.25">
      <c r="A280" s="2" t="s">
        <v>488</v>
      </c>
      <c r="B280" s="1" t="s">
        <v>487</v>
      </c>
      <c r="C280" s="2" t="s">
        <v>29</v>
      </c>
      <c r="D280" s="4">
        <v>147</v>
      </c>
      <c r="E280" s="4">
        <v>2112</v>
      </c>
      <c r="F280" s="4">
        <v>13</v>
      </c>
      <c r="G280" s="4">
        <v>135</v>
      </c>
      <c r="H280" s="4">
        <v>80</v>
      </c>
      <c r="I280" s="4">
        <v>1859</v>
      </c>
      <c r="J280" s="77">
        <v>2</v>
      </c>
      <c r="K280" s="77">
        <v>43</v>
      </c>
      <c r="L280" s="77">
        <v>240</v>
      </c>
      <c r="M280" s="77">
        <v>39</v>
      </c>
      <c r="N280" s="77">
        <v>279</v>
      </c>
      <c r="O280" s="4">
        <v>227</v>
      </c>
      <c r="P280" s="4">
        <v>3971</v>
      </c>
      <c r="Q280" s="2" t="s">
        <v>872</v>
      </c>
      <c r="R280" s="77">
        <v>82</v>
      </c>
      <c r="S280" s="77">
        <v>1180</v>
      </c>
      <c r="T280" s="4">
        <v>15</v>
      </c>
      <c r="U280" s="4">
        <v>178</v>
      </c>
      <c r="V280" s="77">
        <v>83</v>
      </c>
      <c r="W280" s="77">
        <v>714</v>
      </c>
      <c r="X280" s="77">
        <v>145</v>
      </c>
      <c r="Y280" s="77">
        <v>1749</v>
      </c>
      <c r="Z280" s="4">
        <v>470</v>
      </c>
      <c r="AA280" s="4">
        <v>6612</v>
      </c>
      <c r="AB280" s="77">
        <f>Table4[[#This Row],[Total Attendance]]/Table4[[#This Row],[Total Events]]</f>
        <v>14.068085106382979</v>
      </c>
      <c r="AC280" s="77">
        <f>Table4[[#This Row],[Total Attendance]]/AD280</f>
        <v>0.28754076973255055</v>
      </c>
      <c r="AD280" s="77">
        <v>22995</v>
      </c>
    </row>
    <row r="281" spans="1:30" ht="13.5" thickBot="1" x14ac:dyDescent="0.25">
      <c r="A281" s="2" t="s">
        <v>498</v>
      </c>
      <c r="B281" s="1" t="s">
        <v>497</v>
      </c>
      <c r="C281" s="2" t="s">
        <v>29</v>
      </c>
      <c r="D281" s="4">
        <v>331</v>
      </c>
      <c r="E281" s="4">
        <v>4685</v>
      </c>
      <c r="F281" s="4">
        <v>149</v>
      </c>
      <c r="G281" s="4">
        <v>1916</v>
      </c>
      <c r="H281" s="4">
        <v>66</v>
      </c>
      <c r="I281" s="4">
        <v>1355</v>
      </c>
      <c r="J281" s="77">
        <v>6</v>
      </c>
      <c r="K281" s="77">
        <v>50</v>
      </c>
      <c r="L281" s="4">
        <v>687</v>
      </c>
      <c r="M281" s="77">
        <v>456</v>
      </c>
      <c r="N281" s="4">
        <v>1143</v>
      </c>
      <c r="O281" s="4">
        <v>397</v>
      </c>
      <c r="P281" s="4">
        <v>6040</v>
      </c>
      <c r="Q281" s="2" t="s">
        <v>872</v>
      </c>
      <c r="R281" s="77">
        <v>138</v>
      </c>
      <c r="S281" s="4">
        <v>1626</v>
      </c>
      <c r="T281" s="4">
        <v>155</v>
      </c>
      <c r="U281" s="4">
        <v>1966</v>
      </c>
      <c r="V281" s="4">
        <v>142</v>
      </c>
      <c r="W281" s="4">
        <v>1785</v>
      </c>
      <c r="X281" s="4">
        <v>0</v>
      </c>
      <c r="Y281" s="4">
        <v>0</v>
      </c>
      <c r="Z281" s="4">
        <v>694</v>
      </c>
      <c r="AA281" s="4">
        <v>9791</v>
      </c>
      <c r="AB281" s="77">
        <f>Table4[[#This Row],[Total Attendance]]/Table4[[#This Row],[Total Events]]</f>
        <v>14.10806916426513</v>
      </c>
      <c r="AC281" s="77">
        <f>Table4[[#This Row],[Total Attendance]]/AD281</f>
        <v>0.65500401391490504</v>
      </c>
      <c r="AD281" s="77">
        <v>14948</v>
      </c>
    </row>
    <row r="282" spans="1:30" ht="13.5" thickBot="1" x14ac:dyDescent="0.25">
      <c r="A282" s="2" t="s">
        <v>502</v>
      </c>
      <c r="B282" s="1" t="s">
        <v>501</v>
      </c>
      <c r="C282" s="2" t="s">
        <v>29</v>
      </c>
      <c r="D282" s="4">
        <v>124</v>
      </c>
      <c r="E282" s="4">
        <v>2618</v>
      </c>
      <c r="F282" s="4">
        <v>24</v>
      </c>
      <c r="G282" s="4">
        <v>55</v>
      </c>
      <c r="H282" s="4">
        <v>19</v>
      </c>
      <c r="I282" s="4">
        <v>1278</v>
      </c>
      <c r="J282" s="77">
        <v>5</v>
      </c>
      <c r="K282" s="77">
        <v>225</v>
      </c>
      <c r="L282" s="77">
        <v>618</v>
      </c>
      <c r="M282" s="77">
        <v>163</v>
      </c>
      <c r="N282" s="77">
        <v>781</v>
      </c>
      <c r="O282" s="4">
        <v>143</v>
      </c>
      <c r="P282" s="4">
        <v>3896</v>
      </c>
      <c r="Q282" s="2" t="s">
        <v>872</v>
      </c>
      <c r="R282" s="4">
        <v>75</v>
      </c>
      <c r="S282" s="4">
        <v>2055</v>
      </c>
      <c r="T282" s="4">
        <v>29</v>
      </c>
      <c r="U282" s="4">
        <v>280</v>
      </c>
      <c r="V282" s="4">
        <v>288</v>
      </c>
      <c r="W282" s="4">
        <v>3573</v>
      </c>
      <c r="X282" s="77">
        <v>34</v>
      </c>
      <c r="Y282" s="77">
        <v>2728</v>
      </c>
      <c r="Z282" s="4">
        <v>494</v>
      </c>
      <c r="AA282" s="4">
        <v>10477</v>
      </c>
      <c r="AB282" s="77">
        <f>Table4[[#This Row],[Total Attendance]]/Table4[[#This Row],[Total Events]]</f>
        <v>21.208502024291498</v>
      </c>
      <c r="AC282" s="77">
        <f>Table4[[#This Row],[Total Attendance]]/AD282</f>
        <v>0.5696188767465884</v>
      </c>
      <c r="AD282" s="77">
        <v>18393</v>
      </c>
    </row>
    <row r="283" spans="1:30" ht="13.5" thickBot="1" x14ac:dyDescent="0.25">
      <c r="A283" s="2" t="s">
        <v>514</v>
      </c>
      <c r="B283" s="1" t="s">
        <v>513</v>
      </c>
      <c r="C283" s="2" t="s">
        <v>29</v>
      </c>
      <c r="D283" s="4">
        <v>276</v>
      </c>
      <c r="E283" s="4">
        <v>3911</v>
      </c>
      <c r="F283" s="4">
        <v>3</v>
      </c>
      <c r="G283" s="4">
        <v>330</v>
      </c>
      <c r="H283" s="4">
        <v>14</v>
      </c>
      <c r="I283" s="4">
        <v>526</v>
      </c>
      <c r="J283" s="78" t="s">
        <v>16</v>
      </c>
      <c r="K283" s="78" t="s">
        <v>16</v>
      </c>
      <c r="L283" s="4">
        <v>121</v>
      </c>
      <c r="M283" s="78" t="s">
        <v>16</v>
      </c>
      <c r="N283" s="4">
        <v>121</v>
      </c>
      <c r="O283" s="4">
        <v>290</v>
      </c>
      <c r="P283" s="4">
        <v>4437</v>
      </c>
      <c r="Q283" s="2" t="s">
        <v>872</v>
      </c>
      <c r="R283" s="4">
        <v>179</v>
      </c>
      <c r="S283" s="4">
        <v>2181</v>
      </c>
      <c r="T283" s="4">
        <v>3</v>
      </c>
      <c r="U283" s="4">
        <v>330</v>
      </c>
      <c r="V283" s="4">
        <v>37</v>
      </c>
      <c r="W283" s="4">
        <v>330</v>
      </c>
      <c r="X283" s="4">
        <v>25</v>
      </c>
      <c r="Y283" s="4">
        <v>1434</v>
      </c>
      <c r="Z283" s="4">
        <v>355</v>
      </c>
      <c r="AA283" s="4">
        <v>6531</v>
      </c>
      <c r="AB283" s="77">
        <f>Table4[[#This Row],[Total Attendance]]/Table4[[#This Row],[Total Events]]</f>
        <v>18.397183098591551</v>
      </c>
      <c r="AC283" s="77">
        <f>Table4[[#This Row],[Total Attendance]]/AD283</f>
        <v>0.45404616240266965</v>
      </c>
      <c r="AD283" s="77">
        <v>14384</v>
      </c>
    </row>
    <row r="284" spans="1:30" ht="13.5" thickBot="1" x14ac:dyDescent="0.25">
      <c r="A284" s="2" t="s">
        <v>518</v>
      </c>
      <c r="B284" s="1" t="s">
        <v>517</v>
      </c>
      <c r="C284" s="2" t="s">
        <v>29</v>
      </c>
      <c r="D284" s="4">
        <v>170</v>
      </c>
      <c r="E284" s="4">
        <v>4845</v>
      </c>
      <c r="F284" s="4">
        <v>42</v>
      </c>
      <c r="G284" s="4">
        <v>423</v>
      </c>
      <c r="H284" s="4">
        <v>40</v>
      </c>
      <c r="I284" s="4">
        <v>1185</v>
      </c>
      <c r="J284" s="77">
        <v>9</v>
      </c>
      <c r="K284" s="77">
        <v>168</v>
      </c>
      <c r="L284" s="4">
        <v>305</v>
      </c>
      <c r="M284" s="77">
        <v>134</v>
      </c>
      <c r="N284" s="4">
        <v>439</v>
      </c>
      <c r="O284" s="4">
        <v>210</v>
      </c>
      <c r="P284" s="4">
        <v>6030</v>
      </c>
      <c r="Q284" s="2" t="s">
        <v>872</v>
      </c>
      <c r="R284" s="4">
        <v>79</v>
      </c>
      <c r="S284" s="4">
        <v>944</v>
      </c>
      <c r="T284" s="4">
        <v>51</v>
      </c>
      <c r="U284" s="4">
        <v>591</v>
      </c>
      <c r="V284" s="4">
        <v>39</v>
      </c>
      <c r="W284" s="4">
        <v>355</v>
      </c>
      <c r="X284" s="4">
        <v>5</v>
      </c>
      <c r="Y284" s="4">
        <v>20</v>
      </c>
      <c r="Z284" s="4">
        <v>305</v>
      </c>
      <c r="AA284" s="4">
        <v>6996</v>
      </c>
      <c r="AB284" s="77">
        <f>Table4[[#This Row],[Total Attendance]]/Table4[[#This Row],[Total Events]]</f>
        <v>22.937704918032786</v>
      </c>
      <c r="AC284" s="77">
        <f>Table4[[#This Row],[Total Attendance]]/AD284</f>
        <v>0.39952030152475587</v>
      </c>
      <c r="AD284" s="77">
        <v>17511</v>
      </c>
    </row>
    <row r="285" spans="1:30" ht="13.5" thickBot="1" x14ac:dyDescent="0.25">
      <c r="A285" s="2" t="s">
        <v>520</v>
      </c>
      <c r="B285" s="1" t="s">
        <v>519</v>
      </c>
      <c r="C285" s="2" t="s">
        <v>29</v>
      </c>
      <c r="D285" s="4">
        <v>153</v>
      </c>
      <c r="E285" s="4">
        <v>4393</v>
      </c>
      <c r="F285" s="4">
        <v>15</v>
      </c>
      <c r="G285" s="4">
        <v>612</v>
      </c>
      <c r="H285" s="4">
        <v>33</v>
      </c>
      <c r="I285" s="4">
        <v>1956</v>
      </c>
      <c r="J285" s="4">
        <v>9</v>
      </c>
      <c r="K285" s="4">
        <v>783</v>
      </c>
      <c r="L285" s="4">
        <v>296</v>
      </c>
      <c r="M285" s="77">
        <v>66</v>
      </c>
      <c r="N285" s="4">
        <v>362</v>
      </c>
      <c r="O285" s="4">
        <v>186</v>
      </c>
      <c r="P285" s="4">
        <v>6349</v>
      </c>
      <c r="Q285" s="2" t="s">
        <v>872</v>
      </c>
      <c r="R285" s="4">
        <v>106</v>
      </c>
      <c r="S285" s="4">
        <v>2623</v>
      </c>
      <c r="T285" s="4">
        <v>24</v>
      </c>
      <c r="U285" s="4">
        <v>1395</v>
      </c>
      <c r="V285" s="4">
        <v>73</v>
      </c>
      <c r="W285" s="4">
        <v>607</v>
      </c>
      <c r="X285" s="77">
        <v>9</v>
      </c>
      <c r="Y285" s="77">
        <v>1595</v>
      </c>
      <c r="Z285" s="4">
        <v>292</v>
      </c>
      <c r="AA285" s="4">
        <v>9946</v>
      </c>
      <c r="AB285" s="77">
        <f>Table4[[#This Row],[Total Attendance]]/Table4[[#This Row],[Total Events]]</f>
        <v>34.061643835616437</v>
      </c>
      <c r="AC285" s="77">
        <f>Table4[[#This Row],[Total Attendance]]/AD285</f>
        <v>0.63205388917132688</v>
      </c>
      <c r="AD285" s="77">
        <v>15736</v>
      </c>
    </row>
    <row r="286" spans="1:30" ht="13.5" thickBot="1" x14ac:dyDescent="0.25">
      <c r="A286" s="2" t="s">
        <v>524</v>
      </c>
      <c r="B286" s="1" t="s">
        <v>523</v>
      </c>
      <c r="C286" s="2" t="s">
        <v>29</v>
      </c>
      <c r="D286" s="4">
        <v>74</v>
      </c>
      <c r="E286" s="4">
        <v>2705</v>
      </c>
      <c r="F286" s="4">
        <v>27</v>
      </c>
      <c r="G286" s="4">
        <v>336</v>
      </c>
      <c r="H286" s="4">
        <v>8</v>
      </c>
      <c r="I286" s="4">
        <v>500</v>
      </c>
      <c r="J286" s="77">
        <v>3</v>
      </c>
      <c r="K286" s="77">
        <v>19</v>
      </c>
      <c r="L286" s="4">
        <v>134</v>
      </c>
      <c r="M286" s="77">
        <v>20</v>
      </c>
      <c r="N286" s="4">
        <v>154</v>
      </c>
      <c r="O286" s="4">
        <v>82</v>
      </c>
      <c r="P286" s="4">
        <v>3205</v>
      </c>
      <c r="Q286" s="2" t="s">
        <v>872</v>
      </c>
      <c r="R286" s="4">
        <v>48</v>
      </c>
      <c r="S286" s="4">
        <v>539</v>
      </c>
      <c r="T286" s="4">
        <v>30</v>
      </c>
      <c r="U286" s="4">
        <v>355</v>
      </c>
      <c r="V286" s="4">
        <v>74</v>
      </c>
      <c r="W286" s="4">
        <v>1103</v>
      </c>
      <c r="X286" s="4">
        <v>26</v>
      </c>
      <c r="Y286" s="4">
        <v>466</v>
      </c>
      <c r="Z286" s="4">
        <v>212</v>
      </c>
      <c r="AA286" s="4">
        <v>5129</v>
      </c>
      <c r="AB286" s="77">
        <f>Table4[[#This Row],[Total Attendance]]/Table4[[#This Row],[Total Events]]</f>
        <v>24.193396226415093</v>
      </c>
      <c r="AC286" s="77">
        <f>Table4[[#This Row],[Total Attendance]]/AD286</f>
        <v>0.39161640070245096</v>
      </c>
      <c r="AD286" s="77">
        <v>13097</v>
      </c>
    </row>
    <row r="287" spans="1:30" ht="13.5" thickBot="1" x14ac:dyDescent="0.25">
      <c r="A287" s="2" t="s">
        <v>534</v>
      </c>
      <c r="B287" s="1" t="s">
        <v>533</v>
      </c>
      <c r="C287" s="2" t="s">
        <v>29</v>
      </c>
      <c r="D287" s="4">
        <v>133</v>
      </c>
      <c r="E287" s="4">
        <v>3328</v>
      </c>
      <c r="F287" s="4">
        <v>1</v>
      </c>
      <c r="G287" s="4">
        <v>21</v>
      </c>
      <c r="H287" s="4">
        <v>37</v>
      </c>
      <c r="I287" s="4">
        <v>483</v>
      </c>
      <c r="J287" s="77">
        <v>1</v>
      </c>
      <c r="K287" s="77">
        <v>21</v>
      </c>
      <c r="L287" s="78" t="s">
        <v>16</v>
      </c>
      <c r="M287" s="78" t="s">
        <v>16</v>
      </c>
      <c r="N287" s="78" t="s">
        <v>16</v>
      </c>
      <c r="O287" s="4">
        <v>170</v>
      </c>
      <c r="P287" s="4">
        <v>3811</v>
      </c>
      <c r="Q287" s="2" t="s">
        <v>872</v>
      </c>
      <c r="R287" s="4">
        <v>15</v>
      </c>
      <c r="S287" s="4">
        <v>170</v>
      </c>
      <c r="T287" s="4">
        <v>2</v>
      </c>
      <c r="U287" s="4">
        <v>42</v>
      </c>
      <c r="V287" s="4">
        <v>205</v>
      </c>
      <c r="W287" s="4">
        <v>1273</v>
      </c>
      <c r="X287" s="78" t="s">
        <v>16</v>
      </c>
      <c r="Y287" s="78" t="s">
        <v>16</v>
      </c>
      <c r="Z287" s="4">
        <v>377</v>
      </c>
      <c r="AA287" s="4">
        <v>5126</v>
      </c>
      <c r="AB287" s="77">
        <f>Table4[[#This Row],[Total Attendance]]/Table4[[#This Row],[Total Events]]</f>
        <v>13.596816976127322</v>
      </c>
      <c r="AC287" s="77">
        <f>Table4[[#This Row],[Total Attendance]]/AD287</f>
        <v>0.22426390164938531</v>
      </c>
      <c r="AD287" s="77">
        <v>22857</v>
      </c>
    </row>
    <row r="288" spans="1:30" ht="13.5" thickBot="1" x14ac:dyDescent="0.25">
      <c r="A288" s="2" t="s">
        <v>548</v>
      </c>
      <c r="B288" s="1" t="s">
        <v>547</v>
      </c>
      <c r="C288" s="2" t="s">
        <v>29</v>
      </c>
      <c r="D288" s="4">
        <v>547</v>
      </c>
      <c r="E288" s="4">
        <v>16835</v>
      </c>
      <c r="F288" s="4">
        <v>106</v>
      </c>
      <c r="G288" s="4">
        <v>402</v>
      </c>
      <c r="H288" s="4">
        <v>270</v>
      </c>
      <c r="I288" s="4">
        <v>6526</v>
      </c>
      <c r="J288" s="4">
        <v>40</v>
      </c>
      <c r="K288" s="4">
        <v>95</v>
      </c>
      <c r="L288" s="78" t="s">
        <v>16</v>
      </c>
      <c r="M288" s="78" t="s">
        <v>16</v>
      </c>
      <c r="N288" s="78" t="s">
        <v>16</v>
      </c>
      <c r="O288" s="4">
        <v>817</v>
      </c>
      <c r="P288" s="4">
        <v>23361</v>
      </c>
      <c r="Q288" s="2" t="s">
        <v>872</v>
      </c>
      <c r="R288" s="4">
        <v>294</v>
      </c>
      <c r="S288" s="4">
        <v>5561</v>
      </c>
      <c r="T288" s="4">
        <v>146</v>
      </c>
      <c r="U288" s="4">
        <v>497</v>
      </c>
      <c r="V288" s="4">
        <v>584</v>
      </c>
      <c r="W288" s="4">
        <v>9583</v>
      </c>
      <c r="X288" s="77">
        <v>0</v>
      </c>
      <c r="Y288" s="78" t="s">
        <v>16</v>
      </c>
      <c r="Z288" s="4">
        <v>1547</v>
      </c>
      <c r="AA288" s="4">
        <v>33441</v>
      </c>
      <c r="AB288" s="77">
        <f>Table4[[#This Row],[Total Attendance]]/Table4[[#This Row],[Total Events]]</f>
        <v>21.616677440206853</v>
      </c>
      <c r="AC288" s="77">
        <f>Table4[[#This Row],[Total Attendance]]/AD288</f>
        <v>1.3019154403176827</v>
      </c>
      <c r="AD288" s="77">
        <v>25686</v>
      </c>
    </row>
    <row r="289" spans="1:30" ht="13.5" thickBot="1" x14ac:dyDescent="0.25">
      <c r="A289" s="2" t="s">
        <v>564</v>
      </c>
      <c r="B289" s="1" t="s">
        <v>563</v>
      </c>
      <c r="C289" s="2" t="s">
        <v>29</v>
      </c>
      <c r="D289" s="4">
        <v>3</v>
      </c>
      <c r="E289" s="4">
        <v>473</v>
      </c>
      <c r="F289" s="4">
        <v>1</v>
      </c>
      <c r="G289" s="4">
        <v>80</v>
      </c>
      <c r="H289" s="4">
        <v>8</v>
      </c>
      <c r="I289" s="4">
        <v>297</v>
      </c>
      <c r="J289" s="4">
        <v>0</v>
      </c>
      <c r="K289" s="4">
        <v>0</v>
      </c>
      <c r="L289" s="4">
        <v>90</v>
      </c>
      <c r="M289" s="4">
        <v>0</v>
      </c>
      <c r="N289" s="4">
        <v>90</v>
      </c>
      <c r="O289" s="4">
        <v>11</v>
      </c>
      <c r="P289" s="4">
        <v>770</v>
      </c>
      <c r="Q289" s="2" t="s">
        <v>873</v>
      </c>
      <c r="R289" s="4">
        <v>0</v>
      </c>
      <c r="S289" s="4">
        <v>0</v>
      </c>
      <c r="T289" s="4">
        <v>1</v>
      </c>
      <c r="U289" s="4">
        <v>80</v>
      </c>
      <c r="V289" s="4">
        <v>50</v>
      </c>
      <c r="W289" s="4">
        <v>650</v>
      </c>
      <c r="X289" s="77">
        <v>0</v>
      </c>
      <c r="Y289" s="77">
        <v>0</v>
      </c>
      <c r="Z289" s="4">
        <v>62</v>
      </c>
      <c r="AA289" s="4">
        <v>1500</v>
      </c>
      <c r="AB289" s="77">
        <f>Table4[[#This Row],[Total Attendance]]/Table4[[#This Row],[Total Events]]</f>
        <v>24.193548387096776</v>
      </c>
      <c r="AC289" s="77">
        <f>Table4[[#This Row],[Total Attendance]]/AD289</f>
        <v>0.11941724385001194</v>
      </c>
      <c r="AD289" s="77">
        <v>12561</v>
      </c>
    </row>
    <row r="290" spans="1:30" ht="13.5" thickBot="1" x14ac:dyDescent="0.25">
      <c r="A290" s="2" t="s">
        <v>574</v>
      </c>
      <c r="B290" s="1" t="s">
        <v>573</v>
      </c>
      <c r="C290" s="2" t="s">
        <v>29</v>
      </c>
      <c r="D290" s="4">
        <v>265</v>
      </c>
      <c r="E290" s="4">
        <v>7892</v>
      </c>
      <c r="F290" s="4">
        <v>7</v>
      </c>
      <c r="G290" s="4">
        <v>74</v>
      </c>
      <c r="H290" s="4">
        <v>37</v>
      </c>
      <c r="I290" s="4">
        <v>1530</v>
      </c>
      <c r="J290" s="4">
        <v>3</v>
      </c>
      <c r="K290" s="4">
        <v>18</v>
      </c>
      <c r="L290" s="4">
        <v>369</v>
      </c>
      <c r="M290" s="4">
        <v>14</v>
      </c>
      <c r="N290" s="4">
        <v>383</v>
      </c>
      <c r="O290" s="4">
        <v>302</v>
      </c>
      <c r="P290" s="4">
        <v>9422</v>
      </c>
      <c r="Q290" s="2" t="s">
        <v>872</v>
      </c>
      <c r="R290" s="4">
        <v>183</v>
      </c>
      <c r="S290" s="4">
        <v>3724</v>
      </c>
      <c r="T290" s="4">
        <v>10</v>
      </c>
      <c r="U290" s="4">
        <v>92</v>
      </c>
      <c r="V290" s="4">
        <v>125</v>
      </c>
      <c r="W290" s="4">
        <v>2021</v>
      </c>
      <c r="X290" s="4">
        <v>2</v>
      </c>
      <c r="Y290" s="4">
        <v>148</v>
      </c>
      <c r="Z290" s="4">
        <v>439</v>
      </c>
      <c r="AA290" s="4">
        <v>11683</v>
      </c>
      <c r="AB290" s="77">
        <f>Table4[[#This Row],[Total Attendance]]/Table4[[#This Row],[Total Events]]</f>
        <v>26.612756264236904</v>
      </c>
      <c r="AC290" s="77">
        <f>Table4[[#This Row],[Total Attendance]]/AD290</f>
        <v>0.4834878331402086</v>
      </c>
      <c r="AD290" s="77">
        <v>24164</v>
      </c>
    </row>
    <row r="291" spans="1:30" ht="13.5" thickBot="1" x14ac:dyDescent="0.25">
      <c r="A291" s="2" t="s">
        <v>576</v>
      </c>
      <c r="B291" s="1" t="s">
        <v>575</v>
      </c>
      <c r="C291" s="2" t="s">
        <v>29</v>
      </c>
      <c r="D291" s="4">
        <v>164</v>
      </c>
      <c r="E291" s="4">
        <v>7177</v>
      </c>
      <c r="F291" s="4">
        <v>53</v>
      </c>
      <c r="G291" s="4">
        <v>579</v>
      </c>
      <c r="H291" s="4">
        <v>38</v>
      </c>
      <c r="I291" s="4">
        <v>2281</v>
      </c>
      <c r="J291" s="4">
        <v>9</v>
      </c>
      <c r="K291" s="4">
        <v>128</v>
      </c>
      <c r="L291" s="77">
        <v>604</v>
      </c>
      <c r="M291" s="77">
        <v>132</v>
      </c>
      <c r="N291" s="77">
        <v>736</v>
      </c>
      <c r="O291" s="4">
        <v>202</v>
      </c>
      <c r="P291" s="4">
        <v>9458</v>
      </c>
      <c r="Q291" s="2" t="s">
        <v>872</v>
      </c>
      <c r="R291" s="4">
        <v>72</v>
      </c>
      <c r="S291" s="4">
        <v>2599</v>
      </c>
      <c r="T291" s="4">
        <v>62</v>
      </c>
      <c r="U291" s="4">
        <v>707</v>
      </c>
      <c r="V291" s="4">
        <v>85</v>
      </c>
      <c r="W291" s="4">
        <v>1237</v>
      </c>
      <c r="X291" s="77">
        <v>10</v>
      </c>
      <c r="Y291" s="77">
        <v>4589</v>
      </c>
      <c r="Z291" s="4">
        <v>359</v>
      </c>
      <c r="AA291" s="4">
        <v>15991</v>
      </c>
      <c r="AB291" s="77">
        <f>Table4[[#This Row],[Total Attendance]]/Table4[[#This Row],[Total Events]]</f>
        <v>44.543175487465184</v>
      </c>
      <c r="AC291" s="77">
        <f>Table4[[#This Row],[Total Attendance]]/AD291</f>
        <v>1.1237526352775826</v>
      </c>
      <c r="AD291" s="77">
        <v>14230</v>
      </c>
    </row>
    <row r="292" spans="1:30" ht="13.5" thickBot="1" x14ac:dyDescent="0.25">
      <c r="A292" s="2" t="s">
        <v>580</v>
      </c>
      <c r="B292" s="1" t="s">
        <v>579</v>
      </c>
      <c r="C292" s="2" t="s">
        <v>29</v>
      </c>
      <c r="D292" s="4">
        <v>382</v>
      </c>
      <c r="E292" s="4">
        <v>10545</v>
      </c>
      <c r="F292" s="4">
        <v>75</v>
      </c>
      <c r="G292" s="4">
        <v>789</v>
      </c>
      <c r="H292" s="4">
        <v>83</v>
      </c>
      <c r="I292" s="4">
        <v>2570</v>
      </c>
      <c r="J292" s="77">
        <v>23</v>
      </c>
      <c r="K292" s="77">
        <v>183</v>
      </c>
      <c r="L292" s="77">
        <v>686</v>
      </c>
      <c r="M292" s="77">
        <v>115</v>
      </c>
      <c r="N292" s="77">
        <v>801</v>
      </c>
      <c r="O292" s="4">
        <v>465</v>
      </c>
      <c r="P292" s="4">
        <v>13115</v>
      </c>
      <c r="Q292" s="2" t="s">
        <v>872</v>
      </c>
      <c r="R292" s="4">
        <v>203</v>
      </c>
      <c r="S292" s="4">
        <v>3726</v>
      </c>
      <c r="T292" s="4">
        <v>98</v>
      </c>
      <c r="U292" s="4">
        <v>972</v>
      </c>
      <c r="V292" s="4">
        <v>112</v>
      </c>
      <c r="W292" s="4">
        <v>9688</v>
      </c>
      <c r="X292" s="77">
        <v>41</v>
      </c>
      <c r="Y292" s="77">
        <v>6744</v>
      </c>
      <c r="Z292" s="4">
        <v>716</v>
      </c>
      <c r="AA292" s="4">
        <v>30519</v>
      </c>
      <c r="AB292" s="77">
        <f>Table4[[#This Row],[Total Attendance]]/Table4[[#This Row],[Total Events]]</f>
        <v>42.624301675977655</v>
      </c>
      <c r="AC292" s="77">
        <f>Table4[[#This Row],[Total Attendance]]/AD292</f>
        <v>1.4868459514761765</v>
      </c>
      <c r="AD292" s="77">
        <v>20526</v>
      </c>
    </row>
    <row r="293" spans="1:30" ht="13.5" thickBot="1" x14ac:dyDescent="0.25">
      <c r="A293" s="2" t="s">
        <v>588</v>
      </c>
      <c r="B293" s="1" t="s">
        <v>587</v>
      </c>
      <c r="C293" s="2" t="s">
        <v>29</v>
      </c>
      <c r="D293" s="77">
        <v>224</v>
      </c>
      <c r="E293" s="77">
        <v>6093</v>
      </c>
      <c r="F293" s="77">
        <v>16</v>
      </c>
      <c r="G293" s="77">
        <v>286</v>
      </c>
      <c r="H293" s="77">
        <v>35</v>
      </c>
      <c r="I293" s="77">
        <v>1497</v>
      </c>
      <c r="J293" s="77">
        <v>3</v>
      </c>
      <c r="K293" s="77">
        <v>455</v>
      </c>
      <c r="L293" s="77">
        <v>467</v>
      </c>
      <c r="M293" s="77">
        <v>393</v>
      </c>
      <c r="N293" s="77">
        <v>860</v>
      </c>
      <c r="O293" s="77">
        <v>259</v>
      </c>
      <c r="P293" s="77">
        <v>7590</v>
      </c>
      <c r="Q293" s="2" t="s">
        <v>872</v>
      </c>
      <c r="R293" s="77">
        <v>0</v>
      </c>
      <c r="S293" s="77">
        <v>0</v>
      </c>
      <c r="T293" s="77">
        <v>19</v>
      </c>
      <c r="U293" s="77">
        <v>741</v>
      </c>
      <c r="V293" s="77">
        <v>106</v>
      </c>
      <c r="W293" s="77">
        <v>896</v>
      </c>
      <c r="X293" s="77">
        <v>74</v>
      </c>
      <c r="Y293" s="77">
        <v>2832</v>
      </c>
      <c r="Z293" s="77">
        <v>458</v>
      </c>
      <c r="AA293" s="77">
        <v>12059</v>
      </c>
      <c r="AB293" s="77">
        <f>Table4[[#This Row],[Total Attendance]]/Table4[[#This Row],[Total Events]]</f>
        <v>26.329694323144103</v>
      </c>
      <c r="AC293" s="77">
        <f>Table4[[#This Row],[Total Attendance]]/AD293</f>
        <v>0.88806244937035128</v>
      </c>
      <c r="AD293" s="77">
        <v>13579</v>
      </c>
    </row>
    <row r="294" spans="1:30" ht="13.5" thickBot="1" x14ac:dyDescent="0.25">
      <c r="A294" s="2" t="s">
        <v>600</v>
      </c>
      <c r="B294" s="1" t="s">
        <v>599</v>
      </c>
      <c r="C294" s="2" t="s">
        <v>29</v>
      </c>
      <c r="D294" s="4">
        <v>215</v>
      </c>
      <c r="E294" s="4">
        <v>4178</v>
      </c>
      <c r="F294" s="4">
        <v>114</v>
      </c>
      <c r="G294" s="4">
        <v>1080</v>
      </c>
      <c r="H294" s="4">
        <v>48</v>
      </c>
      <c r="I294" s="4">
        <v>1095</v>
      </c>
      <c r="J294" s="77">
        <v>29</v>
      </c>
      <c r="K294" s="77">
        <v>385</v>
      </c>
      <c r="L294" s="77">
        <v>453</v>
      </c>
      <c r="M294" s="77">
        <v>97</v>
      </c>
      <c r="N294" s="77">
        <v>550</v>
      </c>
      <c r="O294" s="4">
        <v>263</v>
      </c>
      <c r="P294" s="4">
        <v>5273</v>
      </c>
      <c r="Q294" s="2" t="s">
        <v>872</v>
      </c>
      <c r="R294" s="4">
        <v>109</v>
      </c>
      <c r="S294" s="4">
        <v>1644</v>
      </c>
      <c r="T294" s="4">
        <v>143</v>
      </c>
      <c r="U294" s="4">
        <v>1465</v>
      </c>
      <c r="V294" s="4">
        <v>307</v>
      </c>
      <c r="W294" s="4">
        <v>5165</v>
      </c>
      <c r="X294" s="78" t="s">
        <v>16</v>
      </c>
      <c r="Y294" s="78" t="s">
        <v>16</v>
      </c>
      <c r="Z294" s="4">
        <v>713</v>
      </c>
      <c r="AA294" s="4">
        <v>11903</v>
      </c>
      <c r="AB294" s="77">
        <f>Table4[[#This Row],[Total Attendance]]/Table4[[#This Row],[Total Events]]</f>
        <v>16.694249649368864</v>
      </c>
      <c r="AC294" s="77">
        <f>Table4[[#This Row],[Total Attendance]]/AD294</f>
        <v>0.71237057873002574</v>
      </c>
      <c r="AD294" s="77">
        <v>16709</v>
      </c>
    </row>
    <row r="295" spans="1:30" ht="13.5" thickBot="1" x14ac:dyDescent="0.25">
      <c r="A295" s="2" t="s">
        <v>616</v>
      </c>
      <c r="B295" s="1" t="s">
        <v>615</v>
      </c>
      <c r="C295" s="2" t="s">
        <v>29</v>
      </c>
      <c r="D295" s="4">
        <v>280</v>
      </c>
      <c r="E295" s="4">
        <v>6100</v>
      </c>
      <c r="F295" s="4">
        <v>30</v>
      </c>
      <c r="G295" s="4">
        <v>100</v>
      </c>
      <c r="H295" s="4">
        <v>70</v>
      </c>
      <c r="I295" s="4">
        <v>4000</v>
      </c>
      <c r="J295" s="4">
        <v>15</v>
      </c>
      <c r="K295" s="4">
        <v>150</v>
      </c>
      <c r="L295" s="4">
        <v>700</v>
      </c>
      <c r="M295" s="77">
        <v>282</v>
      </c>
      <c r="N295" s="4">
        <v>982</v>
      </c>
      <c r="O295" s="4">
        <v>350</v>
      </c>
      <c r="P295" s="4">
        <v>10100</v>
      </c>
      <c r="Q295" s="2" t="s">
        <v>872</v>
      </c>
      <c r="R295" s="77">
        <v>280</v>
      </c>
      <c r="S295" s="4">
        <v>6100</v>
      </c>
      <c r="T295" s="4">
        <v>45</v>
      </c>
      <c r="U295" s="4">
        <v>250</v>
      </c>
      <c r="V295" s="4">
        <v>250</v>
      </c>
      <c r="W295" s="4">
        <v>4000</v>
      </c>
      <c r="X295" s="4">
        <v>20</v>
      </c>
      <c r="Y295" s="4">
        <v>520</v>
      </c>
      <c r="Z295" s="4">
        <v>665</v>
      </c>
      <c r="AA295" s="4">
        <v>14870</v>
      </c>
      <c r="AB295" s="77">
        <f>Table4[[#This Row],[Total Attendance]]/Table4[[#This Row],[Total Events]]</f>
        <v>22.360902255639097</v>
      </c>
      <c r="AC295" s="77">
        <f>Table4[[#This Row],[Total Attendance]]/AD295</f>
        <v>1.1619002969213941</v>
      </c>
      <c r="AD295" s="77">
        <v>12798</v>
      </c>
    </row>
    <row r="296" spans="1:30" ht="13.5" thickBot="1" x14ac:dyDescent="0.25">
      <c r="A296" s="2" t="s">
        <v>618</v>
      </c>
      <c r="B296" s="1" t="s">
        <v>617</v>
      </c>
      <c r="C296" s="2" t="s">
        <v>29</v>
      </c>
      <c r="D296" s="4">
        <v>182</v>
      </c>
      <c r="E296" s="4">
        <v>3378</v>
      </c>
      <c r="F296" s="4">
        <v>58</v>
      </c>
      <c r="G296" s="4">
        <v>642</v>
      </c>
      <c r="H296" s="4">
        <v>18</v>
      </c>
      <c r="I296" s="4">
        <v>569</v>
      </c>
      <c r="J296" s="4">
        <v>6</v>
      </c>
      <c r="K296" s="4">
        <v>248</v>
      </c>
      <c r="L296" s="77">
        <v>250</v>
      </c>
      <c r="M296" s="77">
        <v>29</v>
      </c>
      <c r="N296" s="77">
        <v>279</v>
      </c>
      <c r="O296" s="4">
        <v>200</v>
      </c>
      <c r="P296" s="4">
        <v>3947</v>
      </c>
      <c r="Q296" s="2" t="s">
        <v>872</v>
      </c>
      <c r="R296" s="4">
        <v>110</v>
      </c>
      <c r="S296" s="4">
        <v>1804</v>
      </c>
      <c r="T296" s="4">
        <v>64</v>
      </c>
      <c r="U296" s="4">
        <v>890</v>
      </c>
      <c r="V296" s="4">
        <v>57</v>
      </c>
      <c r="W296" s="4">
        <v>372</v>
      </c>
      <c r="X296" s="77">
        <v>2</v>
      </c>
      <c r="Y296" s="77">
        <v>650</v>
      </c>
      <c r="Z296" s="4">
        <v>323</v>
      </c>
      <c r="AA296" s="4">
        <v>5859</v>
      </c>
      <c r="AB296" s="77">
        <f>Table4[[#This Row],[Total Attendance]]/Table4[[#This Row],[Total Events]]</f>
        <v>18.139318885448915</v>
      </c>
      <c r="AC296" s="77">
        <f>Table4[[#This Row],[Total Attendance]]/AD296</f>
        <v>0.42114721104082808</v>
      </c>
      <c r="AD296" s="77">
        <v>13912</v>
      </c>
    </row>
    <row r="297" spans="1:30" ht="13.5" thickBot="1" x14ac:dyDescent="0.25">
      <c r="A297" s="2" t="s">
        <v>622</v>
      </c>
      <c r="B297" s="1" t="s">
        <v>621</v>
      </c>
      <c r="C297" s="2" t="s">
        <v>29</v>
      </c>
      <c r="D297" s="4">
        <v>265</v>
      </c>
      <c r="E297" s="4">
        <v>5077</v>
      </c>
      <c r="F297" s="4">
        <v>0</v>
      </c>
      <c r="G297" s="4">
        <v>0</v>
      </c>
      <c r="H297" s="4">
        <v>26</v>
      </c>
      <c r="I297" s="4">
        <v>35</v>
      </c>
      <c r="J297" s="4">
        <v>0</v>
      </c>
      <c r="K297" s="4">
        <v>0</v>
      </c>
      <c r="L297" s="4">
        <v>150</v>
      </c>
      <c r="M297" s="77">
        <v>0</v>
      </c>
      <c r="N297" s="4">
        <v>150</v>
      </c>
      <c r="O297" s="4">
        <v>291</v>
      </c>
      <c r="P297" s="4">
        <v>5112</v>
      </c>
      <c r="Q297" s="2" t="s">
        <v>872</v>
      </c>
      <c r="R297" s="4">
        <v>0</v>
      </c>
      <c r="S297" s="4">
        <v>0</v>
      </c>
      <c r="T297" s="4">
        <v>0</v>
      </c>
      <c r="U297" s="4">
        <v>0</v>
      </c>
      <c r="V297" s="4">
        <v>231</v>
      </c>
      <c r="W297" s="4">
        <v>5826</v>
      </c>
      <c r="X297" s="77">
        <v>60</v>
      </c>
      <c r="Y297" s="77">
        <v>4786</v>
      </c>
      <c r="Z297" s="4">
        <v>582</v>
      </c>
      <c r="AA297" s="4">
        <v>15724</v>
      </c>
      <c r="AB297" s="77">
        <f>Table4[[#This Row],[Total Attendance]]/Table4[[#This Row],[Total Events]]</f>
        <v>27.017182130584192</v>
      </c>
      <c r="AC297" s="77">
        <f>Table4[[#This Row],[Total Attendance]]/AD297</f>
        <v>1.0568624815163328</v>
      </c>
      <c r="AD297" s="77">
        <v>14878</v>
      </c>
    </row>
    <row r="298" spans="1:30" ht="13.5" thickBot="1" x14ac:dyDescent="0.25">
      <c r="A298" s="2" t="s">
        <v>658</v>
      </c>
      <c r="B298" s="1" t="s">
        <v>657</v>
      </c>
      <c r="C298" s="2" t="s">
        <v>29</v>
      </c>
      <c r="D298" s="4">
        <v>91</v>
      </c>
      <c r="E298" s="4">
        <v>1287</v>
      </c>
      <c r="F298" s="4">
        <v>0</v>
      </c>
      <c r="G298" s="4">
        <v>0</v>
      </c>
      <c r="H298" s="4">
        <v>39</v>
      </c>
      <c r="I298" s="4">
        <v>743</v>
      </c>
      <c r="J298" s="78" t="s">
        <v>16</v>
      </c>
      <c r="K298" s="78" t="s">
        <v>16</v>
      </c>
      <c r="L298" s="4">
        <v>102</v>
      </c>
      <c r="M298" s="78" t="s">
        <v>16</v>
      </c>
      <c r="N298" s="4">
        <v>102</v>
      </c>
      <c r="O298" s="4">
        <v>130</v>
      </c>
      <c r="P298" s="4">
        <v>2030</v>
      </c>
      <c r="Q298" s="2" t="s">
        <v>872</v>
      </c>
      <c r="R298" s="4">
        <v>60</v>
      </c>
      <c r="S298" s="4">
        <v>370</v>
      </c>
      <c r="T298" s="4">
        <v>0</v>
      </c>
      <c r="U298" s="4">
        <v>0</v>
      </c>
      <c r="V298" s="4">
        <v>26</v>
      </c>
      <c r="W298" s="4">
        <v>390</v>
      </c>
      <c r="X298" s="77">
        <v>0</v>
      </c>
      <c r="Y298" s="77">
        <v>0</v>
      </c>
      <c r="Z298" s="4">
        <v>156</v>
      </c>
      <c r="AA298" s="4">
        <v>2420</v>
      </c>
      <c r="AB298" s="77">
        <f>Table4[[#This Row],[Total Attendance]]/Table4[[#This Row],[Total Events]]</f>
        <v>15.512820512820513</v>
      </c>
      <c r="AC298" s="77">
        <f>Table4[[#This Row],[Total Attendance]]/AD298</f>
        <v>0.19381707512413904</v>
      </c>
      <c r="AD298" s="77">
        <v>12486</v>
      </c>
    </row>
    <row r="299" spans="1:30" ht="13.5" thickBot="1" x14ac:dyDescent="0.25">
      <c r="A299" s="2" t="s">
        <v>686</v>
      </c>
      <c r="B299" s="1" t="s">
        <v>685</v>
      </c>
      <c r="C299" s="2" t="s">
        <v>29</v>
      </c>
      <c r="D299" s="4">
        <v>227</v>
      </c>
      <c r="E299" s="4">
        <v>5515</v>
      </c>
      <c r="F299" s="4">
        <v>21</v>
      </c>
      <c r="G299" s="4">
        <v>209</v>
      </c>
      <c r="H299" s="4">
        <v>32</v>
      </c>
      <c r="I299" s="4">
        <v>1375</v>
      </c>
      <c r="J299" s="4">
        <v>11</v>
      </c>
      <c r="K299" s="4">
        <v>142</v>
      </c>
      <c r="L299" s="4">
        <v>578</v>
      </c>
      <c r="M299" s="77">
        <v>187</v>
      </c>
      <c r="N299" s="4">
        <v>765</v>
      </c>
      <c r="O299" s="4">
        <v>259</v>
      </c>
      <c r="P299" s="4">
        <v>6890</v>
      </c>
      <c r="Q299" s="2" t="s">
        <v>872</v>
      </c>
      <c r="R299" s="77">
        <v>195</v>
      </c>
      <c r="S299" s="4">
        <v>4231</v>
      </c>
      <c r="T299" s="4">
        <v>32</v>
      </c>
      <c r="U299" s="4">
        <v>351</v>
      </c>
      <c r="V299" s="4">
        <v>137</v>
      </c>
      <c r="W299" s="4">
        <v>1189</v>
      </c>
      <c r="X299" s="4">
        <v>30</v>
      </c>
      <c r="Y299" s="4">
        <v>1644</v>
      </c>
      <c r="Z299" s="4">
        <v>458</v>
      </c>
      <c r="AA299" s="4">
        <v>10074</v>
      </c>
      <c r="AB299" s="77">
        <f>Table4[[#This Row],[Total Attendance]]/Table4[[#This Row],[Total Events]]</f>
        <v>21.995633187772924</v>
      </c>
      <c r="AC299" s="77">
        <f>Table4[[#This Row],[Total Attendance]]/AD299</f>
        <v>0.60132513579657376</v>
      </c>
      <c r="AD299" s="77">
        <v>16753</v>
      </c>
    </row>
    <row r="300" spans="1:30" ht="13.5" thickBot="1" x14ac:dyDescent="0.25">
      <c r="A300" s="2" t="s">
        <v>728</v>
      </c>
      <c r="B300" s="1" t="s">
        <v>727</v>
      </c>
      <c r="C300" s="2" t="s">
        <v>29</v>
      </c>
      <c r="D300" s="4">
        <v>237</v>
      </c>
      <c r="E300" s="4">
        <v>7623</v>
      </c>
      <c r="F300" s="4">
        <v>18</v>
      </c>
      <c r="G300" s="4">
        <v>362</v>
      </c>
      <c r="H300" s="4">
        <v>45</v>
      </c>
      <c r="I300" s="4">
        <v>2035</v>
      </c>
      <c r="J300" s="4">
        <v>8</v>
      </c>
      <c r="K300" s="4">
        <v>183</v>
      </c>
      <c r="L300" s="4">
        <v>740</v>
      </c>
      <c r="M300" s="4">
        <v>338</v>
      </c>
      <c r="N300" s="4">
        <v>1078</v>
      </c>
      <c r="O300" s="4">
        <v>282</v>
      </c>
      <c r="P300" s="4">
        <v>9658</v>
      </c>
      <c r="Q300" s="2" t="s">
        <v>872</v>
      </c>
      <c r="R300" s="4">
        <v>140</v>
      </c>
      <c r="S300" s="4">
        <v>5025</v>
      </c>
      <c r="T300" s="4">
        <v>26</v>
      </c>
      <c r="U300" s="4">
        <v>545</v>
      </c>
      <c r="V300" s="4">
        <v>110</v>
      </c>
      <c r="W300" s="4">
        <v>1999</v>
      </c>
      <c r="X300" s="4">
        <v>27</v>
      </c>
      <c r="Y300" s="4">
        <v>1597</v>
      </c>
      <c r="Z300" s="4">
        <v>445</v>
      </c>
      <c r="AA300" s="4">
        <v>13799</v>
      </c>
      <c r="AB300" s="77">
        <f>Table4[[#This Row],[Total Attendance]]/Table4[[#This Row],[Total Events]]</f>
        <v>31.008988764044943</v>
      </c>
      <c r="AC300" s="77">
        <f>Table4[[#This Row],[Total Attendance]]/AD300</f>
        <v>0.7556955093099671</v>
      </c>
      <c r="AD300" s="77">
        <v>18260</v>
      </c>
    </row>
    <row r="301" spans="1:30" ht="13.5" thickBot="1" x14ac:dyDescent="0.25">
      <c r="A301" s="2" t="s">
        <v>730</v>
      </c>
      <c r="B301" s="1" t="s">
        <v>729</v>
      </c>
      <c r="C301" s="2" t="s">
        <v>29</v>
      </c>
      <c r="D301" s="4">
        <v>159</v>
      </c>
      <c r="E301" s="4">
        <v>4120</v>
      </c>
      <c r="F301" s="4">
        <v>1</v>
      </c>
      <c r="G301" s="4">
        <v>15</v>
      </c>
      <c r="H301" s="4">
        <v>81</v>
      </c>
      <c r="I301" s="4">
        <v>2240</v>
      </c>
      <c r="J301" s="4">
        <v>5</v>
      </c>
      <c r="K301" s="4">
        <v>28</v>
      </c>
      <c r="L301" s="77">
        <v>232</v>
      </c>
      <c r="M301" s="77">
        <v>20</v>
      </c>
      <c r="N301" s="77">
        <v>252</v>
      </c>
      <c r="O301" s="4">
        <v>240</v>
      </c>
      <c r="P301" s="4">
        <v>6360</v>
      </c>
      <c r="Q301" s="2" t="s">
        <v>872</v>
      </c>
      <c r="R301" s="4">
        <v>100</v>
      </c>
      <c r="S301" s="4">
        <v>2633</v>
      </c>
      <c r="T301" s="4">
        <v>6</v>
      </c>
      <c r="U301" s="4">
        <v>43</v>
      </c>
      <c r="V301" s="4">
        <v>52</v>
      </c>
      <c r="W301" s="4">
        <v>897</v>
      </c>
      <c r="X301" s="77">
        <v>0</v>
      </c>
      <c r="Y301" s="77">
        <v>0</v>
      </c>
      <c r="Z301" s="4">
        <v>298</v>
      </c>
      <c r="AA301" s="4">
        <v>7300</v>
      </c>
      <c r="AB301" s="77">
        <f>Table4[[#This Row],[Total Attendance]]/Table4[[#This Row],[Total Events]]</f>
        <v>24.496644295302012</v>
      </c>
      <c r="AC301" s="77">
        <f>Table4[[#This Row],[Total Attendance]]/AD301</f>
        <v>0.52367288378766141</v>
      </c>
      <c r="AD301" s="77">
        <v>13940</v>
      </c>
    </row>
    <row r="302" spans="1:30" ht="13.5" thickBot="1" x14ac:dyDescent="0.25">
      <c r="A302" s="2" t="s">
        <v>736</v>
      </c>
      <c r="B302" s="1" t="s">
        <v>735</v>
      </c>
      <c r="C302" s="2" t="s">
        <v>29</v>
      </c>
      <c r="D302" s="4">
        <v>92</v>
      </c>
      <c r="E302" s="4">
        <v>3580</v>
      </c>
      <c r="F302" s="4">
        <v>1</v>
      </c>
      <c r="G302" s="4">
        <v>28</v>
      </c>
      <c r="H302" s="4">
        <v>14</v>
      </c>
      <c r="I302" s="4">
        <v>1229</v>
      </c>
      <c r="J302" s="77">
        <v>0</v>
      </c>
      <c r="K302" s="77">
        <v>0</v>
      </c>
      <c r="L302" s="4">
        <v>238</v>
      </c>
      <c r="M302" s="77">
        <v>77</v>
      </c>
      <c r="N302" s="4">
        <v>315</v>
      </c>
      <c r="O302" s="4">
        <v>106</v>
      </c>
      <c r="P302" s="4">
        <v>4809</v>
      </c>
      <c r="Q302" s="2" t="s">
        <v>872</v>
      </c>
      <c r="R302" s="4">
        <v>90</v>
      </c>
      <c r="S302" s="4">
        <v>3104</v>
      </c>
      <c r="T302" s="4">
        <v>1</v>
      </c>
      <c r="U302" s="4">
        <v>28</v>
      </c>
      <c r="V302" s="4">
        <v>23</v>
      </c>
      <c r="W302" s="4">
        <v>773</v>
      </c>
      <c r="X302" s="4">
        <v>2</v>
      </c>
      <c r="Y302" s="4">
        <v>350</v>
      </c>
      <c r="Z302" s="4">
        <v>132</v>
      </c>
      <c r="AA302" s="4">
        <v>5960</v>
      </c>
      <c r="AB302" s="77">
        <f>Table4[[#This Row],[Total Attendance]]/Table4[[#This Row],[Total Events]]</f>
        <v>45.151515151515149</v>
      </c>
      <c r="AC302" s="77">
        <f>Table4[[#This Row],[Total Attendance]]/AD302</f>
        <v>0.33227407035736189</v>
      </c>
      <c r="AD302" s="77">
        <v>17937</v>
      </c>
    </row>
    <row r="303" spans="1:30" ht="13.5" thickBot="1" x14ac:dyDescent="0.25">
      <c r="A303" s="2" t="s">
        <v>755</v>
      </c>
      <c r="B303" s="1" t="s">
        <v>754</v>
      </c>
      <c r="C303" s="2" t="s">
        <v>29</v>
      </c>
      <c r="D303" s="4">
        <v>41</v>
      </c>
      <c r="E303" s="4">
        <v>729</v>
      </c>
      <c r="F303" s="4">
        <v>53</v>
      </c>
      <c r="G303" s="4">
        <v>1249</v>
      </c>
      <c r="H303" s="4">
        <v>1</v>
      </c>
      <c r="I303" s="4">
        <v>68</v>
      </c>
      <c r="J303" s="4">
        <v>1</v>
      </c>
      <c r="K303" s="4">
        <v>22</v>
      </c>
      <c r="L303" s="77">
        <v>334</v>
      </c>
      <c r="M303" s="77">
        <v>19</v>
      </c>
      <c r="N303" s="77">
        <v>353</v>
      </c>
      <c r="O303" s="4">
        <v>42</v>
      </c>
      <c r="P303" s="4">
        <v>797</v>
      </c>
      <c r="Q303" s="2" t="s">
        <v>873</v>
      </c>
      <c r="R303" s="4">
        <v>0</v>
      </c>
      <c r="S303" s="4">
        <v>0</v>
      </c>
      <c r="T303" s="4">
        <v>54</v>
      </c>
      <c r="U303" s="4">
        <v>1271</v>
      </c>
      <c r="V303" s="4">
        <v>101</v>
      </c>
      <c r="W303" s="4">
        <v>2742</v>
      </c>
      <c r="X303" s="77">
        <v>0</v>
      </c>
      <c r="Y303" s="77">
        <v>0</v>
      </c>
      <c r="Z303" s="4">
        <v>197</v>
      </c>
      <c r="AA303" s="4">
        <v>4810</v>
      </c>
      <c r="AB303" s="77">
        <f>Table4[[#This Row],[Total Attendance]]/Table4[[#This Row],[Total Events]]</f>
        <v>24.416243654822335</v>
      </c>
      <c r="AC303" s="77">
        <f>Table4[[#This Row],[Total Attendance]]/AD303</f>
        <v>0.26524760119113266</v>
      </c>
      <c r="AD303" s="77">
        <v>18134</v>
      </c>
    </row>
    <row r="304" spans="1:30" ht="13.5" thickBot="1" x14ac:dyDescent="0.25">
      <c r="A304" s="2" t="s">
        <v>767</v>
      </c>
      <c r="B304" s="1" t="s">
        <v>766</v>
      </c>
      <c r="C304" s="2" t="s">
        <v>29</v>
      </c>
      <c r="D304" s="77">
        <v>5</v>
      </c>
      <c r="E304" s="77">
        <v>283</v>
      </c>
      <c r="F304" s="77">
        <v>1</v>
      </c>
      <c r="G304" s="77">
        <v>18</v>
      </c>
      <c r="H304" s="77">
        <v>10</v>
      </c>
      <c r="I304" s="77">
        <v>730</v>
      </c>
      <c r="J304" s="77">
        <v>0</v>
      </c>
      <c r="K304" s="77">
        <v>0</v>
      </c>
      <c r="L304" s="77">
        <v>238</v>
      </c>
      <c r="M304" s="77">
        <v>29</v>
      </c>
      <c r="N304" s="77">
        <v>267</v>
      </c>
      <c r="O304" s="77">
        <v>15</v>
      </c>
      <c r="P304" s="77">
        <v>1013</v>
      </c>
      <c r="Q304" s="2" t="s">
        <v>872</v>
      </c>
      <c r="R304" s="77">
        <v>1</v>
      </c>
      <c r="S304" s="77">
        <v>102</v>
      </c>
      <c r="T304" s="77">
        <v>1</v>
      </c>
      <c r="U304" s="77">
        <v>18</v>
      </c>
      <c r="V304" s="77">
        <v>9</v>
      </c>
      <c r="W304" s="77">
        <v>49</v>
      </c>
      <c r="X304" s="77">
        <v>1</v>
      </c>
      <c r="Y304" s="77">
        <v>169</v>
      </c>
      <c r="Z304" s="77">
        <v>26</v>
      </c>
      <c r="AA304" s="77">
        <v>1249</v>
      </c>
      <c r="AB304" s="77">
        <f>Table4[[#This Row],[Total Attendance]]/Table4[[#This Row],[Total Events]]</f>
        <v>48.03846153846154</v>
      </c>
      <c r="AC304" s="77">
        <f>Table4[[#This Row],[Total Attendance]]/AD304</f>
        <v>7.3988507789822883E-2</v>
      </c>
      <c r="AD304" s="77">
        <v>16881</v>
      </c>
    </row>
    <row r="305" spans="1:30" ht="13.5" thickBot="1" x14ac:dyDescent="0.25">
      <c r="A305" s="2" t="s">
        <v>771</v>
      </c>
      <c r="B305" s="1" t="s">
        <v>770</v>
      </c>
      <c r="C305" s="2" t="s">
        <v>29</v>
      </c>
      <c r="D305" s="4">
        <v>262</v>
      </c>
      <c r="E305" s="4">
        <v>3606</v>
      </c>
      <c r="F305" s="4">
        <v>125</v>
      </c>
      <c r="G305" s="4">
        <v>1588</v>
      </c>
      <c r="H305" s="4">
        <v>83</v>
      </c>
      <c r="I305" s="4">
        <v>1941</v>
      </c>
      <c r="J305" s="4">
        <v>11</v>
      </c>
      <c r="K305" s="4">
        <v>49</v>
      </c>
      <c r="L305" s="4">
        <v>233</v>
      </c>
      <c r="M305" s="77">
        <v>84</v>
      </c>
      <c r="N305" s="4">
        <v>317</v>
      </c>
      <c r="O305" s="4">
        <v>345</v>
      </c>
      <c r="P305" s="4">
        <v>5547</v>
      </c>
      <c r="Q305" s="2" t="s">
        <v>872</v>
      </c>
      <c r="R305" s="4">
        <v>127</v>
      </c>
      <c r="S305" s="4">
        <v>1953</v>
      </c>
      <c r="T305" s="4">
        <v>136</v>
      </c>
      <c r="U305" s="4">
        <v>1637</v>
      </c>
      <c r="V305" s="4">
        <v>48</v>
      </c>
      <c r="W305" s="4">
        <v>646</v>
      </c>
      <c r="X305" s="77">
        <v>41</v>
      </c>
      <c r="Y305" s="77">
        <v>940</v>
      </c>
      <c r="Z305" s="4">
        <v>570</v>
      </c>
      <c r="AA305" s="4">
        <v>8770</v>
      </c>
      <c r="AB305" s="77">
        <f>Table4[[#This Row],[Total Attendance]]/Table4[[#This Row],[Total Events]]</f>
        <v>15.385964912280702</v>
      </c>
      <c r="AC305" s="77">
        <f>Table4[[#This Row],[Total Attendance]]/AD305</f>
        <v>0.61530905774222966</v>
      </c>
      <c r="AD305" s="77">
        <v>14253</v>
      </c>
    </row>
    <row r="306" spans="1:30" ht="13.5" thickBot="1" x14ac:dyDescent="0.25">
      <c r="A306" s="2" t="s">
        <v>791</v>
      </c>
      <c r="B306" s="1" t="s">
        <v>790</v>
      </c>
      <c r="C306" s="2" t="s">
        <v>29</v>
      </c>
      <c r="D306" s="4">
        <v>90</v>
      </c>
      <c r="E306" s="4">
        <v>1782</v>
      </c>
      <c r="F306" s="4">
        <v>23</v>
      </c>
      <c r="G306" s="4">
        <v>355</v>
      </c>
      <c r="H306" s="4">
        <v>31</v>
      </c>
      <c r="I306" s="4">
        <v>1947</v>
      </c>
      <c r="J306" s="4">
        <v>10</v>
      </c>
      <c r="K306" s="4">
        <v>58</v>
      </c>
      <c r="L306" s="4">
        <v>111</v>
      </c>
      <c r="M306" s="4">
        <v>10</v>
      </c>
      <c r="N306" s="4">
        <v>121</v>
      </c>
      <c r="O306" s="4">
        <v>121</v>
      </c>
      <c r="P306" s="4">
        <v>3729</v>
      </c>
      <c r="Q306" s="2" t="s">
        <v>872</v>
      </c>
      <c r="R306" s="4">
        <v>49</v>
      </c>
      <c r="S306" s="4">
        <v>1115</v>
      </c>
      <c r="T306" s="4">
        <v>33</v>
      </c>
      <c r="U306" s="4">
        <v>413</v>
      </c>
      <c r="V306" s="4">
        <v>76</v>
      </c>
      <c r="W306" s="4">
        <v>482</v>
      </c>
      <c r="X306" s="77">
        <v>5</v>
      </c>
      <c r="Y306" s="77">
        <v>1203</v>
      </c>
      <c r="Z306" s="4">
        <v>235</v>
      </c>
      <c r="AA306" s="4">
        <v>5827</v>
      </c>
      <c r="AB306" s="77">
        <f>Table4[[#This Row],[Total Attendance]]/Table4[[#This Row],[Total Events]]</f>
        <v>24.795744680851065</v>
      </c>
      <c r="AC306" s="77">
        <f>Table4[[#This Row],[Total Attendance]]/AD306</f>
        <v>0.47613989213923846</v>
      </c>
      <c r="AD306" s="77">
        <v>12238</v>
      </c>
    </row>
    <row r="307" spans="1:30" ht="13.5" thickBot="1" x14ac:dyDescent="0.25">
      <c r="A307" s="2" t="s">
        <v>813</v>
      </c>
      <c r="B307" s="1" t="s">
        <v>812</v>
      </c>
      <c r="C307" s="2" t="s">
        <v>29</v>
      </c>
      <c r="D307" s="4">
        <v>23</v>
      </c>
      <c r="E307" s="4">
        <v>398</v>
      </c>
      <c r="F307" s="4">
        <v>0</v>
      </c>
      <c r="G307" s="4">
        <v>0</v>
      </c>
      <c r="H307" s="4">
        <v>9</v>
      </c>
      <c r="I307" s="4">
        <v>524</v>
      </c>
      <c r="J307" s="4">
        <v>2</v>
      </c>
      <c r="K307" s="4">
        <v>18</v>
      </c>
      <c r="L307" s="4">
        <v>239</v>
      </c>
      <c r="M307" s="4">
        <v>19</v>
      </c>
      <c r="N307" s="4">
        <v>258</v>
      </c>
      <c r="O307" s="4">
        <v>32</v>
      </c>
      <c r="P307" s="4">
        <v>922</v>
      </c>
      <c r="Q307" s="2" t="s">
        <v>873</v>
      </c>
      <c r="R307" s="78" t="s">
        <v>16</v>
      </c>
      <c r="S307" s="78" t="s">
        <v>16</v>
      </c>
      <c r="T307" s="4">
        <v>2</v>
      </c>
      <c r="U307" s="4">
        <v>18</v>
      </c>
      <c r="V307" s="4">
        <v>11</v>
      </c>
      <c r="W307" s="4">
        <v>250</v>
      </c>
      <c r="X307" s="77">
        <v>0</v>
      </c>
      <c r="Y307" s="77">
        <v>0</v>
      </c>
      <c r="Z307" s="4">
        <v>45</v>
      </c>
      <c r="AA307" s="4">
        <v>1190</v>
      </c>
      <c r="AB307" s="77">
        <f>Table4[[#This Row],[Total Attendance]]/Table4[[#This Row],[Total Events]]</f>
        <v>26.444444444444443</v>
      </c>
      <c r="AC307" s="77">
        <f>Table4[[#This Row],[Total Attendance]]/AD307</f>
        <v>6.7640538850679249E-2</v>
      </c>
      <c r="AD307" s="77">
        <v>17593</v>
      </c>
    </row>
    <row r="308" spans="1:30" ht="13.5" thickBot="1" x14ac:dyDescent="0.25">
      <c r="A308" s="2" t="s">
        <v>839</v>
      </c>
      <c r="B308" s="1" t="s">
        <v>838</v>
      </c>
      <c r="C308" s="2" t="s">
        <v>29</v>
      </c>
      <c r="D308" s="4">
        <v>104</v>
      </c>
      <c r="E308" s="4">
        <v>2817</v>
      </c>
      <c r="F308" s="4">
        <v>19</v>
      </c>
      <c r="G308" s="4">
        <v>154</v>
      </c>
      <c r="H308" s="4">
        <v>41</v>
      </c>
      <c r="I308" s="4">
        <v>1499</v>
      </c>
      <c r="J308" s="77">
        <v>10</v>
      </c>
      <c r="K308" s="77">
        <v>36</v>
      </c>
      <c r="L308" s="4">
        <v>395</v>
      </c>
      <c r="M308" s="77">
        <v>44</v>
      </c>
      <c r="N308" s="4">
        <v>439</v>
      </c>
      <c r="O308" s="4">
        <v>145</v>
      </c>
      <c r="P308" s="4">
        <v>4316</v>
      </c>
      <c r="Q308" s="2" t="s">
        <v>872</v>
      </c>
      <c r="R308" s="4">
        <v>77</v>
      </c>
      <c r="S308" s="4">
        <v>1644</v>
      </c>
      <c r="T308" s="4">
        <v>29</v>
      </c>
      <c r="U308" s="4">
        <v>190</v>
      </c>
      <c r="V308" s="4">
        <v>101</v>
      </c>
      <c r="W308" s="4">
        <v>1447</v>
      </c>
      <c r="X308" s="4">
        <v>0</v>
      </c>
      <c r="Y308" s="4">
        <v>0</v>
      </c>
      <c r="Z308" s="4">
        <v>275</v>
      </c>
      <c r="AA308" s="4">
        <v>5953</v>
      </c>
      <c r="AB308" s="77">
        <f>Table4[[#This Row],[Total Attendance]]/Table4[[#This Row],[Total Events]]</f>
        <v>21.647272727272728</v>
      </c>
      <c r="AC308" s="77">
        <f>Table4[[#This Row],[Total Attendance]]/AD308</f>
        <v>0.4410283004889613</v>
      </c>
      <c r="AD308" s="77">
        <v>13498</v>
      </c>
    </row>
    <row r="309" spans="1:30" ht="13.5" thickBot="1" x14ac:dyDescent="0.25">
      <c r="A309" s="2" t="s">
        <v>44</v>
      </c>
      <c r="B309" s="1" t="s">
        <v>43</v>
      </c>
      <c r="C309" s="2" t="s">
        <v>45</v>
      </c>
      <c r="D309" s="4">
        <v>78</v>
      </c>
      <c r="E309" s="4">
        <v>810</v>
      </c>
      <c r="F309" s="4">
        <v>48</v>
      </c>
      <c r="G309" s="4">
        <v>197</v>
      </c>
      <c r="H309" s="4">
        <v>75</v>
      </c>
      <c r="I309" s="4">
        <v>526</v>
      </c>
      <c r="J309" s="4">
        <v>5</v>
      </c>
      <c r="K309" s="4">
        <v>11</v>
      </c>
      <c r="L309" s="4">
        <v>382</v>
      </c>
      <c r="M309" s="77">
        <v>17</v>
      </c>
      <c r="N309" s="4">
        <v>399</v>
      </c>
      <c r="O309" s="4">
        <v>153</v>
      </c>
      <c r="P309" s="4">
        <v>1336</v>
      </c>
      <c r="Q309" s="2" t="s">
        <v>872</v>
      </c>
      <c r="R309" s="4">
        <v>62</v>
      </c>
      <c r="S309" s="4">
        <v>798</v>
      </c>
      <c r="T309" s="4">
        <v>53</v>
      </c>
      <c r="U309" s="4">
        <v>208</v>
      </c>
      <c r="V309" s="4">
        <v>154</v>
      </c>
      <c r="W309" s="4">
        <v>1621</v>
      </c>
      <c r="X309" s="4">
        <v>74</v>
      </c>
      <c r="Y309" s="4">
        <v>1072</v>
      </c>
      <c r="Z309" s="4">
        <v>434</v>
      </c>
      <c r="AA309" s="4">
        <v>4237</v>
      </c>
      <c r="AB309" s="77">
        <f>Table4[[#This Row],[Total Attendance]]/Table4[[#This Row],[Total Events]]</f>
        <v>9.7626728110599075</v>
      </c>
      <c r="AC309" s="77">
        <f>Table4[[#This Row],[Total Attendance]]/AD309</f>
        <v>0.15019496632399859</v>
      </c>
      <c r="AD309" s="77">
        <v>28210</v>
      </c>
    </row>
    <row r="310" spans="1:30" ht="13.5" thickBot="1" x14ac:dyDescent="0.25">
      <c r="A310" s="2" t="s">
        <v>47</v>
      </c>
      <c r="B310" s="1" t="s">
        <v>46</v>
      </c>
      <c r="C310" s="2" t="s">
        <v>45</v>
      </c>
      <c r="D310" s="4">
        <v>241</v>
      </c>
      <c r="E310" s="4">
        <v>3920</v>
      </c>
      <c r="F310" s="4">
        <v>47</v>
      </c>
      <c r="G310" s="4">
        <v>596</v>
      </c>
      <c r="H310" s="4">
        <v>54</v>
      </c>
      <c r="I310" s="4">
        <v>2057</v>
      </c>
      <c r="J310" s="77">
        <v>13</v>
      </c>
      <c r="K310" s="77">
        <v>508</v>
      </c>
      <c r="L310" s="4">
        <v>964</v>
      </c>
      <c r="M310" s="77">
        <v>294</v>
      </c>
      <c r="N310" s="4">
        <v>1258</v>
      </c>
      <c r="O310" s="4">
        <v>295</v>
      </c>
      <c r="P310" s="4">
        <v>5977</v>
      </c>
      <c r="Q310" s="2" t="s">
        <v>872</v>
      </c>
      <c r="R310" s="4">
        <v>86</v>
      </c>
      <c r="S310" s="4">
        <v>1823</v>
      </c>
      <c r="T310" s="4">
        <v>60</v>
      </c>
      <c r="U310" s="4">
        <v>1104</v>
      </c>
      <c r="V310" s="4">
        <v>61</v>
      </c>
      <c r="W310" s="4">
        <v>1697</v>
      </c>
      <c r="X310" s="77">
        <v>6</v>
      </c>
      <c r="Y310" s="77">
        <v>1050</v>
      </c>
      <c r="Z310" s="4">
        <v>422</v>
      </c>
      <c r="AA310" s="4">
        <v>9828</v>
      </c>
      <c r="AB310" s="77">
        <f>Table4[[#This Row],[Total Attendance]]/Table4[[#This Row],[Total Events]]</f>
        <v>23.289099526066352</v>
      </c>
      <c r="AC310" s="77">
        <f>Table4[[#This Row],[Total Attendance]]/AD310</f>
        <v>0.34748789025209492</v>
      </c>
      <c r="AD310" s="77">
        <v>28283</v>
      </c>
    </row>
    <row r="311" spans="1:30" ht="13.5" thickBot="1" x14ac:dyDescent="0.25">
      <c r="A311" s="2" t="s">
        <v>55</v>
      </c>
      <c r="B311" s="1" t="s">
        <v>54</v>
      </c>
      <c r="C311" s="2" t="s">
        <v>45</v>
      </c>
      <c r="D311" s="4">
        <v>85</v>
      </c>
      <c r="E311" s="4">
        <v>3279</v>
      </c>
      <c r="F311" s="4">
        <v>19</v>
      </c>
      <c r="G311" s="4">
        <v>129</v>
      </c>
      <c r="H311" s="4">
        <v>15</v>
      </c>
      <c r="I311" s="4">
        <v>1805</v>
      </c>
      <c r="J311" s="4">
        <v>9</v>
      </c>
      <c r="K311" s="4">
        <v>60</v>
      </c>
      <c r="L311" s="4">
        <v>665</v>
      </c>
      <c r="M311" s="4">
        <v>25</v>
      </c>
      <c r="N311" s="4">
        <v>690</v>
      </c>
      <c r="O311" s="4">
        <v>100</v>
      </c>
      <c r="P311" s="4">
        <v>5084</v>
      </c>
      <c r="Q311" s="2" t="s">
        <v>872</v>
      </c>
      <c r="R311" s="77">
        <v>80</v>
      </c>
      <c r="S311" s="77">
        <v>2733</v>
      </c>
      <c r="T311" s="4">
        <v>28</v>
      </c>
      <c r="U311" s="4">
        <v>189</v>
      </c>
      <c r="V311" s="4">
        <v>148</v>
      </c>
      <c r="W311" s="4">
        <v>3995</v>
      </c>
      <c r="X311" s="4">
        <v>156</v>
      </c>
      <c r="Y311" s="4">
        <v>139</v>
      </c>
      <c r="Z311" s="4">
        <v>432</v>
      </c>
      <c r="AA311" s="4">
        <v>9407</v>
      </c>
      <c r="AB311" s="77">
        <f>Table4[[#This Row],[Total Attendance]]/Table4[[#This Row],[Total Events]]</f>
        <v>21.775462962962962</v>
      </c>
      <c r="AC311" s="77">
        <f>Table4[[#This Row],[Total Attendance]]/AD311</f>
        <v>0.3178255287519427</v>
      </c>
      <c r="AD311" s="77">
        <v>29598</v>
      </c>
    </row>
    <row r="312" spans="1:30" ht="13.5" thickBot="1" x14ac:dyDescent="0.25">
      <c r="A312" s="2" t="s">
        <v>80</v>
      </c>
      <c r="B312" s="1" t="s">
        <v>79</v>
      </c>
      <c r="C312" s="2" t="s">
        <v>45</v>
      </c>
      <c r="D312" s="4">
        <v>548</v>
      </c>
      <c r="E312" s="4">
        <v>18388</v>
      </c>
      <c r="F312" s="4">
        <v>94</v>
      </c>
      <c r="G312" s="4">
        <v>2562</v>
      </c>
      <c r="H312" s="4">
        <v>130</v>
      </c>
      <c r="I312" s="4">
        <v>7965</v>
      </c>
      <c r="J312" s="4">
        <v>48</v>
      </c>
      <c r="K312" s="4">
        <v>517</v>
      </c>
      <c r="L312" s="4">
        <v>1218</v>
      </c>
      <c r="M312" s="4">
        <v>403</v>
      </c>
      <c r="N312" s="4">
        <v>1621</v>
      </c>
      <c r="O312" s="4">
        <v>678</v>
      </c>
      <c r="P312" s="4">
        <v>26353</v>
      </c>
      <c r="Q312" s="2" t="s">
        <v>872</v>
      </c>
      <c r="R312" s="4">
        <v>375</v>
      </c>
      <c r="S312" s="4">
        <v>7710</v>
      </c>
      <c r="T312" s="4">
        <v>142</v>
      </c>
      <c r="U312" s="4">
        <v>3079</v>
      </c>
      <c r="V312" s="4">
        <v>290</v>
      </c>
      <c r="W312" s="4">
        <v>5601</v>
      </c>
      <c r="X312" s="4">
        <v>103</v>
      </c>
      <c r="Y312" s="4">
        <v>926</v>
      </c>
      <c r="Z312" s="4">
        <v>1213</v>
      </c>
      <c r="AA312" s="4">
        <v>35959</v>
      </c>
      <c r="AB312" s="77">
        <f>Table4[[#This Row],[Total Attendance]]/Table4[[#This Row],[Total Events]]</f>
        <v>29.644682605111296</v>
      </c>
      <c r="AC312" s="77">
        <f>Table4[[#This Row],[Total Attendance]]/AD312</f>
        <v>1.0172277227722772</v>
      </c>
      <c r="AD312" s="77">
        <v>35350</v>
      </c>
    </row>
    <row r="313" spans="1:30" ht="13.5" thickBot="1" x14ac:dyDescent="0.25">
      <c r="A313" s="2" t="s">
        <v>92</v>
      </c>
      <c r="B313" s="1" t="s">
        <v>91</v>
      </c>
      <c r="C313" s="2" t="s">
        <v>45</v>
      </c>
      <c r="D313" s="4">
        <v>109</v>
      </c>
      <c r="E313" s="4">
        <v>6010</v>
      </c>
      <c r="F313" s="4">
        <v>5</v>
      </c>
      <c r="G313" s="4">
        <v>28</v>
      </c>
      <c r="H313" s="4">
        <v>11</v>
      </c>
      <c r="I313" s="4">
        <v>1003</v>
      </c>
      <c r="J313" s="4">
        <v>6</v>
      </c>
      <c r="K313" s="4">
        <v>193</v>
      </c>
      <c r="L313" s="77">
        <v>364</v>
      </c>
      <c r="M313" s="77">
        <v>78</v>
      </c>
      <c r="N313" s="77">
        <v>442</v>
      </c>
      <c r="O313" s="4">
        <v>120</v>
      </c>
      <c r="P313" s="4">
        <v>7013</v>
      </c>
      <c r="Q313" s="2" t="s">
        <v>872</v>
      </c>
      <c r="R313" s="4">
        <v>54</v>
      </c>
      <c r="S313" s="4">
        <v>1507</v>
      </c>
      <c r="T313" s="4">
        <v>11</v>
      </c>
      <c r="U313" s="4">
        <v>221</v>
      </c>
      <c r="V313" s="4">
        <v>122</v>
      </c>
      <c r="W313" s="4">
        <v>1244</v>
      </c>
      <c r="X313" s="77">
        <v>8</v>
      </c>
      <c r="Y313" s="77">
        <v>1252</v>
      </c>
      <c r="Z313" s="4">
        <v>261</v>
      </c>
      <c r="AA313" s="4">
        <v>9730</v>
      </c>
      <c r="AB313" s="77">
        <f>Table4[[#This Row],[Total Attendance]]/Table4[[#This Row],[Total Events]]</f>
        <v>37.279693486590041</v>
      </c>
      <c r="AC313" s="77">
        <f>Table4[[#This Row],[Total Attendance]]/AD313</f>
        <v>0.22969240575057245</v>
      </c>
      <c r="AD313" s="77">
        <v>42361</v>
      </c>
    </row>
    <row r="314" spans="1:30" ht="13.5" thickBot="1" x14ac:dyDescent="0.25">
      <c r="A314" s="2" t="s">
        <v>114</v>
      </c>
      <c r="B314" s="1" t="s">
        <v>113</v>
      </c>
      <c r="C314" s="2" t="s">
        <v>45</v>
      </c>
      <c r="D314" s="77">
        <v>283</v>
      </c>
      <c r="E314" s="77">
        <v>9730</v>
      </c>
      <c r="F314" s="77">
        <v>26</v>
      </c>
      <c r="G314" s="77">
        <v>246</v>
      </c>
      <c r="H314" s="77">
        <v>51</v>
      </c>
      <c r="I314" s="77">
        <v>5127</v>
      </c>
      <c r="J314" s="77">
        <v>22</v>
      </c>
      <c r="K314" s="77">
        <v>100</v>
      </c>
      <c r="L314" s="77">
        <v>834</v>
      </c>
      <c r="M314" s="77">
        <v>21</v>
      </c>
      <c r="N314" s="77">
        <v>855</v>
      </c>
      <c r="O314" s="77">
        <v>334</v>
      </c>
      <c r="P314" s="77">
        <v>14857</v>
      </c>
      <c r="Q314" s="2" t="s">
        <v>872</v>
      </c>
      <c r="R314" s="77">
        <v>283</v>
      </c>
      <c r="S314" s="77">
        <v>9730</v>
      </c>
      <c r="T314" s="77">
        <v>48</v>
      </c>
      <c r="U314" s="77">
        <v>346</v>
      </c>
      <c r="V314" s="77">
        <v>324</v>
      </c>
      <c r="W314" s="77">
        <v>7235</v>
      </c>
      <c r="X314" s="77">
        <v>76</v>
      </c>
      <c r="Y314" s="77">
        <v>659</v>
      </c>
      <c r="Z314" s="77">
        <v>782</v>
      </c>
      <c r="AA314" s="77">
        <v>23097</v>
      </c>
      <c r="AB314" s="77">
        <f>Table4[[#This Row],[Total Attendance]]/Table4[[#This Row],[Total Events]]</f>
        <v>29.535805626598467</v>
      </c>
      <c r="AC314" s="77">
        <f>Table4[[#This Row],[Total Attendance]]/AD314</f>
        <v>0.56238130021913801</v>
      </c>
      <c r="AD314" s="77">
        <v>41070</v>
      </c>
    </row>
    <row r="315" spans="1:30" ht="13.5" thickBot="1" x14ac:dyDescent="0.25">
      <c r="A315" s="2" t="s">
        <v>120</v>
      </c>
      <c r="B315" s="1" t="s">
        <v>119</v>
      </c>
      <c r="C315" s="2" t="s">
        <v>45</v>
      </c>
      <c r="D315" s="4">
        <v>720</v>
      </c>
      <c r="E315" s="4">
        <v>13351</v>
      </c>
      <c r="F315" s="4">
        <v>239</v>
      </c>
      <c r="G315" s="4">
        <v>3806</v>
      </c>
      <c r="H315" s="4">
        <v>95</v>
      </c>
      <c r="I315" s="4">
        <v>3116</v>
      </c>
      <c r="J315" s="4">
        <v>57</v>
      </c>
      <c r="K315" s="4">
        <v>671</v>
      </c>
      <c r="L315" s="4">
        <v>1153</v>
      </c>
      <c r="M315" s="4">
        <v>385</v>
      </c>
      <c r="N315" s="4">
        <v>1538</v>
      </c>
      <c r="O315" s="4">
        <v>815</v>
      </c>
      <c r="P315" s="4">
        <v>16467</v>
      </c>
      <c r="Q315" s="2" t="s">
        <v>872</v>
      </c>
      <c r="R315" s="4">
        <v>771</v>
      </c>
      <c r="S315" s="4">
        <v>16467</v>
      </c>
      <c r="T315" s="4">
        <v>296</v>
      </c>
      <c r="U315" s="4">
        <v>4477</v>
      </c>
      <c r="V315" s="4">
        <v>146</v>
      </c>
      <c r="W315" s="4">
        <v>1979</v>
      </c>
      <c r="X315" s="4">
        <v>22</v>
      </c>
      <c r="Y315" s="4">
        <v>21</v>
      </c>
      <c r="Z315" s="4">
        <v>1279</v>
      </c>
      <c r="AA315" s="4">
        <v>22944</v>
      </c>
      <c r="AB315" s="77">
        <f>Table4[[#This Row],[Total Attendance]]/Table4[[#This Row],[Total Events]]</f>
        <v>17.939014855355747</v>
      </c>
      <c r="AC315" s="77">
        <f>Table4[[#This Row],[Total Attendance]]/AD315</f>
        <v>0.48915893827950113</v>
      </c>
      <c r="AD315" s="77">
        <v>46905</v>
      </c>
    </row>
    <row r="316" spans="1:30" ht="13.5" thickBot="1" x14ac:dyDescent="0.25">
      <c r="A316" s="2" t="s">
        <v>130</v>
      </c>
      <c r="B316" s="1" t="s">
        <v>129</v>
      </c>
      <c r="C316" s="2" t="s">
        <v>45</v>
      </c>
      <c r="D316" s="4">
        <v>219</v>
      </c>
      <c r="E316" s="4">
        <v>6717</v>
      </c>
      <c r="F316" s="4">
        <v>49</v>
      </c>
      <c r="G316" s="4">
        <v>442</v>
      </c>
      <c r="H316" s="4">
        <v>60</v>
      </c>
      <c r="I316" s="4">
        <v>2912</v>
      </c>
      <c r="J316" s="77">
        <v>13</v>
      </c>
      <c r="K316" s="77">
        <v>519</v>
      </c>
      <c r="L316" s="4">
        <v>1281</v>
      </c>
      <c r="M316" s="77">
        <v>269</v>
      </c>
      <c r="N316" s="4">
        <v>1550</v>
      </c>
      <c r="O316" s="4">
        <v>279</v>
      </c>
      <c r="P316" s="4">
        <v>9629</v>
      </c>
      <c r="Q316" s="2" t="s">
        <v>872</v>
      </c>
      <c r="R316" s="4">
        <v>162</v>
      </c>
      <c r="S316" s="4">
        <v>5015</v>
      </c>
      <c r="T316" s="4">
        <v>62</v>
      </c>
      <c r="U316" s="4">
        <v>961</v>
      </c>
      <c r="V316" s="4">
        <v>139</v>
      </c>
      <c r="W316" s="4">
        <v>1639</v>
      </c>
      <c r="X316" s="77">
        <v>1</v>
      </c>
      <c r="Y316" s="77">
        <v>500</v>
      </c>
      <c r="Z316" s="4">
        <v>481</v>
      </c>
      <c r="AA316" s="4">
        <v>12729</v>
      </c>
      <c r="AB316" s="77">
        <f>Table4[[#This Row],[Total Attendance]]/Table4[[#This Row],[Total Events]]</f>
        <v>26.463617463617464</v>
      </c>
      <c r="AC316" s="77">
        <f>Table4[[#This Row],[Total Attendance]]/AD316</f>
        <v>0.2942849216257456</v>
      </c>
      <c r="AD316" s="77">
        <v>43254</v>
      </c>
    </row>
    <row r="317" spans="1:30" ht="13.5" thickBot="1" x14ac:dyDescent="0.25">
      <c r="A317" s="2" t="s">
        <v>142</v>
      </c>
      <c r="B317" s="1" t="s">
        <v>141</v>
      </c>
      <c r="C317" s="2" t="s">
        <v>45</v>
      </c>
      <c r="D317" s="4">
        <v>264</v>
      </c>
      <c r="E317" s="4">
        <v>9851</v>
      </c>
      <c r="F317" s="4">
        <v>158</v>
      </c>
      <c r="G317" s="4">
        <v>1168</v>
      </c>
      <c r="H317" s="4">
        <v>8</v>
      </c>
      <c r="I317" s="4">
        <v>994</v>
      </c>
      <c r="J317" s="4">
        <v>26</v>
      </c>
      <c r="K317" s="4">
        <v>494</v>
      </c>
      <c r="L317" s="77">
        <v>0</v>
      </c>
      <c r="M317" s="77">
        <v>0</v>
      </c>
      <c r="N317" s="77">
        <v>0</v>
      </c>
      <c r="O317" s="4">
        <v>272</v>
      </c>
      <c r="P317" s="4">
        <v>10845</v>
      </c>
      <c r="Q317" s="2" t="s">
        <v>872</v>
      </c>
      <c r="R317" s="4">
        <v>111</v>
      </c>
      <c r="S317" s="4">
        <v>2891</v>
      </c>
      <c r="T317" s="4">
        <v>184</v>
      </c>
      <c r="U317" s="4">
        <v>1662</v>
      </c>
      <c r="V317" s="4">
        <v>89</v>
      </c>
      <c r="W317" s="4">
        <v>519</v>
      </c>
      <c r="X317" s="77">
        <v>40</v>
      </c>
      <c r="Y317" s="77">
        <v>179</v>
      </c>
      <c r="Z317" s="4">
        <v>585</v>
      </c>
      <c r="AA317" s="4">
        <v>13205</v>
      </c>
      <c r="AB317" s="77">
        <f>Table4[[#This Row],[Total Attendance]]/Table4[[#This Row],[Total Events]]</f>
        <v>22.572649572649574</v>
      </c>
      <c r="AC317" s="77">
        <f>Table4[[#This Row],[Total Attendance]]/AD317</f>
        <v>0.3763502151794112</v>
      </c>
      <c r="AD317" s="77">
        <v>35087</v>
      </c>
    </row>
    <row r="318" spans="1:30" ht="13.5" thickBot="1" x14ac:dyDescent="0.25">
      <c r="A318" s="2" t="s">
        <v>158</v>
      </c>
      <c r="B318" s="1" t="s">
        <v>157</v>
      </c>
      <c r="C318" s="2" t="s">
        <v>45</v>
      </c>
      <c r="D318" s="4">
        <v>190</v>
      </c>
      <c r="E318" s="4">
        <v>1944</v>
      </c>
      <c r="F318" s="4">
        <v>10</v>
      </c>
      <c r="G318" s="4">
        <v>269</v>
      </c>
      <c r="H318" s="4">
        <v>53</v>
      </c>
      <c r="I318" s="4">
        <v>1473</v>
      </c>
      <c r="J318" s="4">
        <v>10</v>
      </c>
      <c r="K318" s="4">
        <v>108</v>
      </c>
      <c r="L318" s="4">
        <v>353</v>
      </c>
      <c r="M318" s="4">
        <v>66</v>
      </c>
      <c r="N318" s="4">
        <v>419</v>
      </c>
      <c r="O318" s="4">
        <v>243</v>
      </c>
      <c r="P318" s="4">
        <v>3417</v>
      </c>
      <c r="Q318" s="2" t="s">
        <v>872</v>
      </c>
      <c r="R318" s="4">
        <v>135</v>
      </c>
      <c r="S318" s="4">
        <v>804</v>
      </c>
      <c r="T318" s="4">
        <v>20</v>
      </c>
      <c r="U318" s="4">
        <v>377</v>
      </c>
      <c r="V318" s="4">
        <v>40</v>
      </c>
      <c r="W318" s="4">
        <v>1111</v>
      </c>
      <c r="X318" s="4">
        <v>24</v>
      </c>
      <c r="Y318" s="4">
        <v>547</v>
      </c>
      <c r="Z318" s="4">
        <v>327</v>
      </c>
      <c r="AA318" s="4">
        <v>5452</v>
      </c>
      <c r="AB318" s="77">
        <f>Table4[[#This Row],[Total Attendance]]/Table4[[#This Row],[Total Events]]</f>
        <v>16.672782874617738</v>
      </c>
      <c r="AC318" s="77">
        <f>Table4[[#This Row],[Total Attendance]]/AD318</f>
        <v>0.14346613336140204</v>
      </c>
      <c r="AD318" s="77">
        <v>38002</v>
      </c>
    </row>
    <row r="319" spans="1:30" ht="13.5" thickBot="1" x14ac:dyDescent="0.25">
      <c r="A319" s="2" t="s">
        <v>178</v>
      </c>
      <c r="B319" s="1" t="s">
        <v>177</v>
      </c>
      <c r="C319" s="2" t="s">
        <v>45</v>
      </c>
      <c r="D319" s="4">
        <v>133</v>
      </c>
      <c r="E319" s="4">
        <v>2883</v>
      </c>
      <c r="F319" s="4">
        <v>42</v>
      </c>
      <c r="G319" s="4">
        <v>516</v>
      </c>
      <c r="H319" s="4">
        <v>67</v>
      </c>
      <c r="I319" s="4">
        <v>1819</v>
      </c>
      <c r="J319" s="4">
        <v>16</v>
      </c>
      <c r="K319" s="4">
        <v>190</v>
      </c>
      <c r="L319" s="4">
        <v>178</v>
      </c>
      <c r="M319" s="77">
        <v>40</v>
      </c>
      <c r="N319" s="4">
        <v>218</v>
      </c>
      <c r="O319" s="4">
        <v>200</v>
      </c>
      <c r="P319" s="4">
        <v>4702</v>
      </c>
      <c r="Q319" s="2" t="s">
        <v>872</v>
      </c>
      <c r="R319" s="77">
        <v>105</v>
      </c>
      <c r="S319" s="4">
        <v>2387</v>
      </c>
      <c r="T319" s="4">
        <v>58</v>
      </c>
      <c r="U319" s="4">
        <v>706</v>
      </c>
      <c r="V319" s="4">
        <v>101</v>
      </c>
      <c r="W319" s="4">
        <v>1120</v>
      </c>
      <c r="X319" s="4">
        <v>29</v>
      </c>
      <c r="Y319" s="4">
        <v>4042</v>
      </c>
      <c r="Z319" s="4">
        <v>388</v>
      </c>
      <c r="AA319" s="4">
        <v>10570</v>
      </c>
      <c r="AB319" s="77">
        <f>Table4[[#This Row],[Total Attendance]]/Table4[[#This Row],[Total Events]]</f>
        <v>27.242268041237114</v>
      </c>
      <c r="AC319" s="77">
        <f>Table4[[#This Row],[Total Attendance]]/AD319</f>
        <v>0.24365505636107973</v>
      </c>
      <c r="AD319" s="77">
        <v>43381</v>
      </c>
    </row>
    <row r="320" spans="1:30" ht="13.5" thickBot="1" x14ac:dyDescent="0.25">
      <c r="A320" s="2" t="s">
        <v>182</v>
      </c>
      <c r="B320" s="1" t="s">
        <v>181</v>
      </c>
      <c r="C320" s="2" t="s">
        <v>45</v>
      </c>
      <c r="D320" s="4">
        <v>336</v>
      </c>
      <c r="E320" s="4">
        <v>16402</v>
      </c>
      <c r="F320" s="4">
        <v>109</v>
      </c>
      <c r="G320" s="4">
        <v>1298</v>
      </c>
      <c r="H320" s="4">
        <v>43</v>
      </c>
      <c r="I320" s="4">
        <v>2126</v>
      </c>
      <c r="J320" s="4">
        <v>5</v>
      </c>
      <c r="K320" s="4">
        <v>160</v>
      </c>
      <c r="L320" s="4">
        <v>502</v>
      </c>
      <c r="M320" s="77">
        <v>151</v>
      </c>
      <c r="N320" s="4">
        <v>653</v>
      </c>
      <c r="O320" s="4">
        <v>379</v>
      </c>
      <c r="P320" s="4">
        <v>18528</v>
      </c>
      <c r="Q320" s="2" t="s">
        <v>872</v>
      </c>
      <c r="R320" s="77">
        <v>162</v>
      </c>
      <c r="S320" s="4">
        <v>6580</v>
      </c>
      <c r="T320" s="4">
        <v>114</v>
      </c>
      <c r="U320" s="4">
        <v>1458</v>
      </c>
      <c r="V320" s="4">
        <v>117</v>
      </c>
      <c r="W320" s="4">
        <v>2209</v>
      </c>
      <c r="X320" s="4">
        <v>17</v>
      </c>
      <c r="Y320" s="4">
        <v>688</v>
      </c>
      <c r="Z320" s="4">
        <v>627</v>
      </c>
      <c r="AA320" s="4">
        <v>22883</v>
      </c>
      <c r="AB320" s="77">
        <f>Table4[[#This Row],[Total Attendance]]/Table4[[#This Row],[Total Events]]</f>
        <v>36.496012759170654</v>
      </c>
      <c r="AC320" s="77">
        <f>Table4[[#This Row],[Total Attendance]]/AD320</f>
        <v>0.64344965272895982</v>
      </c>
      <c r="AD320" s="77">
        <v>35563</v>
      </c>
    </row>
    <row r="321" spans="1:30" ht="13.5" thickBot="1" x14ac:dyDescent="0.25">
      <c r="A321" s="2" t="s">
        <v>196</v>
      </c>
      <c r="B321" s="1" t="s">
        <v>195</v>
      </c>
      <c r="C321" s="2" t="s">
        <v>45</v>
      </c>
      <c r="D321" s="4">
        <v>310</v>
      </c>
      <c r="E321" s="4">
        <v>13825</v>
      </c>
      <c r="F321" s="4">
        <v>43</v>
      </c>
      <c r="G321" s="4">
        <v>2879</v>
      </c>
      <c r="H321" s="4">
        <v>28</v>
      </c>
      <c r="I321" s="4">
        <v>4095</v>
      </c>
      <c r="J321" s="4">
        <v>17</v>
      </c>
      <c r="K321" s="4">
        <v>1096</v>
      </c>
      <c r="L321" s="4">
        <v>589</v>
      </c>
      <c r="M321" s="77">
        <v>156</v>
      </c>
      <c r="N321" s="4">
        <v>745</v>
      </c>
      <c r="O321" s="4">
        <v>338</v>
      </c>
      <c r="P321" s="4">
        <v>17920</v>
      </c>
      <c r="Q321" s="2" t="s">
        <v>872</v>
      </c>
      <c r="R321" s="4">
        <v>48</v>
      </c>
      <c r="S321" s="4">
        <v>1568</v>
      </c>
      <c r="T321" s="4">
        <v>60</v>
      </c>
      <c r="U321" s="4">
        <v>3975</v>
      </c>
      <c r="V321" s="4">
        <v>288</v>
      </c>
      <c r="W321" s="4">
        <v>1585</v>
      </c>
      <c r="X321" s="77">
        <v>147</v>
      </c>
      <c r="Y321" s="77">
        <v>1585</v>
      </c>
      <c r="Z321" s="4">
        <v>833</v>
      </c>
      <c r="AA321" s="4">
        <v>25065</v>
      </c>
      <c r="AB321" s="77">
        <f>Table4[[#This Row],[Total Attendance]]/Table4[[#This Row],[Total Events]]</f>
        <v>30.090036014405761</v>
      </c>
      <c r="AC321" s="77">
        <f>Table4[[#This Row],[Total Attendance]]/AD321</f>
        <v>0.62372468023689842</v>
      </c>
      <c r="AD321" s="77">
        <v>40186</v>
      </c>
    </row>
    <row r="322" spans="1:30" ht="13.5" thickBot="1" x14ac:dyDescent="0.25">
      <c r="A322" s="2" t="s">
        <v>198</v>
      </c>
      <c r="B322" s="1" t="s">
        <v>197</v>
      </c>
      <c r="C322" s="2" t="s">
        <v>45</v>
      </c>
      <c r="D322" s="4">
        <v>210</v>
      </c>
      <c r="E322" s="4">
        <v>5000</v>
      </c>
      <c r="F322" s="4">
        <v>14</v>
      </c>
      <c r="G322" s="4">
        <v>75</v>
      </c>
      <c r="H322" s="4">
        <v>54</v>
      </c>
      <c r="I322" s="4">
        <v>1693</v>
      </c>
      <c r="J322" s="4">
        <v>10</v>
      </c>
      <c r="K322" s="4">
        <v>200</v>
      </c>
      <c r="L322" s="4">
        <v>571</v>
      </c>
      <c r="M322" s="4">
        <v>151</v>
      </c>
      <c r="N322" s="4">
        <v>722</v>
      </c>
      <c r="O322" s="4">
        <v>264</v>
      </c>
      <c r="P322" s="4">
        <v>6693</v>
      </c>
      <c r="Q322" s="2" t="s">
        <v>872</v>
      </c>
      <c r="R322" s="4">
        <v>15</v>
      </c>
      <c r="S322" s="4">
        <v>0</v>
      </c>
      <c r="T322" s="4">
        <v>24</v>
      </c>
      <c r="U322" s="4">
        <v>275</v>
      </c>
      <c r="V322" s="4">
        <v>341</v>
      </c>
      <c r="W322" s="4">
        <v>0</v>
      </c>
      <c r="X322" s="4">
        <v>551</v>
      </c>
      <c r="Y322" s="4">
        <v>2000</v>
      </c>
      <c r="Z322" s="4">
        <v>1180</v>
      </c>
      <c r="AA322" s="4">
        <v>8968</v>
      </c>
      <c r="AB322" s="77">
        <f>Table4[[#This Row],[Total Attendance]]/Table4[[#This Row],[Total Events]]</f>
        <v>7.6</v>
      </c>
      <c r="AC322" s="77">
        <f>Table4[[#This Row],[Total Attendance]]/AD322</f>
        <v>0.3173053108304143</v>
      </c>
      <c r="AD322" s="77">
        <v>28263</v>
      </c>
    </row>
    <row r="323" spans="1:30" ht="13.5" thickBot="1" x14ac:dyDescent="0.25">
      <c r="A323" s="2" t="s">
        <v>208</v>
      </c>
      <c r="B323" s="1" t="s">
        <v>207</v>
      </c>
      <c r="C323" s="2" t="s">
        <v>45</v>
      </c>
      <c r="D323" s="4">
        <v>444</v>
      </c>
      <c r="E323" s="4">
        <v>18695</v>
      </c>
      <c r="F323" s="4">
        <v>66</v>
      </c>
      <c r="G323" s="4">
        <v>10656</v>
      </c>
      <c r="H323" s="4">
        <v>107</v>
      </c>
      <c r="I323" s="4">
        <v>4341</v>
      </c>
      <c r="J323" s="4">
        <v>23</v>
      </c>
      <c r="K323" s="4">
        <v>459</v>
      </c>
      <c r="L323" s="4">
        <v>888</v>
      </c>
      <c r="M323" s="4">
        <v>228</v>
      </c>
      <c r="N323" s="4">
        <v>1116</v>
      </c>
      <c r="O323" s="4">
        <v>551</v>
      </c>
      <c r="P323" s="4">
        <v>23036</v>
      </c>
      <c r="Q323" s="2" t="s">
        <v>872</v>
      </c>
      <c r="R323" s="4">
        <v>244</v>
      </c>
      <c r="S323" s="4">
        <v>6679</v>
      </c>
      <c r="T323" s="4">
        <v>89</v>
      </c>
      <c r="U323" s="4">
        <v>11115</v>
      </c>
      <c r="V323" s="4">
        <v>269</v>
      </c>
      <c r="W323" s="4">
        <v>6949</v>
      </c>
      <c r="X323" s="4">
        <v>0</v>
      </c>
      <c r="Y323" s="4">
        <v>0</v>
      </c>
      <c r="Z323" s="4">
        <v>909</v>
      </c>
      <c r="AA323" s="4">
        <v>41100</v>
      </c>
      <c r="AB323" s="77">
        <f>Table4[[#This Row],[Total Attendance]]/Table4[[#This Row],[Total Events]]</f>
        <v>45.214521452145213</v>
      </c>
      <c r="AC323" s="77">
        <f>Table4[[#This Row],[Total Attendance]]/AD323</f>
        <v>1.5573490962828236</v>
      </c>
      <c r="AD323" s="77">
        <v>26391</v>
      </c>
    </row>
    <row r="324" spans="1:30" ht="13.5" thickBot="1" x14ac:dyDescent="0.25">
      <c r="A324" s="2" t="s">
        <v>227</v>
      </c>
      <c r="B324" s="1" t="s">
        <v>226</v>
      </c>
      <c r="C324" s="2" t="s">
        <v>45</v>
      </c>
      <c r="D324" s="4">
        <v>331</v>
      </c>
      <c r="E324" s="4">
        <v>10266</v>
      </c>
      <c r="F324" s="4">
        <v>23</v>
      </c>
      <c r="G324" s="4">
        <v>258</v>
      </c>
      <c r="H324" s="4">
        <v>77</v>
      </c>
      <c r="I324" s="4">
        <v>3460</v>
      </c>
      <c r="J324" s="77">
        <v>13</v>
      </c>
      <c r="K324" s="77">
        <v>186</v>
      </c>
      <c r="L324" s="4">
        <v>651</v>
      </c>
      <c r="M324" s="77">
        <v>84</v>
      </c>
      <c r="N324" s="4">
        <v>735</v>
      </c>
      <c r="O324" s="4">
        <v>408</v>
      </c>
      <c r="P324" s="4">
        <v>13726</v>
      </c>
      <c r="Q324" s="2" t="s">
        <v>872</v>
      </c>
      <c r="R324" s="4">
        <v>140</v>
      </c>
      <c r="S324" s="4">
        <v>5424</v>
      </c>
      <c r="T324" s="4">
        <v>36</v>
      </c>
      <c r="U324" s="4">
        <v>444</v>
      </c>
      <c r="V324" s="4">
        <v>348</v>
      </c>
      <c r="W324" s="4">
        <v>2626</v>
      </c>
      <c r="X324" s="4">
        <v>9</v>
      </c>
      <c r="Y324" s="4">
        <v>358</v>
      </c>
      <c r="Z324" s="4">
        <v>801</v>
      </c>
      <c r="AA324" s="4">
        <v>17154</v>
      </c>
      <c r="AB324" s="77">
        <f>Table4[[#This Row],[Total Attendance]]/Table4[[#This Row],[Total Events]]</f>
        <v>21.415730337078653</v>
      </c>
      <c r="AC324" s="77">
        <f>Table4[[#This Row],[Total Attendance]]/AD324</f>
        <v>0.52300375011433275</v>
      </c>
      <c r="AD324" s="77">
        <v>32799</v>
      </c>
    </row>
    <row r="325" spans="1:30" ht="13.5" thickBot="1" x14ac:dyDescent="0.25">
      <c r="A325" s="2" t="s">
        <v>239</v>
      </c>
      <c r="B325" s="1" t="s">
        <v>238</v>
      </c>
      <c r="C325" s="2" t="s">
        <v>45</v>
      </c>
      <c r="D325" s="4">
        <v>127</v>
      </c>
      <c r="E325" s="4">
        <v>4736</v>
      </c>
      <c r="F325" s="4">
        <v>24</v>
      </c>
      <c r="G325" s="4">
        <v>769</v>
      </c>
      <c r="H325" s="4">
        <v>62</v>
      </c>
      <c r="I325" s="4">
        <v>2756</v>
      </c>
      <c r="J325" s="4">
        <v>11</v>
      </c>
      <c r="K325" s="4">
        <v>309</v>
      </c>
      <c r="L325" s="77">
        <v>239</v>
      </c>
      <c r="M325" s="77">
        <v>68</v>
      </c>
      <c r="N325" s="77">
        <v>307</v>
      </c>
      <c r="O325" s="4">
        <v>189</v>
      </c>
      <c r="P325" s="4">
        <v>7492</v>
      </c>
      <c r="Q325" s="2" t="s">
        <v>872</v>
      </c>
      <c r="R325" s="4">
        <v>86</v>
      </c>
      <c r="S325" s="4">
        <v>1545</v>
      </c>
      <c r="T325" s="4">
        <v>35</v>
      </c>
      <c r="U325" s="4">
        <v>1078</v>
      </c>
      <c r="V325" s="4">
        <v>59</v>
      </c>
      <c r="W325" s="4">
        <v>697</v>
      </c>
      <c r="X325" s="4">
        <v>0</v>
      </c>
      <c r="Y325" s="77">
        <v>0</v>
      </c>
      <c r="Z325" s="4">
        <v>283</v>
      </c>
      <c r="AA325" s="4">
        <v>9267</v>
      </c>
      <c r="AB325" s="77">
        <f>Table4[[#This Row],[Total Attendance]]/Table4[[#This Row],[Total Events]]</f>
        <v>32.745583038869256</v>
      </c>
      <c r="AC325" s="77">
        <f>Table4[[#This Row],[Total Attendance]]/AD325</f>
        <v>0.3541348211556099</v>
      </c>
      <c r="AD325" s="77">
        <v>26168</v>
      </c>
    </row>
    <row r="326" spans="1:30" ht="13.5" thickBot="1" x14ac:dyDescent="0.25">
      <c r="A326" s="2" t="s">
        <v>251</v>
      </c>
      <c r="B326" s="1" t="s">
        <v>250</v>
      </c>
      <c r="C326" s="2" t="s">
        <v>45</v>
      </c>
      <c r="D326" s="4">
        <v>289</v>
      </c>
      <c r="E326" s="4">
        <v>11088</v>
      </c>
      <c r="F326" s="4">
        <v>209</v>
      </c>
      <c r="G326" s="4">
        <v>14984</v>
      </c>
      <c r="H326" s="4">
        <v>68</v>
      </c>
      <c r="I326" s="4">
        <v>4474</v>
      </c>
      <c r="J326" s="4">
        <v>23</v>
      </c>
      <c r="K326" s="4">
        <v>158</v>
      </c>
      <c r="L326" s="4">
        <v>826</v>
      </c>
      <c r="M326" s="77">
        <v>136</v>
      </c>
      <c r="N326" s="4">
        <v>962</v>
      </c>
      <c r="O326" s="4">
        <v>357</v>
      </c>
      <c r="P326" s="4">
        <v>15562</v>
      </c>
      <c r="Q326" s="2" t="s">
        <v>872</v>
      </c>
      <c r="R326" s="4">
        <v>176</v>
      </c>
      <c r="S326" s="4">
        <v>7609</v>
      </c>
      <c r="T326" s="4">
        <v>232</v>
      </c>
      <c r="U326" s="4">
        <v>15142</v>
      </c>
      <c r="V326" s="4">
        <v>598</v>
      </c>
      <c r="W326" s="4">
        <v>8890</v>
      </c>
      <c r="X326" s="4">
        <v>0</v>
      </c>
      <c r="Y326" s="4">
        <v>0</v>
      </c>
      <c r="Z326" s="4">
        <v>1187</v>
      </c>
      <c r="AA326" s="4">
        <v>39594</v>
      </c>
      <c r="AB326" s="77">
        <f>Table4[[#This Row],[Total Attendance]]/Table4[[#This Row],[Total Events]]</f>
        <v>33.356360572872788</v>
      </c>
      <c r="AC326" s="77">
        <f>Table4[[#This Row],[Total Attendance]]/AD326</f>
        <v>0.81504353733094548</v>
      </c>
      <c r="AD326" s="77">
        <v>48579</v>
      </c>
    </row>
    <row r="327" spans="1:30" ht="13.5" thickBot="1" x14ac:dyDescent="0.25">
      <c r="A327" s="2" t="s">
        <v>253</v>
      </c>
      <c r="B327" s="1" t="s">
        <v>252</v>
      </c>
      <c r="C327" s="2" t="s">
        <v>45</v>
      </c>
      <c r="D327" s="4">
        <v>154</v>
      </c>
      <c r="E327" s="4">
        <v>1819</v>
      </c>
      <c r="F327" s="4">
        <v>42</v>
      </c>
      <c r="G327" s="4">
        <v>208</v>
      </c>
      <c r="H327" s="4">
        <v>12</v>
      </c>
      <c r="I327" s="4">
        <v>350</v>
      </c>
      <c r="J327" s="77">
        <v>12</v>
      </c>
      <c r="K327" s="77">
        <v>76</v>
      </c>
      <c r="L327" s="77">
        <v>68</v>
      </c>
      <c r="M327" s="77">
        <v>14</v>
      </c>
      <c r="N327" s="77">
        <v>82</v>
      </c>
      <c r="O327" s="4">
        <v>166</v>
      </c>
      <c r="P327" s="4">
        <v>2169</v>
      </c>
      <c r="Q327" s="2" t="s">
        <v>872</v>
      </c>
      <c r="R327" s="77">
        <v>62</v>
      </c>
      <c r="S327" s="77">
        <v>397</v>
      </c>
      <c r="T327" s="4">
        <v>54</v>
      </c>
      <c r="U327" s="4">
        <v>284</v>
      </c>
      <c r="V327" s="77">
        <v>98</v>
      </c>
      <c r="W327" s="77">
        <v>985</v>
      </c>
      <c r="X327" s="77">
        <v>12</v>
      </c>
      <c r="Y327" s="77">
        <v>940</v>
      </c>
      <c r="Z327" s="4">
        <v>330</v>
      </c>
      <c r="AA327" s="4">
        <v>4378</v>
      </c>
      <c r="AB327" s="77">
        <f>Table4[[#This Row],[Total Attendance]]/Table4[[#This Row],[Total Events]]</f>
        <v>13.266666666666667</v>
      </c>
      <c r="AC327" s="77">
        <f>Table4[[#This Row],[Total Attendance]]/AD327</f>
        <v>0.13494852351889525</v>
      </c>
      <c r="AD327" s="77">
        <v>32442</v>
      </c>
    </row>
    <row r="328" spans="1:30" ht="13.5" thickBot="1" x14ac:dyDescent="0.25">
      <c r="A328" s="2" t="s">
        <v>313</v>
      </c>
      <c r="B328" s="1" t="s">
        <v>312</v>
      </c>
      <c r="C328" s="2" t="s">
        <v>45</v>
      </c>
      <c r="D328" s="4">
        <v>97</v>
      </c>
      <c r="E328" s="4">
        <v>2831</v>
      </c>
      <c r="F328" s="4">
        <v>8</v>
      </c>
      <c r="G328" s="4">
        <v>49</v>
      </c>
      <c r="H328" s="4">
        <v>25</v>
      </c>
      <c r="I328" s="4">
        <v>1211</v>
      </c>
      <c r="J328" s="4">
        <v>2</v>
      </c>
      <c r="K328" s="4">
        <v>2</v>
      </c>
      <c r="L328" s="4">
        <v>333</v>
      </c>
      <c r="M328" s="77">
        <v>36</v>
      </c>
      <c r="N328" s="4">
        <v>369</v>
      </c>
      <c r="O328" s="4">
        <v>122</v>
      </c>
      <c r="P328" s="4">
        <v>4042</v>
      </c>
      <c r="Q328" s="2" t="s">
        <v>872</v>
      </c>
      <c r="R328" s="4">
        <v>55</v>
      </c>
      <c r="S328" s="4">
        <v>1086</v>
      </c>
      <c r="T328" s="4">
        <v>10</v>
      </c>
      <c r="U328" s="4">
        <v>51</v>
      </c>
      <c r="V328" s="4">
        <v>129</v>
      </c>
      <c r="W328" s="4">
        <v>1254</v>
      </c>
      <c r="X328" s="4">
        <v>13</v>
      </c>
      <c r="Y328" s="4">
        <v>1240</v>
      </c>
      <c r="Z328" s="4">
        <v>274</v>
      </c>
      <c r="AA328" s="4">
        <v>6587</v>
      </c>
      <c r="AB328" s="77">
        <f>Table4[[#This Row],[Total Attendance]]/Table4[[#This Row],[Total Events]]</f>
        <v>24.040145985401459</v>
      </c>
      <c r="AC328" s="77">
        <f>Table4[[#This Row],[Total Attendance]]/AD328</f>
        <v>0.23786653185035389</v>
      </c>
      <c r="AD328" s="77">
        <v>27692</v>
      </c>
    </row>
    <row r="329" spans="1:30" ht="13.5" thickBot="1" x14ac:dyDescent="0.25">
      <c r="A329" s="2" t="s">
        <v>321</v>
      </c>
      <c r="B329" s="1" t="s">
        <v>320</v>
      </c>
      <c r="C329" s="2" t="s">
        <v>45</v>
      </c>
      <c r="D329" s="4">
        <v>124</v>
      </c>
      <c r="E329" s="4">
        <v>5509</v>
      </c>
      <c r="F329" s="4">
        <v>0</v>
      </c>
      <c r="G329" s="4">
        <v>0</v>
      </c>
      <c r="H329" s="4">
        <v>17</v>
      </c>
      <c r="I329" s="4">
        <v>1510</v>
      </c>
      <c r="J329" s="4">
        <v>0</v>
      </c>
      <c r="K329" s="4">
        <v>0</v>
      </c>
      <c r="L329" s="4">
        <v>1424</v>
      </c>
      <c r="M329" s="4">
        <v>362</v>
      </c>
      <c r="N329" s="4">
        <v>1786</v>
      </c>
      <c r="O329" s="4">
        <v>141</v>
      </c>
      <c r="P329" s="4">
        <v>7019</v>
      </c>
      <c r="Q329" s="2" t="s">
        <v>872</v>
      </c>
      <c r="R329" s="77">
        <v>70</v>
      </c>
      <c r="S329" s="77">
        <v>2014</v>
      </c>
      <c r="T329" s="4">
        <v>0</v>
      </c>
      <c r="U329" s="4">
        <v>0</v>
      </c>
      <c r="V329" s="4">
        <v>53</v>
      </c>
      <c r="W329" s="4">
        <v>688</v>
      </c>
      <c r="X329" s="4">
        <v>0</v>
      </c>
      <c r="Y329" s="4">
        <v>0</v>
      </c>
      <c r="Z329" s="4">
        <v>194</v>
      </c>
      <c r="AA329" s="4">
        <v>7707</v>
      </c>
      <c r="AB329" s="77">
        <f>Table4[[#This Row],[Total Attendance]]/Table4[[#This Row],[Total Events]]</f>
        <v>39.726804123711339</v>
      </c>
      <c r="AC329" s="77">
        <f>Table4[[#This Row],[Total Attendance]]/AD329</f>
        <v>0.16403107374694051</v>
      </c>
      <c r="AD329" s="77">
        <v>46985</v>
      </c>
    </row>
    <row r="330" spans="1:30" ht="13.5" thickBot="1" x14ac:dyDescent="0.25">
      <c r="A330" s="2" t="s">
        <v>341</v>
      </c>
      <c r="B330" s="1" t="s">
        <v>340</v>
      </c>
      <c r="C330" s="2" t="s">
        <v>45</v>
      </c>
      <c r="D330" s="4">
        <v>139</v>
      </c>
      <c r="E330" s="4">
        <v>5072</v>
      </c>
      <c r="F330" s="4">
        <v>10</v>
      </c>
      <c r="G330" s="4">
        <v>182</v>
      </c>
      <c r="H330" s="4">
        <v>25</v>
      </c>
      <c r="I330" s="4">
        <v>1151</v>
      </c>
      <c r="J330" s="4">
        <v>0</v>
      </c>
      <c r="K330" s="4">
        <v>0</v>
      </c>
      <c r="L330" s="4">
        <v>359</v>
      </c>
      <c r="M330" s="77">
        <v>0</v>
      </c>
      <c r="N330" s="4">
        <v>359</v>
      </c>
      <c r="O330" s="4">
        <v>164</v>
      </c>
      <c r="P330" s="4">
        <v>6223</v>
      </c>
      <c r="Q330" s="2" t="s">
        <v>872</v>
      </c>
      <c r="R330" s="4">
        <v>35</v>
      </c>
      <c r="S330" s="4">
        <v>304</v>
      </c>
      <c r="T330" s="4">
        <v>10</v>
      </c>
      <c r="U330" s="4">
        <v>182</v>
      </c>
      <c r="V330" s="4">
        <v>154</v>
      </c>
      <c r="W330" s="4">
        <v>2442</v>
      </c>
      <c r="X330" s="77">
        <v>2</v>
      </c>
      <c r="Y330" s="77">
        <v>245</v>
      </c>
      <c r="Z330" s="4">
        <v>330</v>
      </c>
      <c r="AA330" s="4">
        <v>9092</v>
      </c>
      <c r="AB330" s="77">
        <f>Table4[[#This Row],[Total Attendance]]/Table4[[#This Row],[Total Events]]</f>
        <v>27.551515151515151</v>
      </c>
      <c r="AC330" s="77">
        <f>Table4[[#This Row],[Total Attendance]]/AD330</f>
        <v>0.22230915937209644</v>
      </c>
      <c r="AD330" s="77">
        <v>40898</v>
      </c>
    </row>
    <row r="331" spans="1:30" ht="13.5" thickBot="1" x14ac:dyDescent="0.25">
      <c r="A331" s="2" t="s">
        <v>401</v>
      </c>
      <c r="B331" s="1" t="s">
        <v>400</v>
      </c>
      <c r="C331" s="2" t="s">
        <v>45</v>
      </c>
      <c r="D331" s="4">
        <v>123</v>
      </c>
      <c r="E331" s="4">
        <v>4203</v>
      </c>
      <c r="F331" s="4">
        <v>3</v>
      </c>
      <c r="G331" s="4">
        <v>24</v>
      </c>
      <c r="H331" s="4">
        <v>0</v>
      </c>
      <c r="I331" s="4">
        <v>0</v>
      </c>
      <c r="J331" s="4">
        <v>0</v>
      </c>
      <c r="K331" s="4">
        <v>0</v>
      </c>
      <c r="L331" s="4">
        <v>0</v>
      </c>
      <c r="M331" s="77">
        <v>0</v>
      </c>
      <c r="N331" s="4">
        <v>0</v>
      </c>
      <c r="O331" s="4">
        <v>123</v>
      </c>
      <c r="P331" s="4">
        <v>4203</v>
      </c>
      <c r="Q331" s="2" t="s">
        <v>872</v>
      </c>
      <c r="R331" s="4">
        <v>53</v>
      </c>
      <c r="S331" s="4">
        <v>914</v>
      </c>
      <c r="T331" s="4">
        <v>3</v>
      </c>
      <c r="U331" s="4">
        <v>24</v>
      </c>
      <c r="V331" s="4">
        <v>34</v>
      </c>
      <c r="W331" s="4">
        <v>1555</v>
      </c>
      <c r="X331" s="77">
        <v>0</v>
      </c>
      <c r="Y331" s="77">
        <v>0</v>
      </c>
      <c r="Z331" s="4">
        <v>160</v>
      </c>
      <c r="AA331" s="4">
        <v>5782</v>
      </c>
      <c r="AB331" s="77">
        <f>Table4[[#This Row],[Total Attendance]]/Table4[[#This Row],[Total Events]]</f>
        <v>36.137500000000003</v>
      </c>
      <c r="AC331" s="77">
        <f>Table4[[#This Row],[Total Attendance]]/AD331</f>
        <v>0.138371703441344</v>
      </c>
      <c r="AD331" s="77">
        <v>41786</v>
      </c>
    </row>
    <row r="332" spans="1:30" ht="13.5" thickBot="1" x14ac:dyDescent="0.25">
      <c r="A332" s="2" t="s">
        <v>445</v>
      </c>
      <c r="B332" s="1" t="s">
        <v>444</v>
      </c>
      <c r="C332" s="2" t="s">
        <v>45</v>
      </c>
      <c r="D332" s="4">
        <v>240</v>
      </c>
      <c r="E332" s="4">
        <v>11845</v>
      </c>
      <c r="F332" s="4">
        <v>15</v>
      </c>
      <c r="G332" s="4">
        <v>243</v>
      </c>
      <c r="H332" s="4">
        <v>43</v>
      </c>
      <c r="I332" s="4">
        <v>1249</v>
      </c>
      <c r="J332" s="4">
        <v>13</v>
      </c>
      <c r="K332" s="4">
        <v>35</v>
      </c>
      <c r="L332" s="4">
        <v>629</v>
      </c>
      <c r="M332" s="77">
        <v>165</v>
      </c>
      <c r="N332" s="4">
        <v>794</v>
      </c>
      <c r="O332" s="4">
        <v>283</v>
      </c>
      <c r="P332" s="4">
        <v>13094</v>
      </c>
      <c r="Q332" s="2" t="s">
        <v>872</v>
      </c>
      <c r="R332" s="4">
        <v>70</v>
      </c>
      <c r="S332" s="4">
        <v>1050</v>
      </c>
      <c r="T332" s="4">
        <v>28</v>
      </c>
      <c r="U332" s="4">
        <v>278</v>
      </c>
      <c r="V332" s="4">
        <v>222</v>
      </c>
      <c r="W332" s="4">
        <v>1950</v>
      </c>
      <c r="X332" s="4">
        <v>239</v>
      </c>
      <c r="Y332" s="4">
        <v>2971</v>
      </c>
      <c r="Z332" s="4">
        <v>772</v>
      </c>
      <c r="AA332" s="4">
        <v>18293</v>
      </c>
      <c r="AB332" s="77">
        <f>Table4[[#This Row],[Total Attendance]]/Table4[[#This Row],[Total Events]]</f>
        <v>23.695595854922281</v>
      </c>
      <c r="AC332" s="77">
        <f>Table4[[#This Row],[Total Attendance]]/AD332</f>
        <v>0.44867675553702385</v>
      </c>
      <c r="AD332" s="77">
        <v>40771</v>
      </c>
    </row>
    <row r="333" spans="1:30" ht="13.5" thickBot="1" x14ac:dyDescent="0.25">
      <c r="A333" s="2" t="s">
        <v>451</v>
      </c>
      <c r="B333" s="1" t="s">
        <v>450</v>
      </c>
      <c r="C333" s="2" t="s">
        <v>45</v>
      </c>
      <c r="D333" s="4">
        <v>64</v>
      </c>
      <c r="E333" s="4">
        <v>746</v>
      </c>
      <c r="F333" s="4">
        <v>12</v>
      </c>
      <c r="G333" s="4">
        <v>96</v>
      </c>
      <c r="H333" s="4">
        <v>15</v>
      </c>
      <c r="I333" s="4">
        <v>367</v>
      </c>
      <c r="J333" s="4">
        <v>4</v>
      </c>
      <c r="K333" s="4">
        <v>59</v>
      </c>
      <c r="L333" s="4">
        <v>187</v>
      </c>
      <c r="M333" s="77">
        <v>28</v>
      </c>
      <c r="N333" s="4">
        <v>215</v>
      </c>
      <c r="O333" s="4">
        <v>79</v>
      </c>
      <c r="P333" s="4">
        <v>1113</v>
      </c>
      <c r="Q333" s="2" t="s">
        <v>872</v>
      </c>
      <c r="R333" s="4">
        <v>12</v>
      </c>
      <c r="S333" s="4">
        <v>204</v>
      </c>
      <c r="T333" s="4">
        <v>16</v>
      </c>
      <c r="U333" s="4">
        <v>155</v>
      </c>
      <c r="V333" s="4">
        <v>58</v>
      </c>
      <c r="W333" s="4">
        <v>634</v>
      </c>
      <c r="X333" s="77">
        <v>5</v>
      </c>
      <c r="Y333" s="77">
        <v>163</v>
      </c>
      <c r="Z333" s="4">
        <v>158</v>
      </c>
      <c r="AA333" s="4">
        <v>2065</v>
      </c>
      <c r="AB333" s="77">
        <f>Table4[[#This Row],[Total Attendance]]/Table4[[#This Row],[Total Events]]</f>
        <v>13.069620253164556</v>
      </c>
      <c r="AC333" s="77">
        <f>Table4[[#This Row],[Total Attendance]]/AD333</f>
        <v>5.4136954697986579E-2</v>
      </c>
      <c r="AD333" s="77">
        <v>38144</v>
      </c>
    </row>
    <row r="334" spans="1:30" ht="13.5" thickBot="1" x14ac:dyDescent="0.25">
      <c r="A334" s="2" t="s">
        <v>463</v>
      </c>
      <c r="B334" s="1" t="s">
        <v>462</v>
      </c>
      <c r="C334" s="2" t="s">
        <v>45</v>
      </c>
      <c r="D334" s="77">
        <v>186</v>
      </c>
      <c r="E334" s="77">
        <v>10945</v>
      </c>
      <c r="F334" s="77">
        <v>55</v>
      </c>
      <c r="G334" s="77">
        <v>992</v>
      </c>
      <c r="H334" s="77">
        <v>8</v>
      </c>
      <c r="I334" s="77">
        <v>1091</v>
      </c>
      <c r="J334" s="77">
        <v>5</v>
      </c>
      <c r="K334" s="77">
        <v>25</v>
      </c>
      <c r="L334" s="77">
        <v>1478</v>
      </c>
      <c r="M334" s="77">
        <v>319</v>
      </c>
      <c r="N334" s="77">
        <v>1797</v>
      </c>
      <c r="O334" s="77">
        <v>194</v>
      </c>
      <c r="P334" s="77">
        <v>12036</v>
      </c>
      <c r="Q334" s="2" t="s">
        <v>872</v>
      </c>
      <c r="R334" s="77">
        <v>118</v>
      </c>
      <c r="S334" s="77">
        <v>4360</v>
      </c>
      <c r="T334" s="77">
        <v>60</v>
      </c>
      <c r="U334" s="77">
        <v>1017</v>
      </c>
      <c r="V334" s="77">
        <v>377</v>
      </c>
      <c r="W334" s="77">
        <v>12411</v>
      </c>
      <c r="X334" s="77">
        <v>87</v>
      </c>
      <c r="Y334" s="77">
        <v>4354</v>
      </c>
      <c r="Z334" s="77">
        <v>718</v>
      </c>
      <c r="AA334" s="77">
        <v>29818</v>
      </c>
      <c r="AB334" s="77">
        <f>Table4[[#This Row],[Total Attendance]]/Table4[[#This Row],[Total Events]]</f>
        <v>41.529247910863511</v>
      </c>
      <c r="AC334" s="77">
        <f>Table4[[#This Row],[Total Attendance]]/AD334</f>
        <v>0.83899831176139561</v>
      </c>
      <c r="AD334" s="77">
        <v>35540</v>
      </c>
    </row>
    <row r="335" spans="1:30" ht="13.5" thickBot="1" x14ac:dyDescent="0.25">
      <c r="A335" s="2" t="s">
        <v>480</v>
      </c>
      <c r="B335" s="1" t="s">
        <v>479</v>
      </c>
      <c r="C335" s="2" t="s">
        <v>45</v>
      </c>
      <c r="D335" s="4">
        <v>29</v>
      </c>
      <c r="E335" s="4">
        <v>720</v>
      </c>
      <c r="F335" s="4">
        <v>2</v>
      </c>
      <c r="G335" s="4">
        <v>35</v>
      </c>
      <c r="H335" s="4">
        <v>5</v>
      </c>
      <c r="I335" s="4">
        <v>227</v>
      </c>
      <c r="J335" s="4">
        <v>1</v>
      </c>
      <c r="K335" s="4">
        <v>2</v>
      </c>
      <c r="L335" s="4">
        <v>122</v>
      </c>
      <c r="M335" s="77">
        <v>15</v>
      </c>
      <c r="N335" s="4">
        <v>137</v>
      </c>
      <c r="O335" s="4">
        <v>34</v>
      </c>
      <c r="P335" s="4">
        <v>947</v>
      </c>
      <c r="Q335" s="2" t="s">
        <v>872</v>
      </c>
      <c r="R335" s="77">
        <v>29</v>
      </c>
      <c r="S335" s="77">
        <v>900</v>
      </c>
      <c r="T335" s="4">
        <v>3</v>
      </c>
      <c r="U335" s="4">
        <v>37</v>
      </c>
      <c r="V335" s="4">
        <v>51</v>
      </c>
      <c r="W335" s="4">
        <v>275</v>
      </c>
      <c r="X335" s="4">
        <v>80</v>
      </c>
      <c r="Y335" s="4">
        <v>2258</v>
      </c>
      <c r="Z335" s="4">
        <v>168</v>
      </c>
      <c r="AA335" s="4">
        <v>3517</v>
      </c>
      <c r="AB335" s="77">
        <f>Table4[[#This Row],[Total Attendance]]/Table4[[#This Row],[Total Events]]</f>
        <v>20.93452380952381</v>
      </c>
      <c r="AC335" s="77">
        <f>Table4[[#This Row],[Total Attendance]]/AD335</f>
        <v>0.11844143598033273</v>
      </c>
      <c r="AD335" s="77">
        <v>29694</v>
      </c>
    </row>
    <row r="336" spans="1:30" ht="13.5" thickBot="1" x14ac:dyDescent="0.25">
      <c r="A336" s="2" t="s">
        <v>500</v>
      </c>
      <c r="B336" s="1" t="s">
        <v>499</v>
      </c>
      <c r="C336" s="2" t="s">
        <v>45</v>
      </c>
      <c r="D336" s="4">
        <v>542</v>
      </c>
      <c r="E336" s="4">
        <v>12993</v>
      </c>
      <c r="F336" s="4">
        <v>368</v>
      </c>
      <c r="G336" s="4">
        <v>4907</v>
      </c>
      <c r="H336" s="4">
        <v>304</v>
      </c>
      <c r="I336" s="4">
        <v>7175</v>
      </c>
      <c r="J336" s="77">
        <v>157</v>
      </c>
      <c r="K336" s="77">
        <v>1780</v>
      </c>
      <c r="L336" s="4">
        <v>472</v>
      </c>
      <c r="M336" s="77">
        <v>52</v>
      </c>
      <c r="N336" s="4">
        <v>524</v>
      </c>
      <c r="O336" s="4">
        <v>846</v>
      </c>
      <c r="P336" s="4">
        <v>20168</v>
      </c>
      <c r="Q336" s="2" t="s">
        <v>872</v>
      </c>
      <c r="R336" s="4">
        <v>256</v>
      </c>
      <c r="S336" s="4">
        <v>3085</v>
      </c>
      <c r="T336" s="4">
        <v>525</v>
      </c>
      <c r="U336" s="4">
        <v>6687</v>
      </c>
      <c r="V336" s="4">
        <v>15</v>
      </c>
      <c r="W336" s="4">
        <v>159</v>
      </c>
      <c r="X336" s="4">
        <v>96</v>
      </c>
      <c r="Y336" s="4">
        <v>554</v>
      </c>
      <c r="Z336" s="4">
        <v>1482</v>
      </c>
      <c r="AA336" s="4">
        <v>27568</v>
      </c>
      <c r="AB336" s="77">
        <f>Table4[[#This Row],[Total Attendance]]/Table4[[#This Row],[Total Events]]</f>
        <v>18.601889338731443</v>
      </c>
      <c r="AC336" s="77">
        <f>Table4[[#This Row],[Total Attendance]]/AD336</f>
        <v>0.9623682189485443</v>
      </c>
      <c r="AD336" s="77">
        <v>28646</v>
      </c>
    </row>
    <row r="337" spans="1:30" ht="13.5" thickBot="1" x14ac:dyDescent="0.25">
      <c r="A337" s="2" t="s">
        <v>556</v>
      </c>
      <c r="B337" s="1" t="s">
        <v>555</v>
      </c>
      <c r="C337" s="2" t="s">
        <v>45</v>
      </c>
      <c r="D337" s="4">
        <v>220</v>
      </c>
      <c r="E337" s="4">
        <v>7159</v>
      </c>
      <c r="F337" s="4">
        <v>19</v>
      </c>
      <c r="G337" s="4">
        <v>787</v>
      </c>
      <c r="H337" s="4">
        <v>30</v>
      </c>
      <c r="I337" s="4">
        <v>2285</v>
      </c>
      <c r="J337" s="4">
        <v>11</v>
      </c>
      <c r="K337" s="4">
        <v>396</v>
      </c>
      <c r="L337" s="4">
        <v>887</v>
      </c>
      <c r="M337" s="4">
        <v>267</v>
      </c>
      <c r="N337" s="4">
        <v>1154</v>
      </c>
      <c r="O337" s="4">
        <v>250</v>
      </c>
      <c r="P337" s="4">
        <v>9444</v>
      </c>
      <c r="Q337" s="2" t="s">
        <v>872</v>
      </c>
      <c r="R337" s="77">
        <v>141</v>
      </c>
      <c r="S337" s="77">
        <v>2083</v>
      </c>
      <c r="T337" s="4">
        <v>30</v>
      </c>
      <c r="U337" s="4">
        <v>1183</v>
      </c>
      <c r="V337" s="4">
        <v>142</v>
      </c>
      <c r="W337" s="4">
        <v>3953</v>
      </c>
      <c r="X337" s="4">
        <v>0</v>
      </c>
      <c r="Y337" s="4">
        <v>0</v>
      </c>
      <c r="Z337" s="4">
        <v>422</v>
      </c>
      <c r="AA337" s="4">
        <v>14580</v>
      </c>
      <c r="AB337" s="77">
        <f>Table4[[#This Row],[Total Attendance]]/Table4[[#This Row],[Total Events]]</f>
        <v>34.549763033175353</v>
      </c>
      <c r="AC337" s="77">
        <f>Table4[[#This Row],[Total Attendance]]/AD337</f>
        <v>0.42301331708590828</v>
      </c>
      <c r="AD337" s="77">
        <v>34467</v>
      </c>
    </row>
    <row r="338" spans="1:30" ht="13.5" thickBot="1" x14ac:dyDescent="0.25">
      <c r="A338" s="2" t="s">
        <v>562</v>
      </c>
      <c r="B338" s="1" t="s">
        <v>561</v>
      </c>
      <c r="C338" s="2" t="s">
        <v>45</v>
      </c>
      <c r="D338" s="77">
        <v>45</v>
      </c>
      <c r="E338" s="77">
        <v>1260</v>
      </c>
      <c r="F338" s="77">
        <v>55</v>
      </c>
      <c r="G338" s="77">
        <v>700</v>
      </c>
      <c r="H338" s="77">
        <v>16</v>
      </c>
      <c r="I338" s="77">
        <v>232</v>
      </c>
      <c r="J338" s="78" t="s">
        <v>16</v>
      </c>
      <c r="K338" s="78" t="s">
        <v>16</v>
      </c>
      <c r="L338" s="77">
        <v>205</v>
      </c>
      <c r="M338" s="77">
        <v>8</v>
      </c>
      <c r="N338" s="77">
        <v>213</v>
      </c>
      <c r="O338" s="77">
        <v>61</v>
      </c>
      <c r="P338" s="77">
        <v>1492</v>
      </c>
      <c r="Q338" s="2" t="s">
        <v>872</v>
      </c>
      <c r="R338" s="77">
        <v>28</v>
      </c>
      <c r="S338" s="77">
        <v>550</v>
      </c>
      <c r="T338" s="77">
        <v>55</v>
      </c>
      <c r="U338" s="77">
        <v>700</v>
      </c>
      <c r="V338" s="77">
        <v>188</v>
      </c>
      <c r="W338" s="77">
        <v>3206</v>
      </c>
      <c r="X338" s="78" t="s">
        <v>16</v>
      </c>
      <c r="Y338" s="78" t="s">
        <v>16</v>
      </c>
      <c r="Z338" s="77">
        <v>304</v>
      </c>
      <c r="AA338" s="77">
        <v>5398</v>
      </c>
      <c r="AB338" s="77">
        <f>Table4[[#This Row],[Total Attendance]]/Table4[[#This Row],[Total Events]]</f>
        <v>17.756578947368421</v>
      </c>
      <c r="AC338" s="77">
        <f>Table4[[#This Row],[Total Attendance]]/AD338</f>
        <v>0.18411269142876632</v>
      </c>
      <c r="AD338" s="77">
        <v>29319</v>
      </c>
    </row>
    <row r="339" spans="1:30" ht="13.5" thickBot="1" x14ac:dyDescent="0.25">
      <c r="A339" s="2" t="s">
        <v>568</v>
      </c>
      <c r="B339" s="1" t="s">
        <v>567</v>
      </c>
      <c r="C339" s="2" t="s">
        <v>45</v>
      </c>
      <c r="D339" s="4">
        <v>483</v>
      </c>
      <c r="E339" s="4">
        <v>16812</v>
      </c>
      <c r="F339" s="4">
        <v>49</v>
      </c>
      <c r="G339" s="4">
        <v>1296</v>
      </c>
      <c r="H339" s="4">
        <v>45</v>
      </c>
      <c r="I339" s="4">
        <v>1751</v>
      </c>
      <c r="J339" s="77">
        <v>5</v>
      </c>
      <c r="K339" s="77">
        <v>151</v>
      </c>
      <c r="L339" s="4">
        <v>880</v>
      </c>
      <c r="M339" s="77">
        <v>284</v>
      </c>
      <c r="N339" s="4">
        <v>1164</v>
      </c>
      <c r="O339" s="4">
        <v>528</v>
      </c>
      <c r="P339" s="4">
        <v>18563</v>
      </c>
      <c r="Q339" s="2" t="s">
        <v>872</v>
      </c>
      <c r="R339" s="4">
        <v>316</v>
      </c>
      <c r="S339" s="4">
        <v>8023</v>
      </c>
      <c r="T339" s="4">
        <v>54</v>
      </c>
      <c r="U339" s="4">
        <v>1447</v>
      </c>
      <c r="V339" s="4">
        <v>525</v>
      </c>
      <c r="W339" s="4">
        <v>5553</v>
      </c>
      <c r="X339" s="4">
        <v>5</v>
      </c>
      <c r="Y339" s="4">
        <v>2745</v>
      </c>
      <c r="Z339" s="4">
        <v>1112</v>
      </c>
      <c r="AA339" s="4">
        <v>28308</v>
      </c>
      <c r="AB339" s="77">
        <f>Table4[[#This Row],[Total Attendance]]/Table4[[#This Row],[Total Events]]</f>
        <v>25.456834532374099</v>
      </c>
      <c r="AC339" s="77">
        <f>Table4[[#This Row],[Total Attendance]]/AD339</f>
        <v>0.7997965756907951</v>
      </c>
      <c r="AD339" s="77">
        <v>35394</v>
      </c>
    </row>
    <row r="340" spans="1:30" ht="13.5" thickBot="1" x14ac:dyDescent="0.25">
      <c r="A340" s="2" t="s">
        <v>598</v>
      </c>
      <c r="B340" s="1" t="s">
        <v>597</v>
      </c>
      <c r="C340" s="2" t="s">
        <v>45</v>
      </c>
      <c r="D340" s="4">
        <v>487</v>
      </c>
      <c r="E340" s="4">
        <v>10143</v>
      </c>
      <c r="F340" s="4">
        <v>77</v>
      </c>
      <c r="G340" s="4">
        <v>1502</v>
      </c>
      <c r="H340" s="4">
        <v>75</v>
      </c>
      <c r="I340" s="4">
        <v>3584</v>
      </c>
      <c r="J340" s="4">
        <v>14</v>
      </c>
      <c r="K340" s="4">
        <v>197</v>
      </c>
      <c r="L340" s="4">
        <v>528</v>
      </c>
      <c r="M340" s="4">
        <v>37</v>
      </c>
      <c r="N340" s="4">
        <v>565</v>
      </c>
      <c r="O340" s="4">
        <v>562</v>
      </c>
      <c r="P340" s="4">
        <v>13727</v>
      </c>
      <c r="Q340" s="2" t="s">
        <v>872</v>
      </c>
      <c r="R340" s="4">
        <v>391</v>
      </c>
      <c r="S340" s="4">
        <v>7788</v>
      </c>
      <c r="T340" s="4">
        <v>91</v>
      </c>
      <c r="U340" s="4">
        <v>1699</v>
      </c>
      <c r="V340" s="4">
        <v>218</v>
      </c>
      <c r="W340" s="4">
        <v>6314</v>
      </c>
      <c r="X340" s="4">
        <v>0</v>
      </c>
      <c r="Y340" s="4">
        <v>0</v>
      </c>
      <c r="Z340" s="4">
        <v>871</v>
      </c>
      <c r="AA340" s="4">
        <v>21740</v>
      </c>
      <c r="AB340" s="77">
        <f>Table4[[#This Row],[Total Attendance]]/Table4[[#This Row],[Total Events]]</f>
        <v>24.959816303099885</v>
      </c>
      <c r="AC340" s="77">
        <f>Table4[[#This Row],[Total Attendance]]/AD340</f>
        <v>0.59658077440245882</v>
      </c>
      <c r="AD340" s="77">
        <v>36441</v>
      </c>
    </row>
    <row r="341" spans="1:30" ht="13.5" thickBot="1" x14ac:dyDescent="0.25">
      <c r="A341" s="2" t="s">
        <v>608</v>
      </c>
      <c r="B341" s="1" t="s">
        <v>607</v>
      </c>
      <c r="C341" s="2" t="s">
        <v>45</v>
      </c>
      <c r="D341" s="4">
        <v>346</v>
      </c>
      <c r="E341" s="4">
        <v>10730</v>
      </c>
      <c r="F341" s="4">
        <v>181</v>
      </c>
      <c r="G341" s="4">
        <v>1507</v>
      </c>
      <c r="H341" s="4">
        <v>67</v>
      </c>
      <c r="I341" s="4">
        <v>1469</v>
      </c>
      <c r="J341" s="4">
        <v>44</v>
      </c>
      <c r="K341" s="4">
        <v>352</v>
      </c>
      <c r="L341" s="4">
        <v>1303</v>
      </c>
      <c r="M341" s="77">
        <v>227</v>
      </c>
      <c r="N341" s="4">
        <v>1530</v>
      </c>
      <c r="O341" s="4">
        <v>413</v>
      </c>
      <c r="P341" s="4">
        <v>12199</v>
      </c>
      <c r="Q341" s="2" t="s">
        <v>872</v>
      </c>
      <c r="R341" s="4">
        <v>233</v>
      </c>
      <c r="S341" s="4">
        <v>3371</v>
      </c>
      <c r="T341" s="4">
        <v>225</v>
      </c>
      <c r="U341" s="4">
        <v>1859</v>
      </c>
      <c r="V341" s="4">
        <v>185</v>
      </c>
      <c r="W341" s="4">
        <v>2734</v>
      </c>
      <c r="X341" s="4">
        <v>147</v>
      </c>
      <c r="Y341" s="4">
        <v>2734</v>
      </c>
      <c r="Z341" s="4">
        <v>970</v>
      </c>
      <c r="AA341" s="4">
        <v>19526</v>
      </c>
      <c r="AB341" s="77">
        <f>Table4[[#This Row],[Total Attendance]]/Table4[[#This Row],[Total Events]]</f>
        <v>20.129896907216494</v>
      </c>
      <c r="AC341" s="77">
        <f>Table4[[#This Row],[Total Attendance]]/AD341</f>
        <v>0.5326822348319511</v>
      </c>
      <c r="AD341" s="77">
        <v>36656</v>
      </c>
    </row>
    <row r="342" spans="1:30" ht="13.5" thickBot="1" x14ac:dyDescent="0.25">
      <c r="A342" s="2" t="s">
        <v>636</v>
      </c>
      <c r="B342" s="1" t="s">
        <v>635</v>
      </c>
      <c r="C342" s="2" t="s">
        <v>45</v>
      </c>
      <c r="D342" s="77">
        <v>204</v>
      </c>
      <c r="E342" s="77">
        <v>6223</v>
      </c>
      <c r="F342" s="77">
        <v>24</v>
      </c>
      <c r="G342" s="77">
        <v>199</v>
      </c>
      <c r="H342" s="77">
        <v>40</v>
      </c>
      <c r="I342" s="77">
        <v>1476</v>
      </c>
      <c r="J342" s="77">
        <v>7</v>
      </c>
      <c r="K342" s="77">
        <v>69</v>
      </c>
      <c r="L342" s="77">
        <v>390</v>
      </c>
      <c r="M342" s="77">
        <v>90</v>
      </c>
      <c r="N342" s="77">
        <v>480</v>
      </c>
      <c r="O342" s="77">
        <v>244</v>
      </c>
      <c r="P342" s="77">
        <v>7699</v>
      </c>
      <c r="Q342" s="2" t="s">
        <v>872</v>
      </c>
      <c r="R342" s="77">
        <v>74</v>
      </c>
      <c r="S342" s="77">
        <v>1226</v>
      </c>
      <c r="T342" s="77">
        <v>31</v>
      </c>
      <c r="U342" s="77">
        <v>268</v>
      </c>
      <c r="V342" s="77">
        <v>88</v>
      </c>
      <c r="W342" s="77">
        <v>1000</v>
      </c>
      <c r="X342" s="77">
        <v>0</v>
      </c>
      <c r="Y342" s="77">
        <v>0</v>
      </c>
      <c r="Z342" s="77">
        <v>363</v>
      </c>
      <c r="AA342" s="77">
        <v>8967</v>
      </c>
      <c r="AB342" s="77">
        <f>Table4[[#This Row],[Total Attendance]]/Table4[[#This Row],[Total Events]]</f>
        <v>24.702479338842974</v>
      </c>
      <c r="AC342" s="77">
        <f>Table4[[#This Row],[Total Attendance]]/AD342</f>
        <v>0.18541416814854639</v>
      </c>
      <c r="AD342" s="77">
        <v>48362</v>
      </c>
    </row>
    <row r="343" spans="1:30" ht="13.5" thickBot="1" x14ac:dyDescent="0.25">
      <c r="A343" s="2" t="s">
        <v>662</v>
      </c>
      <c r="B343" s="1" t="s">
        <v>661</v>
      </c>
      <c r="C343" s="2" t="s">
        <v>45</v>
      </c>
      <c r="D343" s="4">
        <v>213</v>
      </c>
      <c r="E343" s="4">
        <v>4096</v>
      </c>
      <c r="F343" s="4">
        <v>79</v>
      </c>
      <c r="G343" s="4">
        <v>1199</v>
      </c>
      <c r="H343" s="4">
        <v>9</v>
      </c>
      <c r="I343" s="4">
        <v>358</v>
      </c>
      <c r="J343" s="4">
        <v>6</v>
      </c>
      <c r="K343" s="4">
        <v>36</v>
      </c>
      <c r="L343" s="4">
        <v>397</v>
      </c>
      <c r="M343" s="4">
        <v>78</v>
      </c>
      <c r="N343" s="4">
        <v>475</v>
      </c>
      <c r="O343" s="4">
        <v>222</v>
      </c>
      <c r="P343" s="4">
        <v>4454</v>
      </c>
      <c r="Q343" s="2" t="s">
        <v>872</v>
      </c>
      <c r="R343" s="4">
        <v>143</v>
      </c>
      <c r="S343" s="4">
        <v>2410</v>
      </c>
      <c r="T343" s="4">
        <v>85</v>
      </c>
      <c r="U343" s="4">
        <v>1235</v>
      </c>
      <c r="V343" s="4">
        <v>148</v>
      </c>
      <c r="W343" s="4">
        <v>1673</v>
      </c>
      <c r="X343" s="77">
        <v>0</v>
      </c>
      <c r="Y343" s="77">
        <v>0</v>
      </c>
      <c r="Z343" s="4">
        <v>455</v>
      </c>
      <c r="AA343" s="4">
        <v>7362</v>
      </c>
      <c r="AB343" s="77">
        <f>Table4[[#This Row],[Total Attendance]]/Table4[[#This Row],[Total Events]]</f>
        <v>16.18021978021978</v>
      </c>
      <c r="AC343" s="77">
        <f>Table4[[#This Row],[Total Attendance]]/AD343</f>
        <v>0.21755962055616301</v>
      </c>
      <c r="AD343" s="77">
        <v>33839</v>
      </c>
    </row>
    <row r="344" spans="1:30" ht="13.5" thickBot="1" x14ac:dyDescent="0.25">
      <c r="A344" s="2" t="s">
        <v>664</v>
      </c>
      <c r="B344" s="1" t="s">
        <v>663</v>
      </c>
      <c r="C344" s="2" t="s">
        <v>45</v>
      </c>
      <c r="D344" s="4">
        <v>63</v>
      </c>
      <c r="E344" s="4">
        <v>1323</v>
      </c>
      <c r="F344" s="4">
        <v>15</v>
      </c>
      <c r="G344" s="4">
        <v>73</v>
      </c>
      <c r="H344" s="4">
        <v>9</v>
      </c>
      <c r="I344" s="4">
        <v>909</v>
      </c>
      <c r="J344" s="4">
        <v>3</v>
      </c>
      <c r="K344" s="4">
        <v>28</v>
      </c>
      <c r="L344" s="4">
        <v>203</v>
      </c>
      <c r="M344" s="77">
        <v>26</v>
      </c>
      <c r="N344" s="4">
        <v>229</v>
      </c>
      <c r="O344" s="4">
        <v>72</v>
      </c>
      <c r="P344" s="4">
        <v>2232</v>
      </c>
      <c r="Q344" s="2" t="s">
        <v>872</v>
      </c>
      <c r="R344" s="4">
        <v>39</v>
      </c>
      <c r="S344" s="4">
        <v>1010</v>
      </c>
      <c r="T344" s="4">
        <v>18</v>
      </c>
      <c r="U344" s="4">
        <v>101</v>
      </c>
      <c r="V344" s="4">
        <v>71</v>
      </c>
      <c r="W344" s="4">
        <v>528</v>
      </c>
      <c r="X344" s="4">
        <v>43</v>
      </c>
      <c r="Y344" s="4">
        <v>1136</v>
      </c>
      <c r="Z344" s="4">
        <v>204</v>
      </c>
      <c r="AA344" s="4">
        <v>3997</v>
      </c>
      <c r="AB344" s="77">
        <f>Table4[[#This Row],[Total Attendance]]/Table4[[#This Row],[Total Events]]</f>
        <v>19.593137254901961</v>
      </c>
      <c r="AC344" s="77">
        <f>Table4[[#This Row],[Total Attendance]]/AD344</f>
        <v>0.10025584428614427</v>
      </c>
      <c r="AD344" s="77">
        <v>39868</v>
      </c>
    </row>
    <row r="345" spans="1:30" ht="13.5" thickBot="1" x14ac:dyDescent="0.25">
      <c r="A345" s="2" t="s">
        <v>668</v>
      </c>
      <c r="B345" s="1" t="s">
        <v>667</v>
      </c>
      <c r="C345" s="2" t="s">
        <v>45</v>
      </c>
      <c r="D345" s="4">
        <v>62</v>
      </c>
      <c r="E345" s="4">
        <v>712</v>
      </c>
      <c r="F345" s="4">
        <v>64</v>
      </c>
      <c r="G345" s="4">
        <v>627</v>
      </c>
      <c r="H345" s="4">
        <v>30</v>
      </c>
      <c r="I345" s="4">
        <v>671</v>
      </c>
      <c r="J345" s="4">
        <v>18</v>
      </c>
      <c r="K345" s="4">
        <v>119</v>
      </c>
      <c r="L345" s="4">
        <v>233</v>
      </c>
      <c r="M345" s="4">
        <v>55</v>
      </c>
      <c r="N345" s="4">
        <v>288</v>
      </c>
      <c r="O345" s="4">
        <v>92</v>
      </c>
      <c r="P345" s="4">
        <v>1383</v>
      </c>
      <c r="Q345" s="2" t="s">
        <v>872</v>
      </c>
      <c r="R345" s="77">
        <v>46</v>
      </c>
      <c r="S345" s="77">
        <v>444</v>
      </c>
      <c r="T345" s="4">
        <v>82</v>
      </c>
      <c r="U345" s="4">
        <v>746</v>
      </c>
      <c r="V345" s="4">
        <v>92</v>
      </c>
      <c r="W345" s="4">
        <v>607</v>
      </c>
      <c r="X345" s="4">
        <v>31</v>
      </c>
      <c r="Y345" s="4">
        <v>105</v>
      </c>
      <c r="Z345" s="4">
        <v>297</v>
      </c>
      <c r="AA345" s="4">
        <v>2841</v>
      </c>
      <c r="AB345" s="77">
        <f>Table4[[#This Row],[Total Attendance]]/Table4[[#This Row],[Total Events]]</f>
        <v>9.5656565656565657</v>
      </c>
      <c r="AC345" s="77">
        <f>Table4[[#This Row],[Total Attendance]]/AD345</f>
        <v>6.0064694813843841E-2</v>
      </c>
      <c r="AD345" s="77">
        <v>47299</v>
      </c>
    </row>
    <row r="346" spans="1:30" ht="13.5" thickBot="1" x14ac:dyDescent="0.25">
      <c r="A346" s="2" t="s">
        <v>688</v>
      </c>
      <c r="B346" s="1" t="s">
        <v>687</v>
      </c>
      <c r="C346" s="2" t="s">
        <v>45</v>
      </c>
      <c r="D346" s="4">
        <v>342</v>
      </c>
      <c r="E346" s="4">
        <v>6954</v>
      </c>
      <c r="F346" s="4">
        <v>65</v>
      </c>
      <c r="G346" s="4">
        <v>1880</v>
      </c>
      <c r="H346" s="4">
        <v>91</v>
      </c>
      <c r="I346" s="4">
        <v>3628</v>
      </c>
      <c r="J346" s="4">
        <v>13</v>
      </c>
      <c r="K346" s="4">
        <v>556</v>
      </c>
      <c r="L346" s="4">
        <v>1113</v>
      </c>
      <c r="M346" s="4">
        <v>149</v>
      </c>
      <c r="N346" s="4">
        <v>1262</v>
      </c>
      <c r="O346" s="4">
        <v>433</v>
      </c>
      <c r="P346" s="4">
        <v>10582</v>
      </c>
      <c r="Q346" s="2" t="s">
        <v>872</v>
      </c>
      <c r="R346" s="77">
        <v>229</v>
      </c>
      <c r="S346" s="77">
        <v>3885</v>
      </c>
      <c r="T346" s="4">
        <v>78</v>
      </c>
      <c r="U346" s="4">
        <v>2436</v>
      </c>
      <c r="V346" s="4">
        <v>164</v>
      </c>
      <c r="W346" s="4">
        <v>1115</v>
      </c>
      <c r="X346" s="4">
        <v>2</v>
      </c>
      <c r="Y346" s="4">
        <v>129</v>
      </c>
      <c r="Z346" s="4">
        <v>677</v>
      </c>
      <c r="AA346" s="4">
        <v>14262</v>
      </c>
      <c r="AB346" s="77">
        <f>Table4[[#This Row],[Total Attendance]]/Table4[[#This Row],[Total Events]]</f>
        <v>21.066469719350074</v>
      </c>
      <c r="AC346" s="77">
        <f>Table4[[#This Row],[Total Attendance]]/AD346</f>
        <v>0.54071883530482256</v>
      </c>
      <c r="AD346" s="77">
        <v>26376</v>
      </c>
    </row>
    <row r="347" spans="1:30" ht="13.5" thickBot="1" x14ac:dyDescent="0.25">
      <c r="A347" s="2" t="s">
        <v>712</v>
      </c>
      <c r="B347" s="1" t="s">
        <v>711</v>
      </c>
      <c r="C347" s="2" t="s">
        <v>45</v>
      </c>
      <c r="D347" s="4">
        <v>186</v>
      </c>
      <c r="E347" s="4">
        <v>6827</v>
      </c>
      <c r="F347" s="4">
        <v>0</v>
      </c>
      <c r="G347" s="4">
        <v>0</v>
      </c>
      <c r="H347" s="4">
        <v>61</v>
      </c>
      <c r="I347" s="4">
        <v>1746</v>
      </c>
      <c r="J347" s="4">
        <v>0</v>
      </c>
      <c r="K347" s="4">
        <v>0</v>
      </c>
      <c r="L347" s="4">
        <v>220</v>
      </c>
      <c r="M347" s="77">
        <v>32</v>
      </c>
      <c r="N347" s="4">
        <v>252</v>
      </c>
      <c r="O347" s="4">
        <v>247</v>
      </c>
      <c r="P347" s="4">
        <v>8573</v>
      </c>
      <c r="Q347" s="2" t="s">
        <v>872</v>
      </c>
      <c r="R347" s="4">
        <v>60</v>
      </c>
      <c r="S347" s="4">
        <v>774</v>
      </c>
      <c r="T347" s="4">
        <v>0</v>
      </c>
      <c r="U347" s="4">
        <v>0</v>
      </c>
      <c r="V347" s="4">
        <v>40</v>
      </c>
      <c r="W347" s="4">
        <v>1030</v>
      </c>
      <c r="X347" s="4">
        <v>0</v>
      </c>
      <c r="Y347" s="4">
        <v>0</v>
      </c>
      <c r="Z347" s="4">
        <v>287</v>
      </c>
      <c r="AA347" s="4">
        <v>9603</v>
      </c>
      <c r="AB347" s="77">
        <f>Table4[[#This Row],[Total Attendance]]/Table4[[#This Row],[Total Events]]</f>
        <v>33.459930313588849</v>
      </c>
      <c r="AC347" s="77">
        <f>Table4[[#This Row],[Total Attendance]]/AD347</f>
        <v>0.34394699140401147</v>
      </c>
      <c r="AD347" s="77">
        <v>27920</v>
      </c>
    </row>
    <row r="348" spans="1:30" ht="13.5" thickBot="1" x14ac:dyDescent="0.25">
      <c r="A348" s="2" t="s">
        <v>722</v>
      </c>
      <c r="B348" s="1" t="s">
        <v>721</v>
      </c>
      <c r="C348" s="2" t="s">
        <v>45</v>
      </c>
      <c r="D348" s="4">
        <v>97</v>
      </c>
      <c r="E348" s="4">
        <v>223</v>
      </c>
      <c r="F348" s="4">
        <v>0</v>
      </c>
      <c r="G348" s="4">
        <v>0</v>
      </c>
      <c r="H348" s="4">
        <v>8</v>
      </c>
      <c r="I348" s="4">
        <v>228</v>
      </c>
      <c r="J348" s="77">
        <v>8</v>
      </c>
      <c r="K348" s="77">
        <v>0</v>
      </c>
      <c r="L348" s="4">
        <v>227</v>
      </c>
      <c r="M348" s="77">
        <v>16</v>
      </c>
      <c r="N348" s="4">
        <v>243</v>
      </c>
      <c r="O348" s="4">
        <v>105</v>
      </c>
      <c r="P348" s="4">
        <v>451</v>
      </c>
      <c r="Q348" s="2" t="s">
        <v>873</v>
      </c>
      <c r="R348" s="4">
        <v>0</v>
      </c>
      <c r="S348" s="4">
        <v>0</v>
      </c>
      <c r="T348" s="4">
        <v>8</v>
      </c>
      <c r="U348" s="4">
        <v>0</v>
      </c>
      <c r="V348" s="4">
        <v>21</v>
      </c>
      <c r="W348" s="4">
        <v>49</v>
      </c>
      <c r="X348" s="77">
        <v>0</v>
      </c>
      <c r="Y348" s="77">
        <v>0</v>
      </c>
      <c r="Z348" s="4">
        <v>134</v>
      </c>
      <c r="AA348" s="4">
        <v>500</v>
      </c>
      <c r="AB348" s="77">
        <f>Table4[[#This Row],[Total Attendance]]/Table4[[#This Row],[Total Events]]</f>
        <v>3.7313432835820897</v>
      </c>
      <c r="AC348" s="77">
        <f>Table4[[#This Row],[Total Attendance]]/AD348</f>
        <v>1.664059639897494E-2</v>
      </c>
      <c r="AD348" s="77">
        <v>30047</v>
      </c>
    </row>
    <row r="349" spans="1:30" ht="13.5" thickBot="1" x14ac:dyDescent="0.25">
      <c r="A349" s="2" t="s">
        <v>740</v>
      </c>
      <c r="B349" s="1" t="s">
        <v>739</v>
      </c>
      <c r="C349" s="2" t="s">
        <v>45</v>
      </c>
      <c r="D349" s="4">
        <v>305</v>
      </c>
      <c r="E349" s="4">
        <v>9933</v>
      </c>
      <c r="F349" s="4">
        <v>160</v>
      </c>
      <c r="G349" s="4">
        <v>874</v>
      </c>
      <c r="H349" s="4">
        <v>103</v>
      </c>
      <c r="I349" s="4">
        <v>8764</v>
      </c>
      <c r="J349" s="4">
        <v>36</v>
      </c>
      <c r="K349" s="4">
        <v>310</v>
      </c>
      <c r="L349" s="4">
        <v>1662</v>
      </c>
      <c r="M349" s="4">
        <v>116</v>
      </c>
      <c r="N349" s="4">
        <v>1778</v>
      </c>
      <c r="O349" s="4">
        <v>408</v>
      </c>
      <c r="P349" s="4">
        <v>18697</v>
      </c>
      <c r="Q349" s="2" t="s">
        <v>872</v>
      </c>
      <c r="R349" s="4">
        <v>70</v>
      </c>
      <c r="S349" s="4">
        <v>420</v>
      </c>
      <c r="T349" s="4">
        <v>196</v>
      </c>
      <c r="U349" s="4">
        <v>1184</v>
      </c>
      <c r="V349" s="4">
        <v>520</v>
      </c>
      <c r="W349" s="4">
        <v>9720</v>
      </c>
      <c r="X349" s="4">
        <v>80</v>
      </c>
      <c r="Y349" s="4">
        <v>3559</v>
      </c>
      <c r="Z349" s="4">
        <v>1204</v>
      </c>
      <c r="AA349" s="4">
        <v>33160</v>
      </c>
      <c r="AB349" s="77">
        <f>Table4[[#This Row],[Total Attendance]]/Table4[[#This Row],[Total Events]]</f>
        <v>27.541528239202659</v>
      </c>
      <c r="AC349" s="77">
        <f>Table4[[#This Row],[Total Attendance]]/AD349</f>
        <v>0.81192918880536713</v>
      </c>
      <c r="AD349" s="77">
        <v>40841</v>
      </c>
    </row>
    <row r="350" spans="1:30" ht="13.5" thickBot="1" x14ac:dyDescent="0.25">
      <c r="A350" s="2" t="s">
        <v>785</v>
      </c>
      <c r="B350" s="1" t="s">
        <v>784</v>
      </c>
      <c r="C350" s="2" t="s">
        <v>45</v>
      </c>
      <c r="D350" s="4">
        <v>752</v>
      </c>
      <c r="E350" s="4">
        <v>8372</v>
      </c>
      <c r="F350" s="4">
        <v>86</v>
      </c>
      <c r="G350" s="4">
        <v>412</v>
      </c>
      <c r="H350" s="4">
        <v>179</v>
      </c>
      <c r="I350" s="4">
        <v>3357</v>
      </c>
      <c r="J350" s="4">
        <v>10</v>
      </c>
      <c r="K350" s="4">
        <v>69</v>
      </c>
      <c r="L350" s="4">
        <v>964</v>
      </c>
      <c r="M350" s="4">
        <v>162</v>
      </c>
      <c r="N350" s="4">
        <v>1126</v>
      </c>
      <c r="O350" s="4">
        <v>931</v>
      </c>
      <c r="P350" s="4">
        <v>11729</v>
      </c>
      <c r="Q350" s="2" t="s">
        <v>872</v>
      </c>
      <c r="R350" s="77">
        <v>324</v>
      </c>
      <c r="S350" s="77">
        <v>3681</v>
      </c>
      <c r="T350" s="4">
        <v>96</v>
      </c>
      <c r="U350" s="4">
        <v>481</v>
      </c>
      <c r="V350" s="4">
        <v>677</v>
      </c>
      <c r="W350" s="4">
        <v>3673</v>
      </c>
      <c r="X350" s="4">
        <v>116</v>
      </c>
      <c r="Y350" s="4">
        <v>2468</v>
      </c>
      <c r="Z350" s="4">
        <v>1820</v>
      </c>
      <c r="AA350" s="4">
        <v>18351</v>
      </c>
      <c r="AB350" s="77">
        <f>Table4[[#This Row],[Total Attendance]]/Table4[[#This Row],[Total Events]]</f>
        <v>10.082967032967034</v>
      </c>
      <c r="AC350" s="77">
        <f>Table4[[#This Row],[Total Attendance]]/AD350</f>
        <v>0.41457133175194849</v>
      </c>
      <c r="AD350" s="77">
        <v>44265</v>
      </c>
    </row>
    <row r="351" spans="1:30" ht="13.5" thickBot="1" x14ac:dyDescent="0.25">
      <c r="A351" s="2" t="s">
        <v>827</v>
      </c>
      <c r="B351" s="1" t="s">
        <v>826</v>
      </c>
      <c r="C351" s="2" t="s">
        <v>45</v>
      </c>
      <c r="D351" s="4">
        <v>214</v>
      </c>
      <c r="E351" s="4">
        <v>5270</v>
      </c>
      <c r="F351" s="4">
        <v>43</v>
      </c>
      <c r="G351" s="4">
        <v>933</v>
      </c>
      <c r="H351" s="4">
        <v>48</v>
      </c>
      <c r="I351" s="4">
        <v>4169</v>
      </c>
      <c r="J351" s="4">
        <v>12</v>
      </c>
      <c r="K351" s="4">
        <v>711</v>
      </c>
      <c r="L351" s="4">
        <v>760</v>
      </c>
      <c r="M351" s="77">
        <v>209</v>
      </c>
      <c r="N351" s="4">
        <v>969</v>
      </c>
      <c r="O351" s="4">
        <v>262</v>
      </c>
      <c r="P351" s="4">
        <v>9439</v>
      </c>
      <c r="Q351" s="2" t="s">
        <v>872</v>
      </c>
      <c r="R351" s="77">
        <v>111</v>
      </c>
      <c r="S351" s="77">
        <v>3845</v>
      </c>
      <c r="T351" s="4">
        <v>55</v>
      </c>
      <c r="U351" s="4">
        <v>1644</v>
      </c>
      <c r="V351" s="4">
        <v>110</v>
      </c>
      <c r="W351" s="4">
        <v>1912</v>
      </c>
      <c r="X351" s="4">
        <v>4</v>
      </c>
      <c r="Y351" s="4">
        <v>320</v>
      </c>
      <c r="Z351" s="4">
        <v>431</v>
      </c>
      <c r="AA351" s="4">
        <v>13315</v>
      </c>
      <c r="AB351" s="77">
        <f>Table4[[#This Row],[Total Attendance]]/Table4[[#This Row],[Total Events]]</f>
        <v>30.893271461716939</v>
      </c>
      <c r="AC351" s="77">
        <f>Table4[[#This Row],[Total Attendance]]/AD351</f>
        <v>0.44355241680269164</v>
      </c>
      <c r="AD351" s="77">
        <v>30019</v>
      </c>
    </row>
    <row r="352" spans="1:30" ht="13.5" thickBot="1" x14ac:dyDescent="0.25">
      <c r="A352" s="2" t="s">
        <v>59</v>
      </c>
      <c r="B352" s="1" t="s">
        <v>58</v>
      </c>
      <c r="C352" s="2" t="s">
        <v>60</v>
      </c>
      <c r="D352" s="77">
        <v>1115</v>
      </c>
      <c r="E352" s="77">
        <v>78464</v>
      </c>
      <c r="F352" s="77">
        <v>141</v>
      </c>
      <c r="G352" s="77">
        <v>3242</v>
      </c>
      <c r="H352" s="77">
        <v>153</v>
      </c>
      <c r="I352" s="77">
        <v>20794</v>
      </c>
      <c r="J352" s="77">
        <v>25</v>
      </c>
      <c r="K352" s="77">
        <v>663</v>
      </c>
      <c r="L352" s="77">
        <v>10378</v>
      </c>
      <c r="M352" s="77">
        <v>9875</v>
      </c>
      <c r="N352" s="77">
        <v>20253</v>
      </c>
      <c r="O352" s="77">
        <v>1268</v>
      </c>
      <c r="P352" s="77">
        <v>99258</v>
      </c>
      <c r="Q352" s="2" t="s">
        <v>872</v>
      </c>
      <c r="R352" s="77">
        <v>880</v>
      </c>
      <c r="S352" s="77">
        <v>55346</v>
      </c>
      <c r="T352" s="77">
        <v>166</v>
      </c>
      <c r="U352" s="77">
        <v>3905</v>
      </c>
      <c r="V352" s="77">
        <v>871</v>
      </c>
      <c r="W352" s="77">
        <v>36987</v>
      </c>
      <c r="X352" s="77">
        <v>0</v>
      </c>
      <c r="Y352" s="77">
        <v>0</v>
      </c>
      <c r="Z352" s="77">
        <v>2305</v>
      </c>
      <c r="AA352" s="77">
        <v>140150</v>
      </c>
      <c r="AB352" s="77">
        <f>Table4[[#This Row],[Total Attendance]]/Table4[[#This Row],[Total Events]]</f>
        <v>60.802603036876356</v>
      </c>
      <c r="AC352" s="77">
        <f>Table4[[#This Row],[Total Attendance]]/AD352</f>
        <v>0.85671495812702492</v>
      </c>
      <c r="AD352" s="77">
        <v>163590</v>
      </c>
    </row>
    <row r="353" spans="1:30" ht="13.5" thickBot="1" x14ac:dyDescent="0.25">
      <c r="A353" s="2" t="s">
        <v>86</v>
      </c>
      <c r="B353" s="1" t="s">
        <v>85</v>
      </c>
      <c r="C353" s="2" t="s">
        <v>60</v>
      </c>
      <c r="D353" s="4">
        <v>973</v>
      </c>
      <c r="E353" s="4">
        <v>43509</v>
      </c>
      <c r="F353" s="4">
        <v>164</v>
      </c>
      <c r="G353" s="4">
        <v>3498</v>
      </c>
      <c r="H353" s="4">
        <v>300</v>
      </c>
      <c r="I353" s="4">
        <v>20758</v>
      </c>
      <c r="J353" s="4">
        <v>67</v>
      </c>
      <c r="K353" s="4">
        <v>2665</v>
      </c>
      <c r="L353" s="4">
        <v>4795</v>
      </c>
      <c r="M353" s="4">
        <v>2456</v>
      </c>
      <c r="N353" s="4">
        <v>7251</v>
      </c>
      <c r="O353" s="4">
        <v>1273</v>
      </c>
      <c r="P353" s="4">
        <v>64267</v>
      </c>
      <c r="Q353" s="2" t="s">
        <v>872</v>
      </c>
      <c r="R353" s="4">
        <v>0</v>
      </c>
      <c r="S353" s="4">
        <v>0</v>
      </c>
      <c r="T353" s="4">
        <v>231</v>
      </c>
      <c r="U353" s="4">
        <v>6163</v>
      </c>
      <c r="V353" s="4">
        <v>382</v>
      </c>
      <c r="W353" s="4">
        <v>10189</v>
      </c>
      <c r="X353" s="77">
        <v>0</v>
      </c>
      <c r="Y353" s="77">
        <v>0</v>
      </c>
      <c r="Z353" s="4">
        <v>1886</v>
      </c>
      <c r="AA353" s="4">
        <v>80619</v>
      </c>
      <c r="AB353" s="77">
        <f>Table4[[#This Row],[Total Attendance]]/Table4[[#This Row],[Total Events]]</f>
        <v>42.746023329798518</v>
      </c>
      <c r="AC353" s="77">
        <f>Table4[[#This Row],[Total Attendance]]/AD353</f>
        <v>0.74868361177923681</v>
      </c>
      <c r="AD353" s="77">
        <v>107681</v>
      </c>
    </row>
    <row r="354" spans="1:30" ht="13.5" thickBot="1" x14ac:dyDescent="0.25">
      <c r="A354" s="2" t="s">
        <v>148</v>
      </c>
      <c r="B354" s="1" t="s">
        <v>147</v>
      </c>
      <c r="C354" s="2" t="s">
        <v>60</v>
      </c>
      <c r="D354" s="4">
        <v>575</v>
      </c>
      <c r="E354" s="4">
        <v>19588</v>
      </c>
      <c r="F354" s="4">
        <v>51</v>
      </c>
      <c r="G354" s="4">
        <v>1389</v>
      </c>
      <c r="H354" s="4">
        <v>55</v>
      </c>
      <c r="I354" s="4">
        <v>1487</v>
      </c>
      <c r="J354" s="4">
        <v>11</v>
      </c>
      <c r="K354" s="4">
        <v>199</v>
      </c>
      <c r="L354" s="4">
        <v>1482</v>
      </c>
      <c r="M354" s="77">
        <v>226</v>
      </c>
      <c r="N354" s="4">
        <v>1708</v>
      </c>
      <c r="O354" s="4">
        <v>630</v>
      </c>
      <c r="P354" s="4">
        <v>21075</v>
      </c>
      <c r="Q354" s="2" t="s">
        <v>872</v>
      </c>
      <c r="R354" s="4">
        <v>388</v>
      </c>
      <c r="S354" s="4">
        <v>6651</v>
      </c>
      <c r="T354" s="4">
        <v>62</v>
      </c>
      <c r="U354" s="4">
        <v>1588</v>
      </c>
      <c r="V354" s="4">
        <v>246</v>
      </c>
      <c r="W354" s="4">
        <v>4024</v>
      </c>
      <c r="X354" s="4">
        <v>103</v>
      </c>
      <c r="Y354" s="4">
        <v>1382</v>
      </c>
      <c r="Z354" s="4">
        <v>1041</v>
      </c>
      <c r="AA354" s="4">
        <v>28069</v>
      </c>
      <c r="AB354" s="77">
        <f>Table4[[#This Row],[Total Attendance]]/Table4[[#This Row],[Total Events]]</f>
        <v>26.963496637848223</v>
      </c>
      <c r="AC354" s="77">
        <f>Table4[[#This Row],[Total Attendance]]/AD354</f>
        <v>0.31127942954099341</v>
      </c>
      <c r="AD354" s="77">
        <v>90173</v>
      </c>
    </row>
    <row r="355" spans="1:30" ht="13.5" thickBot="1" x14ac:dyDescent="0.25">
      <c r="A355" s="2" t="s">
        <v>150</v>
      </c>
      <c r="B355" s="1" t="s">
        <v>149</v>
      </c>
      <c r="C355" s="2" t="s">
        <v>60</v>
      </c>
      <c r="D355" s="4">
        <v>1825</v>
      </c>
      <c r="E355" s="4">
        <v>36573</v>
      </c>
      <c r="F355" s="4">
        <v>19</v>
      </c>
      <c r="G355" s="4">
        <v>50</v>
      </c>
      <c r="H355" s="4">
        <v>563</v>
      </c>
      <c r="I355" s="4">
        <v>17763</v>
      </c>
      <c r="J355" s="77">
        <v>70</v>
      </c>
      <c r="K355" s="77">
        <v>869</v>
      </c>
      <c r="L355" s="4">
        <v>4043</v>
      </c>
      <c r="M355" s="4">
        <v>1556</v>
      </c>
      <c r="N355" s="4">
        <v>5599</v>
      </c>
      <c r="O355" s="4">
        <v>2388</v>
      </c>
      <c r="P355" s="4">
        <v>54336</v>
      </c>
      <c r="Q355" s="2" t="s">
        <v>872</v>
      </c>
      <c r="R355" s="4">
        <v>1180</v>
      </c>
      <c r="S355" s="4">
        <v>22775</v>
      </c>
      <c r="T355" s="4">
        <v>89</v>
      </c>
      <c r="U355" s="4">
        <v>919</v>
      </c>
      <c r="V355" s="4">
        <v>1077</v>
      </c>
      <c r="W355" s="4">
        <v>12251</v>
      </c>
      <c r="X355" s="4">
        <v>40</v>
      </c>
      <c r="Y355" s="4">
        <v>246</v>
      </c>
      <c r="Z355" s="4">
        <v>3594</v>
      </c>
      <c r="AA355" s="4">
        <v>67752</v>
      </c>
      <c r="AB355" s="77">
        <f>Table4[[#This Row],[Total Attendance]]/Table4[[#This Row],[Total Events]]</f>
        <v>18.851419031719534</v>
      </c>
      <c r="AC355" s="77">
        <f>Table4[[#This Row],[Total Attendance]]/AD355</f>
        <v>0.28364851230223687</v>
      </c>
      <c r="AD355" s="77">
        <v>238859</v>
      </c>
    </row>
    <row r="356" spans="1:30" ht="13.5" thickBot="1" x14ac:dyDescent="0.25">
      <c r="A356" s="2" t="s">
        <v>180</v>
      </c>
      <c r="B356" s="1" t="s">
        <v>179</v>
      </c>
      <c r="C356" s="2" t="s">
        <v>60</v>
      </c>
      <c r="D356" s="4">
        <v>739</v>
      </c>
      <c r="E356" s="4">
        <v>14143</v>
      </c>
      <c r="F356" s="4">
        <v>46</v>
      </c>
      <c r="G356" s="4">
        <v>474</v>
      </c>
      <c r="H356" s="4">
        <v>188</v>
      </c>
      <c r="I356" s="4">
        <v>4539</v>
      </c>
      <c r="J356" s="4">
        <v>12</v>
      </c>
      <c r="K356" s="4">
        <v>187</v>
      </c>
      <c r="L356" s="4">
        <v>1051</v>
      </c>
      <c r="M356" s="77">
        <v>249</v>
      </c>
      <c r="N356" s="4">
        <v>1300</v>
      </c>
      <c r="O356" s="4">
        <v>927</v>
      </c>
      <c r="P356" s="4">
        <v>18682</v>
      </c>
      <c r="Q356" s="2" t="s">
        <v>872</v>
      </c>
      <c r="R356" s="4">
        <v>495</v>
      </c>
      <c r="S356" s="4">
        <v>7988</v>
      </c>
      <c r="T356" s="4">
        <v>58</v>
      </c>
      <c r="U356" s="4">
        <v>661</v>
      </c>
      <c r="V356" s="4">
        <v>56</v>
      </c>
      <c r="W356" s="4">
        <v>921</v>
      </c>
      <c r="X356" s="77">
        <v>89</v>
      </c>
      <c r="Y356" s="77">
        <v>5608</v>
      </c>
      <c r="Z356" s="4">
        <v>1130</v>
      </c>
      <c r="AA356" s="4">
        <v>25872</v>
      </c>
      <c r="AB356" s="77">
        <f>Table4[[#This Row],[Total Attendance]]/Table4[[#This Row],[Total Events]]</f>
        <v>22.895575221238939</v>
      </c>
      <c r="AC356" s="77">
        <f>Table4[[#This Row],[Total Attendance]]/AD356</f>
        <v>0.50100697134004646</v>
      </c>
      <c r="AD356" s="77">
        <v>51640</v>
      </c>
    </row>
    <row r="357" spans="1:30" ht="13.5" thickBot="1" x14ac:dyDescent="0.25">
      <c r="A357" s="2" t="s">
        <v>186</v>
      </c>
      <c r="B357" s="1" t="s">
        <v>185</v>
      </c>
      <c r="C357" s="2" t="s">
        <v>60</v>
      </c>
      <c r="D357" s="4">
        <v>787</v>
      </c>
      <c r="E357" s="4">
        <v>47739</v>
      </c>
      <c r="F357" s="4">
        <v>201</v>
      </c>
      <c r="G357" s="4">
        <v>7065</v>
      </c>
      <c r="H357" s="4">
        <v>144</v>
      </c>
      <c r="I357" s="4">
        <v>13757</v>
      </c>
      <c r="J357" s="4">
        <v>29</v>
      </c>
      <c r="K357" s="4">
        <v>879</v>
      </c>
      <c r="L357" s="4">
        <v>2093</v>
      </c>
      <c r="M357" s="77">
        <v>700</v>
      </c>
      <c r="N357" s="4">
        <v>2793</v>
      </c>
      <c r="O357" s="4">
        <v>931</v>
      </c>
      <c r="P357" s="4">
        <v>61496</v>
      </c>
      <c r="Q357" s="2" t="s">
        <v>872</v>
      </c>
      <c r="R357" s="4">
        <v>240</v>
      </c>
      <c r="S357" s="4">
        <v>7215</v>
      </c>
      <c r="T357" s="4">
        <v>230</v>
      </c>
      <c r="U357" s="4">
        <v>7944</v>
      </c>
      <c r="V357" s="4">
        <v>269</v>
      </c>
      <c r="W357" s="4">
        <v>5245</v>
      </c>
      <c r="X357" s="4">
        <v>0</v>
      </c>
      <c r="Y357" s="4">
        <v>0</v>
      </c>
      <c r="Z357" s="4">
        <v>1430</v>
      </c>
      <c r="AA357" s="4">
        <v>74685</v>
      </c>
      <c r="AB357" s="77">
        <f>Table4[[#This Row],[Total Attendance]]/Table4[[#This Row],[Total Events]]</f>
        <v>52.227272727272727</v>
      </c>
      <c r="AC357" s="77">
        <f>Table4[[#This Row],[Total Attendance]]/AD357</f>
        <v>0.43975552454469979</v>
      </c>
      <c r="AD357" s="77">
        <v>169833</v>
      </c>
    </row>
    <row r="358" spans="1:30" ht="13.5" thickBot="1" x14ac:dyDescent="0.25">
      <c r="A358" s="2" t="s">
        <v>221</v>
      </c>
      <c r="B358" s="1" t="s">
        <v>220</v>
      </c>
      <c r="C358" s="2" t="s">
        <v>60</v>
      </c>
      <c r="D358" s="4">
        <v>162</v>
      </c>
      <c r="E358" s="4">
        <v>4112</v>
      </c>
      <c r="F358" s="4">
        <v>29</v>
      </c>
      <c r="G358" s="4">
        <v>471</v>
      </c>
      <c r="H358" s="4">
        <v>74</v>
      </c>
      <c r="I358" s="4">
        <v>2023</v>
      </c>
      <c r="J358" s="4">
        <v>27</v>
      </c>
      <c r="K358" s="4">
        <v>471</v>
      </c>
      <c r="L358" s="4">
        <v>446</v>
      </c>
      <c r="M358" s="77">
        <v>176</v>
      </c>
      <c r="N358" s="4">
        <v>622</v>
      </c>
      <c r="O358" s="4">
        <v>236</v>
      </c>
      <c r="P358" s="4">
        <v>6135</v>
      </c>
      <c r="Q358" s="2" t="s">
        <v>872</v>
      </c>
      <c r="R358" s="4">
        <v>71</v>
      </c>
      <c r="S358" s="4">
        <v>2140</v>
      </c>
      <c r="T358" s="4">
        <v>56</v>
      </c>
      <c r="U358" s="4">
        <v>942</v>
      </c>
      <c r="V358" s="4">
        <v>244</v>
      </c>
      <c r="W358" s="4">
        <v>7320</v>
      </c>
      <c r="X358" s="4">
        <v>755</v>
      </c>
      <c r="Y358" s="4">
        <v>3775</v>
      </c>
      <c r="Z358" s="4">
        <v>1291</v>
      </c>
      <c r="AA358" s="4">
        <v>18172</v>
      </c>
      <c r="AB358" s="77">
        <f>Table4[[#This Row],[Total Attendance]]/Table4[[#This Row],[Total Events]]</f>
        <v>14.075910147172735</v>
      </c>
      <c r="AC358" s="77">
        <f>Table4[[#This Row],[Total Attendance]]/AD358</f>
        <v>0.31453595042752797</v>
      </c>
      <c r="AD358" s="77">
        <v>57774</v>
      </c>
    </row>
    <row r="359" spans="1:30" ht="13.5" thickBot="1" x14ac:dyDescent="0.25">
      <c r="A359" s="2" t="s">
        <v>223</v>
      </c>
      <c r="B359" s="1" t="s">
        <v>222</v>
      </c>
      <c r="C359" s="2" t="s">
        <v>60</v>
      </c>
      <c r="D359" s="4">
        <v>289</v>
      </c>
      <c r="E359" s="4">
        <v>8835</v>
      </c>
      <c r="F359" s="4">
        <v>40</v>
      </c>
      <c r="G359" s="4">
        <v>443</v>
      </c>
      <c r="H359" s="4">
        <v>1</v>
      </c>
      <c r="I359" s="4">
        <v>105</v>
      </c>
      <c r="J359" s="4">
        <v>0</v>
      </c>
      <c r="K359" s="4">
        <v>0</v>
      </c>
      <c r="L359" s="4">
        <v>539</v>
      </c>
      <c r="M359" s="4">
        <v>165</v>
      </c>
      <c r="N359" s="4">
        <v>704</v>
      </c>
      <c r="O359" s="4">
        <v>290</v>
      </c>
      <c r="P359" s="4">
        <v>8940</v>
      </c>
      <c r="Q359" s="2" t="s">
        <v>872</v>
      </c>
      <c r="R359" s="77">
        <v>62</v>
      </c>
      <c r="S359" s="77">
        <v>1982</v>
      </c>
      <c r="T359" s="4">
        <v>40</v>
      </c>
      <c r="U359" s="4">
        <v>443</v>
      </c>
      <c r="V359" s="4">
        <v>414</v>
      </c>
      <c r="W359" s="4">
        <v>10933</v>
      </c>
      <c r="X359" s="4">
        <v>180</v>
      </c>
      <c r="Y359" s="4">
        <v>2831</v>
      </c>
      <c r="Z359" s="4">
        <v>924</v>
      </c>
      <c r="AA359" s="4">
        <v>23147</v>
      </c>
      <c r="AB359" s="77">
        <f>Table4[[#This Row],[Total Attendance]]/Table4[[#This Row],[Total Events]]</f>
        <v>25.0508658008658</v>
      </c>
      <c r="AC359" s="77">
        <f>Table4[[#This Row],[Total Attendance]]/AD359</f>
        <v>0.23582570069177713</v>
      </c>
      <c r="AD359" s="77">
        <v>98153</v>
      </c>
    </row>
    <row r="360" spans="1:30" ht="13.5" thickBot="1" x14ac:dyDescent="0.25">
      <c r="A360" s="2" t="s">
        <v>233</v>
      </c>
      <c r="B360" s="1" t="s">
        <v>232</v>
      </c>
      <c r="C360" s="2" t="s">
        <v>60</v>
      </c>
      <c r="D360" s="4">
        <v>5125</v>
      </c>
      <c r="E360" s="4">
        <v>87700</v>
      </c>
      <c r="F360" s="4">
        <v>825</v>
      </c>
      <c r="G360" s="4">
        <v>7172</v>
      </c>
      <c r="H360" s="4">
        <v>195</v>
      </c>
      <c r="I360" s="4">
        <v>6321</v>
      </c>
      <c r="J360" s="4">
        <v>32</v>
      </c>
      <c r="K360" s="4">
        <v>455</v>
      </c>
      <c r="L360" s="4">
        <v>1056</v>
      </c>
      <c r="M360" s="4">
        <v>285</v>
      </c>
      <c r="N360" s="4">
        <v>1341</v>
      </c>
      <c r="O360" s="4">
        <v>5320</v>
      </c>
      <c r="P360" s="4">
        <v>94021</v>
      </c>
      <c r="Q360" s="2" t="s">
        <v>872</v>
      </c>
      <c r="R360" s="4">
        <v>1155</v>
      </c>
      <c r="S360" s="4">
        <v>15015</v>
      </c>
      <c r="T360" s="4">
        <v>857</v>
      </c>
      <c r="U360" s="4">
        <v>7627</v>
      </c>
      <c r="V360" s="4">
        <v>14920</v>
      </c>
      <c r="W360" s="4">
        <v>117443</v>
      </c>
      <c r="X360" s="4">
        <v>487</v>
      </c>
      <c r="Y360" s="4">
        <v>10956</v>
      </c>
      <c r="Z360" s="4">
        <v>21584</v>
      </c>
      <c r="AA360" s="4">
        <v>230047</v>
      </c>
      <c r="AB360" s="77">
        <f>Table4[[#This Row],[Total Attendance]]/Table4[[#This Row],[Total Events]]</f>
        <v>10.658219051148999</v>
      </c>
      <c r="AC360" s="77">
        <f>Table4[[#This Row],[Total Attendance]]/AD360</f>
        <v>0.32229533874025079</v>
      </c>
      <c r="AD360" s="77">
        <v>713777</v>
      </c>
    </row>
    <row r="361" spans="1:30" ht="13.5" thickBot="1" x14ac:dyDescent="0.25">
      <c r="A361" s="2" t="s">
        <v>277</v>
      </c>
      <c r="B361" s="1" t="s">
        <v>276</v>
      </c>
      <c r="C361" s="2" t="s">
        <v>60</v>
      </c>
      <c r="D361" s="4">
        <v>523</v>
      </c>
      <c r="E361" s="4">
        <v>21142</v>
      </c>
      <c r="F361" s="4">
        <v>77</v>
      </c>
      <c r="G361" s="4">
        <v>4033</v>
      </c>
      <c r="H361" s="4">
        <v>170</v>
      </c>
      <c r="I361" s="4">
        <v>14058</v>
      </c>
      <c r="J361" s="4">
        <v>9</v>
      </c>
      <c r="K361" s="4">
        <v>161</v>
      </c>
      <c r="L361" s="4">
        <v>2925</v>
      </c>
      <c r="M361" s="77">
        <v>239</v>
      </c>
      <c r="N361" s="4">
        <v>3164</v>
      </c>
      <c r="O361" s="4">
        <v>693</v>
      </c>
      <c r="P361" s="4">
        <v>35200</v>
      </c>
      <c r="Q361" s="2" t="s">
        <v>872</v>
      </c>
      <c r="R361" s="4">
        <v>504</v>
      </c>
      <c r="S361" s="4">
        <v>20580</v>
      </c>
      <c r="T361" s="4">
        <v>86</v>
      </c>
      <c r="U361" s="4">
        <v>4194</v>
      </c>
      <c r="V361" s="4">
        <v>470</v>
      </c>
      <c r="W361" s="4">
        <v>10467</v>
      </c>
      <c r="X361" s="4">
        <v>363</v>
      </c>
      <c r="Y361" s="4">
        <v>5636</v>
      </c>
      <c r="Z361" s="4">
        <v>1612</v>
      </c>
      <c r="AA361" s="4">
        <v>55497</v>
      </c>
      <c r="AB361" s="77">
        <f>Table4[[#This Row],[Total Attendance]]/Table4[[#This Row],[Total Events]]</f>
        <v>34.427419354838712</v>
      </c>
      <c r="AC361" s="77">
        <f>Table4[[#This Row],[Total Attendance]]/AD361</f>
        <v>0.61586692116477271</v>
      </c>
      <c r="AD361" s="77">
        <v>90112</v>
      </c>
    </row>
    <row r="362" spans="1:30" ht="13.5" thickBot="1" x14ac:dyDescent="0.25">
      <c r="A362" s="2" t="s">
        <v>291</v>
      </c>
      <c r="B362" s="1" t="s">
        <v>290</v>
      </c>
      <c r="C362" s="2" t="s">
        <v>60</v>
      </c>
      <c r="D362" s="4">
        <v>145</v>
      </c>
      <c r="E362" s="4">
        <v>9474</v>
      </c>
      <c r="F362" s="4">
        <v>65</v>
      </c>
      <c r="G362" s="4">
        <v>1948</v>
      </c>
      <c r="H362" s="4">
        <v>125</v>
      </c>
      <c r="I362" s="4">
        <v>3040</v>
      </c>
      <c r="J362" s="4">
        <v>16</v>
      </c>
      <c r="K362" s="4">
        <v>120</v>
      </c>
      <c r="L362" s="4">
        <v>2284</v>
      </c>
      <c r="M362" s="4">
        <v>63</v>
      </c>
      <c r="N362" s="4">
        <v>2347</v>
      </c>
      <c r="O362" s="4">
        <v>270</v>
      </c>
      <c r="P362" s="4">
        <v>12514</v>
      </c>
      <c r="Q362" s="2" t="s">
        <v>872</v>
      </c>
      <c r="R362" s="4">
        <v>59</v>
      </c>
      <c r="S362" s="4">
        <v>1245</v>
      </c>
      <c r="T362" s="4">
        <v>81</v>
      </c>
      <c r="U362" s="4">
        <v>2068</v>
      </c>
      <c r="V362" s="4">
        <v>151</v>
      </c>
      <c r="W362" s="4">
        <v>10313</v>
      </c>
      <c r="X362" s="4">
        <v>13</v>
      </c>
      <c r="Y362" s="4">
        <v>2980</v>
      </c>
      <c r="Z362" s="4">
        <v>515</v>
      </c>
      <c r="AA362" s="4">
        <v>27875</v>
      </c>
      <c r="AB362" s="77">
        <f>Table4[[#This Row],[Total Attendance]]/Table4[[#This Row],[Total Events]]</f>
        <v>54.126213592233007</v>
      </c>
      <c r="AC362" s="77">
        <f>Table4[[#This Row],[Total Attendance]]/AD362</f>
        <v>0.27212644239217448</v>
      </c>
      <c r="AD362" s="77">
        <v>102434</v>
      </c>
    </row>
    <row r="363" spans="1:30" ht="13.5" thickBot="1" x14ac:dyDescent="0.25">
      <c r="A363" s="2" t="s">
        <v>317</v>
      </c>
      <c r="B363" s="1" t="s">
        <v>316</v>
      </c>
      <c r="C363" s="2" t="s">
        <v>60</v>
      </c>
      <c r="D363" s="4">
        <v>467</v>
      </c>
      <c r="E363" s="4">
        <v>6907</v>
      </c>
      <c r="F363" s="4">
        <v>6</v>
      </c>
      <c r="G363" s="4">
        <v>673</v>
      </c>
      <c r="H363" s="4">
        <v>155</v>
      </c>
      <c r="I363" s="4">
        <v>2957</v>
      </c>
      <c r="J363" s="4">
        <v>5</v>
      </c>
      <c r="K363" s="4">
        <v>103</v>
      </c>
      <c r="L363" s="4">
        <v>4353</v>
      </c>
      <c r="M363" s="77">
        <v>540</v>
      </c>
      <c r="N363" s="4">
        <v>4893</v>
      </c>
      <c r="O363" s="4">
        <v>622</v>
      </c>
      <c r="P363" s="4">
        <v>9864</v>
      </c>
      <c r="Q363" s="2" t="s">
        <v>872</v>
      </c>
      <c r="R363" s="4">
        <v>328</v>
      </c>
      <c r="S363" s="4">
        <v>7656</v>
      </c>
      <c r="T363" s="4">
        <v>11</v>
      </c>
      <c r="U363" s="4">
        <v>776</v>
      </c>
      <c r="V363" s="4">
        <v>312</v>
      </c>
      <c r="W363" s="4">
        <v>7532</v>
      </c>
      <c r="X363" s="4">
        <v>419</v>
      </c>
      <c r="Y363" s="4">
        <v>15666</v>
      </c>
      <c r="Z363" s="4">
        <v>1364</v>
      </c>
      <c r="AA363" s="4">
        <v>33838</v>
      </c>
      <c r="AB363" s="77">
        <f>Table4[[#This Row],[Total Attendance]]/Table4[[#This Row],[Total Events]]</f>
        <v>24.80791788856305</v>
      </c>
      <c r="AC363" s="77">
        <f>Table4[[#This Row],[Total Attendance]]/AD363</f>
        <v>0.10174791846455</v>
      </c>
      <c r="AD363" s="77">
        <v>332567</v>
      </c>
    </row>
    <row r="364" spans="1:30" ht="13.5" thickBot="1" x14ac:dyDescent="0.25">
      <c r="A364" s="2" t="s">
        <v>331</v>
      </c>
      <c r="B364" s="1" t="s">
        <v>330</v>
      </c>
      <c r="C364" s="2" t="s">
        <v>60</v>
      </c>
      <c r="D364" s="4">
        <v>223</v>
      </c>
      <c r="E364" s="4">
        <v>9952</v>
      </c>
      <c r="F364" s="4">
        <v>13</v>
      </c>
      <c r="G364" s="4">
        <v>584</v>
      </c>
      <c r="H364" s="4">
        <v>68</v>
      </c>
      <c r="I364" s="4">
        <v>4190</v>
      </c>
      <c r="J364" s="4">
        <v>9</v>
      </c>
      <c r="K364" s="4">
        <v>337</v>
      </c>
      <c r="L364" s="4">
        <v>3243</v>
      </c>
      <c r="M364" s="4">
        <v>917</v>
      </c>
      <c r="N364" s="4">
        <v>4160</v>
      </c>
      <c r="O364" s="4">
        <v>291</v>
      </c>
      <c r="P364" s="4">
        <v>14142</v>
      </c>
      <c r="Q364" s="2" t="s">
        <v>872</v>
      </c>
      <c r="R364" s="77">
        <v>199</v>
      </c>
      <c r="S364" s="77">
        <v>8829</v>
      </c>
      <c r="T364" s="4">
        <v>22</v>
      </c>
      <c r="U364" s="4">
        <v>921</v>
      </c>
      <c r="V364" s="4">
        <v>86</v>
      </c>
      <c r="W364" s="4">
        <v>1349</v>
      </c>
      <c r="X364" s="4">
        <v>0</v>
      </c>
      <c r="Y364" s="4">
        <v>0</v>
      </c>
      <c r="Z364" s="4">
        <v>399</v>
      </c>
      <c r="AA364" s="4">
        <v>16412</v>
      </c>
      <c r="AB364" s="77">
        <f>Table4[[#This Row],[Total Attendance]]/Table4[[#This Row],[Total Events]]</f>
        <v>41.132832080200501</v>
      </c>
      <c r="AC364" s="77">
        <f>Table4[[#This Row],[Total Attendance]]/AD364</f>
        <v>0.21395700522768457</v>
      </c>
      <c r="AD364" s="77">
        <v>76707</v>
      </c>
    </row>
    <row r="365" spans="1:30" ht="13.5" thickBot="1" x14ac:dyDescent="0.25">
      <c r="A365" s="2" t="s">
        <v>335</v>
      </c>
      <c r="B365" s="1" t="s">
        <v>334</v>
      </c>
      <c r="C365" s="2" t="s">
        <v>60</v>
      </c>
      <c r="D365" s="4">
        <v>432</v>
      </c>
      <c r="E365" s="4">
        <v>12499</v>
      </c>
      <c r="F365" s="4">
        <v>60</v>
      </c>
      <c r="G365" s="4">
        <v>1014</v>
      </c>
      <c r="H365" s="4">
        <v>104</v>
      </c>
      <c r="I365" s="4">
        <v>5211</v>
      </c>
      <c r="J365" s="4">
        <v>23</v>
      </c>
      <c r="K365" s="4">
        <v>389</v>
      </c>
      <c r="L365" s="4">
        <v>3809</v>
      </c>
      <c r="M365" s="4">
        <v>748</v>
      </c>
      <c r="N365" s="4">
        <v>4557</v>
      </c>
      <c r="O365" s="4">
        <v>536</v>
      </c>
      <c r="P365" s="4">
        <v>17710</v>
      </c>
      <c r="Q365" s="2" t="s">
        <v>872</v>
      </c>
      <c r="R365" s="4">
        <v>254</v>
      </c>
      <c r="S365" s="4">
        <v>5085</v>
      </c>
      <c r="T365" s="4">
        <v>83</v>
      </c>
      <c r="U365" s="4">
        <v>1403</v>
      </c>
      <c r="V365" s="4">
        <v>328</v>
      </c>
      <c r="W365" s="4">
        <v>10149</v>
      </c>
      <c r="X365" s="4">
        <v>0</v>
      </c>
      <c r="Y365" s="4">
        <v>0</v>
      </c>
      <c r="Z365" s="4">
        <v>947</v>
      </c>
      <c r="AA365" s="4">
        <v>29262</v>
      </c>
      <c r="AB365" s="77">
        <f>Table4[[#This Row],[Total Attendance]]/Table4[[#This Row],[Total Events]]</f>
        <v>30.899683210137276</v>
      </c>
      <c r="AC365" s="77">
        <f>Table4[[#This Row],[Total Attendance]]/AD365</f>
        <v>0.15561582641991065</v>
      </c>
      <c r="AD365" s="77">
        <v>188040</v>
      </c>
    </row>
    <row r="366" spans="1:30" ht="13.5" thickBot="1" x14ac:dyDescent="0.25">
      <c r="A366" s="2" t="s">
        <v>339</v>
      </c>
      <c r="B366" s="1" t="s">
        <v>338</v>
      </c>
      <c r="C366" s="2" t="s">
        <v>60</v>
      </c>
      <c r="D366" s="4">
        <v>458</v>
      </c>
      <c r="E366" s="4">
        <v>20347</v>
      </c>
      <c r="F366" s="4">
        <v>60</v>
      </c>
      <c r="G366" s="4">
        <v>1092</v>
      </c>
      <c r="H366" s="4">
        <v>92</v>
      </c>
      <c r="I366" s="4">
        <v>6960</v>
      </c>
      <c r="J366" s="4">
        <v>8</v>
      </c>
      <c r="K366" s="4">
        <v>146</v>
      </c>
      <c r="L366" s="4">
        <v>1247</v>
      </c>
      <c r="M366" s="77">
        <v>155</v>
      </c>
      <c r="N366" s="4">
        <v>1402</v>
      </c>
      <c r="O366" s="4">
        <v>550</v>
      </c>
      <c r="P366" s="4">
        <v>27307</v>
      </c>
      <c r="Q366" s="2" t="s">
        <v>872</v>
      </c>
      <c r="R366" s="4">
        <v>268</v>
      </c>
      <c r="S366" s="4">
        <v>4971</v>
      </c>
      <c r="T366" s="4">
        <v>68</v>
      </c>
      <c r="U366" s="4">
        <v>1238</v>
      </c>
      <c r="V366" s="4">
        <v>175</v>
      </c>
      <c r="W366" s="4">
        <v>6548</v>
      </c>
      <c r="X366" s="77">
        <v>29</v>
      </c>
      <c r="Y366" s="77">
        <v>3852</v>
      </c>
      <c r="Z366" s="4">
        <v>822</v>
      </c>
      <c r="AA366" s="4">
        <v>38945</v>
      </c>
      <c r="AB366" s="77">
        <f>Table4[[#This Row],[Total Attendance]]/Table4[[#This Row],[Total Events]]</f>
        <v>47.378345498783453</v>
      </c>
      <c r="AC366" s="77">
        <f>Table4[[#This Row],[Total Attendance]]/AD366</f>
        <v>0.76164121017738051</v>
      </c>
      <c r="AD366" s="77">
        <v>51133</v>
      </c>
    </row>
    <row r="367" spans="1:30" ht="13.5" thickBot="1" x14ac:dyDescent="0.25">
      <c r="A367" s="2" t="s">
        <v>367</v>
      </c>
      <c r="B367" s="1" t="s">
        <v>366</v>
      </c>
      <c r="C367" s="2" t="s">
        <v>60</v>
      </c>
      <c r="D367" s="4">
        <v>636</v>
      </c>
      <c r="E367" s="4">
        <v>31835</v>
      </c>
      <c r="F367" s="4">
        <v>146</v>
      </c>
      <c r="G367" s="4">
        <v>2762</v>
      </c>
      <c r="H367" s="4">
        <v>63</v>
      </c>
      <c r="I367" s="4">
        <v>4280</v>
      </c>
      <c r="J367" s="4">
        <v>54</v>
      </c>
      <c r="K367" s="4">
        <v>1262</v>
      </c>
      <c r="L367" s="4">
        <v>2603</v>
      </c>
      <c r="M367" s="77">
        <v>803</v>
      </c>
      <c r="N367" s="4">
        <v>3406</v>
      </c>
      <c r="O367" s="4">
        <v>699</v>
      </c>
      <c r="P367" s="4">
        <v>36115</v>
      </c>
      <c r="Q367" s="2" t="s">
        <v>872</v>
      </c>
      <c r="R367" s="4">
        <v>285</v>
      </c>
      <c r="S367" s="4">
        <v>12247</v>
      </c>
      <c r="T367" s="4">
        <v>200</v>
      </c>
      <c r="U367" s="4">
        <v>4024</v>
      </c>
      <c r="V367" s="4">
        <v>215</v>
      </c>
      <c r="W367" s="4">
        <v>5109</v>
      </c>
      <c r="X367" s="4">
        <v>31</v>
      </c>
      <c r="Y367" s="4">
        <v>5338</v>
      </c>
      <c r="Z367" s="4">
        <v>1145</v>
      </c>
      <c r="AA367" s="4">
        <v>50586</v>
      </c>
      <c r="AB367" s="77">
        <f>Table4[[#This Row],[Total Attendance]]/Table4[[#This Row],[Total Events]]</f>
        <v>44.179912663755459</v>
      </c>
      <c r="AC367" s="77">
        <f>Table4[[#This Row],[Total Attendance]]/AD367</f>
        <v>0.49389297325795961</v>
      </c>
      <c r="AD367" s="77">
        <v>102423</v>
      </c>
    </row>
    <row r="368" spans="1:30" ht="13.5" thickBot="1" x14ac:dyDescent="0.25">
      <c r="A368" s="2" t="s">
        <v>389</v>
      </c>
      <c r="B368" s="1" t="s">
        <v>388</v>
      </c>
      <c r="C368" s="2" t="s">
        <v>60</v>
      </c>
      <c r="D368" s="4">
        <v>579</v>
      </c>
      <c r="E368" s="4">
        <v>18804</v>
      </c>
      <c r="F368" s="4">
        <v>169</v>
      </c>
      <c r="G368" s="4">
        <v>853</v>
      </c>
      <c r="H368" s="4">
        <v>126</v>
      </c>
      <c r="I368" s="4">
        <v>6643</v>
      </c>
      <c r="J368" s="4">
        <v>10</v>
      </c>
      <c r="K368" s="4">
        <v>452</v>
      </c>
      <c r="L368" s="4">
        <v>565</v>
      </c>
      <c r="M368" s="77">
        <v>143</v>
      </c>
      <c r="N368" s="4">
        <v>708</v>
      </c>
      <c r="O368" s="4">
        <v>705</v>
      </c>
      <c r="P368" s="4">
        <v>25447</v>
      </c>
      <c r="Q368" s="2" t="s">
        <v>872</v>
      </c>
      <c r="R368" s="4">
        <v>238</v>
      </c>
      <c r="S368" s="4">
        <v>6342</v>
      </c>
      <c r="T368" s="4">
        <v>179</v>
      </c>
      <c r="U368" s="4">
        <v>1305</v>
      </c>
      <c r="V368" s="4">
        <v>228</v>
      </c>
      <c r="W368" s="4">
        <v>2950</v>
      </c>
      <c r="X368" s="4">
        <v>0</v>
      </c>
      <c r="Y368" s="4">
        <v>0</v>
      </c>
      <c r="Z368" s="4">
        <v>1112</v>
      </c>
      <c r="AA368" s="4">
        <v>29702</v>
      </c>
      <c r="AB368" s="77">
        <f>Table4[[#This Row],[Total Attendance]]/Table4[[#This Row],[Total Events]]</f>
        <v>26.71043165467626</v>
      </c>
      <c r="AC368" s="77">
        <f>Table4[[#This Row],[Total Attendance]]/AD368</f>
        <v>0.56544004264311143</v>
      </c>
      <c r="AD368" s="77">
        <v>52529</v>
      </c>
    </row>
    <row r="369" spans="1:30" ht="13.5" thickBot="1" x14ac:dyDescent="0.25">
      <c r="A369" s="2" t="s">
        <v>409</v>
      </c>
      <c r="B369" s="1" t="s">
        <v>408</v>
      </c>
      <c r="C369" s="2" t="s">
        <v>60</v>
      </c>
      <c r="D369" s="4">
        <v>1471</v>
      </c>
      <c r="E369" s="4">
        <v>54215</v>
      </c>
      <c r="F369" s="4">
        <v>60</v>
      </c>
      <c r="G369" s="4">
        <v>724</v>
      </c>
      <c r="H369" s="4">
        <v>277</v>
      </c>
      <c r="I369" s="4">
        <v>10329</v>
      </c>
      <c r="J369" s="4">
        <v>8</v>
      </c>
      <c r="K369" s="4">
        <v>497</v>
      </c>
      <c r="L369" s="4">
        <v>1596</v>
      </c>
      <c r="M369" s="77">
        <v>389</v>
      </c>
      <c r="N369" s="4">
        <v>1985</v>
      </c>
      <c r="O369" s="4">
        <v>1748</v>
      </c>
      <c r="P369" s="4">
        <v>64544</v>
      </c>
      <c r="Q369" s="2" t="s">
        <v>872</v>
      </c>
      <c r="R369" s="4">
        <v>858</v>
      </c>
      <c r="S369" s="4">
        <v>10067</v>
      </c>
      <c r="T369" s="4">
        <v>68</v>
      </c>
      <c r="U369" s="4">
        <v>1221</v>
      </c>
      <c r="V369" s="4">
        <v>905</v>
      </c>
      <c r="W369" s="4">
        <v>14696</v>
      </c>
      <c r="X369" s="4">
        <v>189</v>
      </c>
      <c r="Y369" s="4">
        <v>8475</v>
      </c>
      <c r="Z369" s="4">
        <v>2910</v>
      </c>
      <c r="AA369" s="4">
        <v>88936</v>
      </c>
      <c r="AB369" s="77">
        <f>Table4[[#This Row],[Total Attendance]]/Table4[[#This Row],[Total Events]]</f>
        <v>30.562199312714778</v>
      </c>
      <c r="AC369" s="77">
        <f>Table4[[#This Row],[Total Attendance]]/AD369</f>
        <v>0.55498976586291249</v>
      </c>
      <c r="AD369" s="77">
        <v>160248</v>
      </c>
    </row>
    <row r="370" spans="1:30" ht="13.5" thickBot="1" x14ac:dyDescent="0.25">
      <c r="A370" s="2" t="s">
        <v>417</v>
      </c>
      <c r="B370" s="1" t="s">
        <v>416</v>
      </c>
      <c r="C370" s="2" t="s">
        <v>60</v>
      </c>
      <c r="D370" s="4">
        <v>1191</v>
      </c>
      <c r="E370" s="4">
        <v>33085</v>
      </c>
      <c r="F370" s="4">
        <v>185</v>
      </c>
      <c r="G370" s="4">
        <v>6581</v>
      </c>
      <c r="H370" s="4">
        <v>454</v>
      </c>
      <c r="I370" s="4">
        <v>10117</v>
      </c>
      <c r="J370" s="4">
        <v>67</v>
      </c>
      <c r="K370" s="4">
        <v>1774</v>
      </c>
      <c r="L370" s="4">
        <v>2632</v>
      </c>
      <c r="M370" s="4">
        <v>1455</v>
      </c>
      <c r="N370" s="4">
        <v>4087</v>
      </c>
      <c r="O370" s="4">
        <v>1645</v>
      </c>
      <c r="P370" s="4">
        <v>43202</v>
      </c>
      <c r="Q370" s="2" t="s">
        <v>872</v>
      </c>
      <c r="R370" s="4">
        <v>942</v>
      </c>
      <c r="S370" s="4">
        <v>15264</v>
      </c>
      <c r="T370" s="4">
        <v>252</v>
      </c>
      <c r="U370" s="4">
        <v>8355</v>
      </c>
      <c r="V370" s="4">
        <v>387</v>
      </c>
      <c r="W370" s="4">
        <v>12001</v>
      </c>
      <c r="X370" s="78" t="s">
        <v>16</v>
      </c>
      <c r="Y370" s="78" t="s">
        <v>16</v>
      </c>
      <c r="Z370" s="4">
        <v>2284</v>
      </c>
      <c r="AA370" s="4">
        <v>63558</v>
      </c>
      <c r="AB370" s="77">
        <f>Table4[[#This Row],[Total Attendance]]/Table4[[#This Row],[Total Events]]</f>
        <v>27.827495621716288</v>
      </c>
      <c r="AC370" s="77">
        <f>Table4[[#This Row],[Total Attendance]]/AD370</f>
        <v>0.54581991498132165</v>
      </c>
      <c r="AD370" s="77">
        <v>116445</v>
      </c>
    </row>
    <row r="371" spans="1:30" ht="13.5" thickBot="1" x14ac:dyDescent="0.25">
      <c r="A371" s="2" t="s">
        <v>421</v>
      </c>
      <c r="B371" s="1" t="s">
        <v>420</v>
      </c>
      <c r="C371" s="2" t="s">
        <v>60</v>
      </c>
      <c r="D371" s="4">
        <v>3046</v>
      </c>
      <c r="E371" s="4">
        <v>98074</v>
      </c>
      <c r="F371" s="4">
        <v>317</v>
      </c>
      <c r="G371" s="4">
        <v>6899</v>
      </c>
      <c r="H371" s="4">
        <v>798</v>
      </c>
      <c r="I371" s="4">
        <v>34458</v>
      </c>
      <c r="J371" s="77">
        <v>167</v>
      </c>
      <c r="K371" s="77">
        <v>4927</v>
      </c>
      <c r="L371" s="4">
        <v>9835</v>
      </c>
      <c r="M371" s="4">
        <v>2620</v>
      </c>
      <c r="N371" s="4">
        <v>12455</v>
      </c>
      <c r="O371" s="4">
        <v>3844</v>
      </c>
      <c r="P371" s="4">
        <v>132532</v>
      </c>
      <c r="Q371" s="2" t="s">
        <v>872</v>
      </c>
      <c r="R371" s="4">
        <v>2814</v>
      </c>
      <c r="S371" s="4">
        <v>88527</v>
      </c>
      <c r="T371" s="4">
        <v>484</v>
      </c>
      <c r="U371" s="4">
        <v>11826</v>
      </c>
      <c r="V371" s="4">
        <v>856</v>
      </c>
      <c r="W371" s="4">
        <v>10873</v>
      </c>
      <c r="X371" s="4">
        <v>390</v>
      </c>
      <c r="Y371" s="4">
        <v>34159</v>
      </c>
      <c r="Z371" s="4">
        <v>5574</v>
      </c>
      <c r="AA371" s="4">
        <v>189390</v>
      </c>
      <c r="AB371" s="77">
        <f>Table4[[#This Row],[Total Attendance]]/Table4[[#This Row],[Total Events]]</f>
        <v>33.977395048439185</v>
      </c>
      <c r="AC371" s="77">
        <f>Table4[[#This Row],[Total Attendance]]/AD371</f>
        <v>0.47866855380882578</v>
      </c>
      <c r="AD371" s="77">
        <v>395660</v>
      </c>
    </row>
    <row r="372" spans="1:30" ht="13.5" thickBot="1" x14ac:dyDescent="0.25">
      <c r="A372" s="2" t="s">
        <v>431</v>
      </c>
      <c r="B372" s="1" t="s">
        <v>430</v>
      </c>
      <c r="C372" s="2" t="s">
        <v>60</v>
      </c>
      <c r="D372" s="4">
        <v>733</v>
      </c>
      <c r="E372" s="4">
        <v>11907</v>
      </c>
      <c r="F372" s="4">
        <v>45</v>
      </c>
      <c r="G372" s="4">
        <v>604</v>
      </c>
      <c r="H372" s="4">
        <v>85</v>
      </c>
      <c r="I372" s="4">
        <v>2125</v>
      </c>
      <c r="J372" s="4">
        <v>8</v>
      </c>
      <c r="K372" s="4">
        <v>69</v>
      </c>
      <c r="L372" s="77">
        <v>423</v>
      </c>
      <c r="M372" s="77">
        <v>66</v>
      </c>
      <c r="N372" s="77">
        <v>489</v>
      </c>
      <c r="O372" s="4">
        <v>818</v>
      </c>
      <c r="P372" s="4">
        <v>14032</v>
      </c>
      <c r="Q372" s="2" t="s">
        <v>872</v>
      </c>
      <c r="R372" s="4">
        <v>312</v>
      </c>
      <c r="S372" s="4">
        <v>4680</v>
      </c>
      <c r="T372" s="4">
        <v>53</v>
      </c>
      <c r="U372" s="4">
        <v>673</v>
      </c>
      <c r="V372" s="4">
        <v>253</v>
      </c>
      <c r="W372" s="4">
        <v>2530</v>
      </c>
      <c r="X372" s="77">
        <v>186</v>
      </c>
      <c r="Y372" s="77">
        <v>6797</v>
      </c>
      <c r="Z372" s="4">
        <v>1310</v>
      </c>
      <c r="AA372" s="4">
        <v>24032</v>
      </c>
      <c r="AB372" s="77">
        <f>Table4[[#This Row],[Total Attendance]]/Table4[[#This Row],[Total Events]]</f>
        <v>18.345038167938931</v>
      </c>
      <c r="AC372" s="77">
        <f>Table4[[#This Row],[Total Attendance]]/AD372</f>
        <v>0.40049328400493284</v>
      </c>
      <c r="AD372" s="77">
        <v>60006</v>
      </c>
    </row>
    <row r="373" spans="1:30" ht="13.5" thickBot="1" x14ac:dyDescent="0.25">
      <c r="A373" s="2" t="s">
        <v>459</v>
      </c>
      <c r="B373" s="1" t="s">
        <v>458</v>
      </c>
      <c r="C373" s="2" t="s">
        <v>60</v>
      </c>
      <c r="D373" s="4">
        <v>384</v>
      </c>
      <c r="E373" s="4">
        <v>14155</v>
      </c>
      <c r="F373" s="4">
        <v>86</v>
      </c>
      <c r="G373" s="4">
        <v>1702</v>
      </c>
      <c r="H373" s="4">
        <v>33</v>
      </c>
      <c r="I373" s="4">
        <v>1124</v>
      </c>
      <c r="J373" s="4">
        <v>22</v>
      </c>
      <c r="K373" s="4">
        <v>900</v>
      </c>
      <c r="L373" s="4">
        <v>1488</v>
      </c>
      <c r="M373" s="77">
        <v>225</v>
      </c>
      <c r="N373" s="4">
        <v>1713</v>
      </c>
      <c r="O373" s="4">
        <v>417</v>
      </c>
      <c r="P373" s="4">
        <v>15279</v>
      </c>
      <c r="Q373" s="2" t="s">
        <v>872</v>
      </c>
      <c r="R373" s="4">
        <v>33</v>
      </c>
      <c r="S373" s="4">
        <v>1124</v>
      </c>
      <c r="T373" s="4">
        <v>108</v>
      </c>
      <c r="U373" s="4">
        <v>2602</v>
      </c>
      <c r="V373" s="4">
        <v>140</v>
      </c>
      <c r="W373" s="4">
        <v>4264</v>
      </c>
      <c r="X373" s="4">
        <v>4</v>
      </c>
      <c r="Y373" s="4">
        <v>351</v>
      </c>
      <c r="Z373" s="4">
        <v>669</v>
      </c>
      <c r="AA373" s="4">
        <v>22496</v>
      </c>
      <c r="AB373" s="77">
        <f>Table4[[#This Row],[Total Attendance]]/Table4[[#This Row],[Total Events]]</f>
        <v>33.626307922272048</v>
      </c>
      <c r="AC373" s="77">
        <f>Table4[[#This Row],[Total Attendance]]/AD373</f>
        <v>0.23205628107528212</v>
      </c>
      <c r="AD373" s="77">
        <v>96942</v>
      </c>
    </row>
    <row r="374" spans="1:30" ht="13.5" thickBot="1" x14ac:dyDescent="0.25">
      <c r="A374" s="2" t="s">
        <v>526</v>
      </c>
      <c r="B374" s="1" t="s">
        <v>525</v>
      </c>
      <c r="C374" s="2" t="s">
        <v>60</v>
      </c>
      <c r="D374" s="4">
        <v>2193</v>
      </c>
      <c r="E374" s="4">
        <v>68126</v>
      </c>
      <c r="F374" s="4">
        <v>159</v>
      </c>
      <c r="G374" s="4">
        <v>2449</v>
      </c>
      <c r="H374" s="4">
        <v>119</v>
      </c>
      <c r="I374" s="4">
        <v>3856</v>
      </c>
      <c r="J374" s="4">
        <v>32</v>
      </c>
      <c r="K374" s="4">
        <v>282</v>
      </c>
      <c r="L374" s="77">
        <v>3856</v>
      </c>
      <c r="M374" s="77">
        <v>282</v>
      </c>
      <c r="N374" s="77">
        <v>4138</v>
      </c>
      <c r="O374" s="4">
        <v>2312</v>
      </c>
      <c r="P374" s="4">
        <v>71982</v>
      </c>
      <c r="Q374" s="2" t="s">
        <v>872</v>
      </c>
      <c r="R374" s="4">
        <v>2312</v>
      </c>
      <c r="S374" s="4">
        <v>71982</v>
      </c>
      <c r="T374" s="4">
        <v>191</v>
      </c>
      <c r="U374" s="4">
        <v>2731</v>
      </c>
      <c r="V374" s="4">
        <v>1145</v>
      </c>
      <c r="W374" s="4">
        <v>32012</v>
      </c>
      <c r="X374" s="77">
        <v>423</v>
      </c>
      <c r="Y374" s="77">
        <v>10451</v>
      </c>
      <c r="Z374" s="4">
        <v>4071</v>
      </c>
      <c r="AA374" s="4">
        <v>117176</v>
      </c>
      <c r="AB374" s="77">
        <f>Table4[[#This Row],[Total Attendance]]/Table4[[#This Row],[Total Events]]</f>
        <v>28.783099975436009</v>
      </c>
      <c r="AC374" s="77">
        <f>Table4[[#This Row],[Total Attendance]]/AD374</f>
        <v>0.78140775566003129</v>
      </c>
      <c r="AD374" s="77">
        <v>149955</v>
      </c>
    </row>
    <row r="375" spans="1:30" ht="13.5" thickBot="1" x14ac:dyDescent="0.25">
      <c r="A375" s="2" t="s">
        <v>540</v>
      </c>
      <c r="B375" s="1" t="s">
        <v>539</v>
      </c>
      <c r="C375" s="2" t="s">
        <v>60</v>
      </c>
      <c r="D375" s="4">
        <v>714</v>
      </c>
      <c r="E375" s="4">
        <v>18385</v>
      </c>
      <c r="F375" s="4">
        <v>63</v>
      </c>
      <c r="G375" s="4">
        <v>634</v>
      </c>
      <c r="H375" s="4">
        <v>153</v>
      </c>
      <c r="I375" s="4">
        <v>6725</v>
      </c>
      <c r="J375" s="4">
        <v>28</v>
      </c>
      <c r="K375" s="4">
        <v>128</v>
      </c>
      <c r="L375" s="77">
        <v>1534</v>
      </c>
      <c r="M375" s="77">
        <v>302</v>
      </c>
      <c r="N375" s="77">
        <v>1836</v>
      </c>
      <c r="O375" s="4">
        <v>867</v>
      </c>
      <c r="P375" s="4">
        <v>25110</v>
      </c>
      <c r="Q375" s="2" t="s">
        <v>872</v>
      </c>
      <c r="R375" s="4">
        <v>436</v>
      </c>
      <c r="S375" s="4">
        <v>8808</v>
      </c>
      <c r="T375" s="4">
        <v>91</v>
      </c>
      <c r="U375" s="4">
        <v>762</v>
      </c>
      <c r="V375" s="4">
        <v>246</v>
      </c>
      <c r="W375" s="4">
        <v>6169</v>
      </c>
      <c r="X375" s="77">
        <v>0</v>
      </c>
      <c r="Y375" s="77">
        <v>0</v>
      </c>
      <c r="Z375" s="4">
        <v>1204</v>
      </c>
      <c r="AA375" s="4">
        <v>32041</v>
      </c>
      <c r="AB375" s="77">
        <f>Table4[[#This Row],[Total Attendance]]/Table4[[#This Row],[Total Events]]</f>
        <v>26.612126245847175</v>
      </c>
      <c r="AC375" s="77">
        <f>Table4[[#This Row],[Total Attendance]]/AD375</f>
        <v>0.30269621736008767</v>
      </c>
      <c r="AD375" s="77">
        <v>105852</v>
      </c>
    </row>
    <row r="376" spans="1:30" ht="13.5" thickBot="1" x14ac:dyDescent="0.25">
      <c r="A376" s="2" t="s">
        <v>560</v>
      </c>
      <c r="B376" s="1" t="s">
        <v>559</v>
      </c>
      <c r="C376" s="2" t="s">
        <v>60</v>
      </c>
      <c r="D376" s="4">
        <v>452</v>
      </c>
      <c r="E376" s="4">
        <v>26983</v>
      </c>
      <c r="F376" s="4">
        <v>225</v>
      </c>
      <c r="G376" s="4">
        <v>6166</v>
      </c>
      <c r="H376" s="4">
        <v>40</v>
      </c>
      <c r="I376" s="4">
        <v>5033</v>
      </c>
      <c r="J376" s="4">
        <v>11</v>
      </c>
      <c r="K376" s="4">
        <v>292</v>
      </c>
      <c r="L376" s="4">
        <v>2023</v>
      </c>
      <c r="M376" s="77">
        <v>442</v>
      </c>
      <c r="N376" s="4">
        <v>2465</v>
      </c>
      <c r="O376" s="4">
        <v>492</v>
      </c>
      <c r="P376" s="4">
        <v>32016</v>
      </c>
      <c r="Q376" s="2" t="s">
        <v>872</v>
      </c>
      <c r="R376" s="77">
        <v>386</v>
      </c>
      <c r="S376" s="77">
        <v>12708</v>
      </c>
      <c r="T376" s="4">
        <v>236</v>
      </c>
      <c r="U376" s="4">
        <v>6458</v>
      </c>
      <c r="V376" s="4">
        <v>320</v>
      </c>
      <c r="W376" s="4">
        <v>2413</v>
      </c>
      <c r="X376" s="77">
        <v>606</v>
      </c>
      <c r="Y376" s="77">
        <v>7530</v>
      </c>
      <c r="Z376" s="4">
        <v>1654</v>
      </c>
      <c r="AA376" s="4">
        <v>48417</v>
      </c>
      <c r="AB376" s="77">
        <f>Table4[[#This Row],[Total Attendance]]/Table4[[#This Row],[Total Events]]</f>
        <v>29.2726723095526</v>
      </c>
      <c r="AC376" s="77">
        <f>Table4[[#This Row],[Total Attendance]]/AD376</f>
        <v>0.87436341965543396</v>
      </c>
      <c r="AD376" s="77">
        <v>55374</v>
      </c>
    </row>
    <row r="377" spans="1:30" ht="13.5" thickBot="1" x14ac:dyDescent="0.25">
      <c r="A377" s="2" t="s">
        <v>610</v>
      </c>
      <c r="B377" s="1" t="s">
        <v>609</v>
      </c>
      <c r="C377" s="2" t="s">
        <v>60</v>
      </c>
      <c r="D377" s="4">
        <v>423</v>
      </c>
      <c r="E377" s="4">
        <v>2156</v>
      </c>
      <c r="F377" s="4">
        <v>42</v>
      </c>
      <c r="G377" s="4">
        <v>732</v>
      </c>
      <c r="H377" s="4">
        <v>44</v>
      </c>
      <c r="I377" s="4">
        <v>478</v>
      </c>
      <c r="J377" s="4">
        <v>16</v>
      </c>
      <c r="K377" s="4">
        <v>235</v>
      </c>
      <c r="L377" s="4">
        <v>95</v>
      </c>
      <c r="M377" s="77">
        <v>33</v>
      </c>
      <c r="N377" s="4">
        <v>128</v>
      </c>
      <c r="O377" s="4">
        <v>467</v>
      </c>
      <c r="P377" s="4">
        <v>2634</v>
      </c>
      <c r="Q377" s="2" t="s">
        <v>872</v>
      </c>
      <c r="R377" s="4">
        <v>38</v>
      </c>
      <c r="S377" s="4">
        <v>98</v>
      </c>
      <c r="T377" s="4">
        <v>58</v>
      </c>
      <c r="U377" s="4">
        <v>967</v>
      </c>
      <c r="V377" s="4">
        <v>140</v>
      </c>
      <c r="W377" s="4">
        <v>440</v>
      </c>
      <c r="X377" s="4">
        <v>8</v>
      </c>
      <c r="Y377" s="4">
        <v>556</v>
      </c>
      <c r="Z377" s="4">
        <v>673</v>
      </c>
      <c r="AA377" s="4">
        <v>4597</v>
      </c>
      <c r="AB377" s="77">
        <f>Table4[[#This Row],[Total Attendance]]/Table4[[#This Row],[Total Events]]</f>
        <v>6.8306092124814262</v>
      </c>
      <c r="AC377" s="77">
        <f>Table4[[#This Row],[Total Attendance]]/AD377</f>
        <v>7.724103167268756E-2</v>
      </c>
      <c r="AD377" s="77">
        <v>59515</v>
      </c>
    </row>
    <row r="378" spans="1:30" ht="13.5" thickBot="1" x14ac:dyDescent="0.25">
      <c r="A378" s="2" t="s">
        <v>614</v>
      </c>
      <c r="B378" s="1" t="s">
        <v>613</v>
      </c>
      <c r="C378" s="2" t="s">
        <v>60</v>
      </c>
      <c r="D378" s="4">
        <v>244</v>
      </c>
      <c r="E378" s="4">
        <v>13845</v>
      </c>
      <c r="F378" s="4">
        <v>47</v>
      </c>
      <c r="G378" s="4">
        <v>1949</v>
      </c>
      <c r="H378" s="4">
        <v>64</v>
      </c>
      <c r="I378" s="4">
        <v>11184</v>
      </c>
      <c r="J378" s="4">
        <v>15</v>
      </c>
      <c r="K378" s="4">
        <v>1389</v>
      </c>
      <c r="L378" s="4">
        <v>4048</v>
      </c>
      <c r="M378" s="77">
        <v>484</v>
      </c>
      <c r="N378" s="4">
        <v>4532</v>
      </c>
      <c r="O378" s="4">
        <v>308</v>
      </c>
      <c r="P378" s="4">
        <v>25029</v>
      </c>
      <c r="Q378" s="2" t="s">
        <v>872</v>
      </c>
      <c r="R378" s="4">
        <v>163</v>
      </c>
      <c r="S378" s="4">
        <v>7326</v>
      </c>
      <c r="T378" s="4">
        <v>62</v>
      </c>
      <c r="U378" s="4">
        <v>3338</v>
      </c>
      <c r="V378" s="4">
        <v>84</v>
      </c>
      <c r="W378" s="4">
        <v>2028</v>
      </c>
      <c r="X378" s="4">
        <v>180</v>
      </c>
      <c r="Y378" s="4">
        <v>4782</v>
      </c>
      <c r="Z378" s="4">
        <v>634</v>
      </c>
      <c r="AA378" s="4">
        <v>35177</v>
      </c>
      <c r="AB378" s="77">
        <f>Table4[[#This Row],[Total Attendance]]/Table4[[#This Row],[Total Events]]</f>
        <v>55.48422712933754</v>
      </c>
      <c r="AC378" s="77">
        <f>Table4[[#This Row],[Total Attendance]]/AD378</f>
        <v>0.67427640406363809</v>
      </c>
      <c r="AD378" s="77">
        <v>52170</v>
      </c>
    </row>
    <row r="379" spans="1:30" ht="13.5" thickBot="1" x14ac:dyDescent="0.25">
      <c r="A379" s="2" t="s">
        <v>624</v>
      </c>
      <c r="B379" s="1" t="s">
        <v>623</v>
      </c>
      <c r="C379" s="2" t="s">
        <v>60</v>
      </c>
      <c r="D379" s="4">
        <v>397</v>
      </c>
      <c r="E379" s="4">
        <v>8921</v>
      </c>
      <c r="F379" s="4">
        <v>192</v>
      </c>
      <c r="G379" s="4">
        <v>2194</v>
      </c>
      <c r="H379" s="4">
        <v>36</v>
      </c>
      <c r="I379" s="4">
        <v>1916</v>
      </c>
      <c r="J379" s="4">
        <v>3</v>
      </c>
      <c r="K379" s="4">
        <v>89</v>
      </c>
      <c r="L379" s="4">
        <v>2529</v>
      </c>
      <c r="M379" s="77">
        <v>622</v>
      </c>
      <c r="N379" s="4">
        <v>3151</v>
      </c>
      <c r="O379" s="4">
        <v>433</v>
      </c>
      <c r="P379" s="4">
        <v>10837</v>
      </c>
      <c r="Q379" s="2" t="s">
        <v>872</v>
      </c>
      <c r="R379" s="4">
        <v>165</v>
      </c>
      <c r="S379" s="4">
        <v>3898</v>
      </c>
      <c r="T379" s="4">
        <v>195</v>
      </c>
      <c r="U379" s="4">
        <v>2283</v>
      </c>
      <c r="V379" s="4">
        <v>14</v>
      </c>
      <c r="W379" s="4">
        <v>142</v>
      </c>
      <c r="X379" s="4">
        <v>46</v>
      </c>
      <c r="Y379" s="4">
        <v>2345</v>
      </c>
      <c r="Z379" s="4">
        <v>688</v>
      </c>
      <c r="AA379" s="4">
        <v>15607</v>
      </c>
      <c r="AB379" s="77">
        <f>Table4[[#This Row],[Total Attendance]]/Table4[[#This Row],[Total Events]]</f>
        <v>22.684593023255815</v>
      </c>
      <c r="AC379" s="77">
        <f>Table4[[#This Row],[Total Attendance]]/AD379</f>
        <v>0.1251664127035047</v>
      </c>
      <c r="AD379" s="77">
        <v>124690</v>
      </c>
    </row>
    <row r="380" spans="1:30" ht="13.5" thickBot="1" x14ac:dyDescent="0.25">
      <c r="A380" s="2" t="s">
        <v>660</v>
      </c>
      <c r="B380" s="1" t="s">
        <v>659</v>
      </c>
      <c r="C380" s="2" t="s">
        <v>60</v>
      </c>
      <c r="D380" s="4">
        <v>432</v>
      </c>
      <c r="E380" s="4">
        <v>16426</v>
      </c>
      <c r="F380" s="4">
        <v>0</v>
      </c>
      <c r="G380" s="4">
        <v>0</v>
      </c>
      <c r="H380" s="4">
        <v>80</v>
      </c>
      <c r="I380" s="4">
        <v>3300</v>
      </c>
      <c r="J380" s="4">
        <v>21</v>
      </c>
      <c r="K380" s="4">
        <v>302</v>
      </c>
      <c r="L380" s="4">
        <v>1300</v>
      </c>
      <c r="M380" s="77">
        <v>136</v>
      </c>
      <c r="N380" s="4">
        <v>1436</v>
      </c>
      <c r="O380" s="4">
        <v>512</v>
      </c>
      <c r="P380" s="4">
        <v>19726</v>
      </c>
      <c r="Q380" s="2" t="s">
        <v>872</v>
      </c>
      <c r="R380" s="4">
        <v>231</v>
      </c>
      <c r="S380" s="4">
        <v>6677</v>
      </c>
      <c r="T380" s="4">
        <v>21</v>
      </c>
      <c r="U380" s="4">
        <v>302</v>
      </c>
      <c r="V380" s="4">
        <v>387</v>
      </c>
      <c r="W380" s="4">
        <v>14089</v>
      </c>
      <c r="X380" s="77">
        <v>0</v>
      </c>
      <c r="Y380" s="77">
        <v>0</v>
      </c>
      <c r="Z380" s="4">
        <v>920</v>
      </c>
      <c r="AA380" s="4">
        <v>34117</v>
      </c>
      <c r="AB380" s="77">
        <f>Table4[[#This Row],[Total Attendance]]/Table4[[#This Row],[Total Events]]</f>
        <v>37.083695652173915</v>
      </c>
      <c r="AC380" s="77">
        <f>Table4[[#This Row],[Total Attendance]]/AD380</f>
        <v>0.33952331193710505</v>
      </c>
      <c r="AD380" s="77">
        <v>100485</v>
      </c>
    </row>
    <row r="381" spans="1:30" ht="13.5" thickBot="1" x14ac:dyDescent="0.25">
      <c r="A381" s="2" t="s">
        <v>670</v>
      </c>
      <c r="B381" s="1" t="s">
        <v>669</v>
      </c>
      <c r="C381" s="2" t="s">
        <v>60</v>
      </c>
      <c r="D381" s="4">
        <v>262</v>
      </c>
      <c r="E381" s="4">
        <v>12314</v>
      </c>
      <c r="F381" s="4">
        <v>45</v>
      </c>
      <c r="G381" s="4">
        <v>466</v>
      </c>
      <c r="H381" s="4">
        <v>71</v>
      </c>
      <c r="I381" s="4">
        <v>4822</v>
      </c>
      <c r="J381" s="4">
        <v>19</v>
      </c>
      <c r="K381" s="4">
        <v>129</v>
      </c>
      <c r="L381" s="4">
        <v>1349</v>
      </c>
      <c r="M381" s="4">
        <v>194</v>
      </c>
      <c r="N381" s="4">
        <v>1543</v>
      </c>
      <c r="O381" s="4">
        <v>333</v>
      </c>
      <c r="P381" s="4">
        <v>17136</v>
      </c>
      <c r="Q381" s="2" t="s">
        <v>872</v>
      </c>
      <c r="R381" s="77">
        <v>153</v>
      </c>
      <c r="S381" s="77">
        <v>6736</v>
      </c>
      <c r="T381" s="4">
        <v>64</v>
      </c>
      <c r="U381" s="4">
        <v>595</v>
      </c>
      <c r="V381" s="4">
        <v>102</v>
      </c>
      <c r="W381" s="4">
        <v>3049</v>
      </c>
      <c r="X381" s="4">
        <v>0</v>
      </c>
      <c r="Y381" s="4">
        <v>0</v>
      </c>
      <c r="Z381" s="4">
        <v>499</v>
      </c>
      <c r="AA381" s="4">
        <v>20780</v>
      </c>
      <c r="AB381" s="77">
        <f>Table4[[#This Row],[Total Attendance]]/Table4[[#This Row],[Total Events]]</f>
        <v>41.643286573146291</v>
      </c>
      <c r="AC381" s="77">
        <f>Table4[[#This Row],[Total Attendance]]/AD381</f>
        <v>0.36305821510937175</v>
      </c>
      <c r="AD381" s="77">
        <v>57236</v>
      </c>
    </row>
    <row r="382" spans="1:30" ht="13.5" thickBot="1" x14ac:dyDescent="0.25">
      <c r="A382" s="2" t="s">
        <v>678</v>
      </c>
      <c r="B382" s="1" t="s">
        <v>677</v>
      </c>
      <c r="C382" s="2" t="s">
        <v>60</v>
      </c>
      <c r="D382" s="4">
        <v>951</v>
      </c>
      <c r="E382" s="4">
        <v>17587</v>
      </c>
      <c r="F382" s="4">
        <v>228</v>
      </c>
      <c r="G382" s="4">
        <v>1796</v>
      </c>
      <c r="H382" s="4">
        <v>267</v>
      </c>
      <c r="I382" s="4">
        <v>4795</v>
      </c>
      <c r="J382" s="4">
        <v>32</v>
      </c>
      <c r="K382" s="4">
        <v>215</v>
      </c>
      <c r="L382" s="4">
        <v>0</v>
      </c>
      <c r="M382" s="77">
        <v>354</v>
      </c>
      <c r="N382" s="4">
        <v>354</v>
      </c>
      <c r="O382" s="4">
        <v>1218</v>
      </c>
      <c r="P382" s="4">
        <v>22382</v>
      </c>
      <c r="Q382" s="2" t="s">
        <v>872</v>
      </c>
      <c r="R382" s="4">
        <v>414</v>
      </c>
      <c r="S382" s="4">
        <v>8835</v>
      </c>
      <c r="T382" s="4">
        <v>260</v>
      </c>
      <c r="U382" s="4">
        <v>2011</v>
      </c>
      <c r="V382" s="4">
        <v>889</v>
      </c>
      <c r="W382" s="4">
        <v>7957</v>
      </c>
      <c r="X382" s="4">
        <v>142</v>
      </c>
      <c r="Y382" s="4">
        <v>4889</v>
      </c>
      <c r="Z382" s="4">
        <v>2509</v>
      </c>
      <c r="AA382" s="4">
        <v>37239</v>
      </c>
      <c r="AB382" s="77">
        <f>Table4[[#This Row],[Total Attendance]]/Table4[[#This Row],[Total Events]]</f>
        <v>14.8421681944998</v>
      </c>
      <c r="AC382" s="77">
        <f>Table4[[#This Row],[Total Attendance]]/AD382</f>
        <v>0.23229078297320224</v>
      </c>
      <c r="AD382" s="77">
        <v>160312</v>
      </c>
    </row>
    <row r="383" spans="1:30" ht="13.5" thickBot="1" x14ac:dyDescent="0.25">
      <c r="A383" s="2" t="s">
        <v>680</v>
      </c>
      <c r="B383" s="1" t="s">
        <v>679</v>
      </c>
      <c r="C383" s="2" t="s">
        <v>60</v>
      </c>
      <c r="D383" s="4">
        <v>330</v>
      </c>
      <c r="E383" s="4">
        <v>16608</v>
      </c>
      <c r="F383" s="4">
        <v>17</v>
      </c>
      <c r="G383" s="4">
        <v>190</v>
      </c>
      <c r="H383" s="4">
        <v>18</v>
      </c>
      <c r="I383" s="4">
        <v>1261</v>
      </c>
      <c r="J383" s="4">
        <v>3</v>
      </c>
      <c r="K383" s="4">
        <v>29</v>
      </c>
      <c r="L383" s="4">
        <v>648</v>
      </c>
      <c r="M383" s="77">
        <v>75</v>
      </c>
      <c r="N383" s="4">
        <v>723</v>
      </c>
      <c r="O383" s="4">
        <v>348</v>
      </c>
      <c r="P383" s="4">
        <v>17869</v>
      </c>
      <c r="Q383" s="2" t="s">
        <v>872</v>
      </c>
      <c r="R383" s="4">
        <v>302</v>
      </c>
      <c r="S383" s="4">
        <v>15363</v>
      </c>
      <c r="T383" s="4">
        <v>20</v>
      </c>
      <c r="U383" s="4">
        <v>219</v>
      </c>
      <c r="V383" s="4">
        <v>263</v>
      </c>
      <c r="W383" s="4">
        <v>4177</v>
      </c>
      <c r="X383" s="77">
        <v>0</v>
      </c>
      <c r="Y383" s="77">
        <v>0</v>
      </c>
      <c r="Z383" s="4">
        <v>631</v>
      </c>
      <c r="AA383" s="4">
        <v>22265</v>
      </c>
      <c r="AB383" s="77">
        <f>Table4[[#This Row],[Total Attendance]]/Table4[[#This Row],[Total Events]]</f>
        <v>35.28526148969889</v>
      </c>
      <c r="AC383" s="77">
        <f>Table4[[#This Row],[Total Attendance]]/AD383</f>
        <v>0.37285439169387924</v>
      </c>
      <c r="AD383" s="77">
        <v>59715</v>
      </c>
    </row>
    <row r="384" spans="1:30" ht="13.5" thickBot="1" x14ac:dyDescent="0.25">
      <c r="A384" s="2" t="s">
        <v>708</v>
      </c>
      <c r="B384" s="1" t="s">
        <v>707</v>
      </c>
      <c r="C384" s="2" t="s">
        <v>60</v>
      </c>
      <c r="D384" s="77">
        <v>226</v>
      </c>
      <c r="E384" s="77">
        <v>8875</v>
      </c>
      <c r="F384" s="77">
        <v>58</v>
      </c>
      <c r="G384" s="77">
        <v>2264</v>
      </c>
      <c r="H384" s="77">
        <v>32</v>
      </c>
      <c r="I384" s="77">
        <v>2034</v>
      </c>
      <c r="J384" s="77">
        <v>11</v>
      </c>
      <c r="K384" s="77">
        <v>181</v>
      </c>
      <c r="L384" s="77">
        <v>551</v>
      </c>
      <c r="M384" s="77">
        <v>215</v>
      </c>
      <c r="N384" s="77">
        <v>766</v>
      </c>
      <c r="O384" s="77">
        <v>258</v>
      </c>
      <c r="P384" s="77">
        <v>10909</v>
      </c>
      <c r="Q384" s="2" t="s">
        <v>872</v>
      </c>
      <c r="R384" s="77">
        <v>147</v>
      </c>
      <c r="S384" s="77">
        <v>3522</v>
      </c>
      <c r="T384" s="77">
        <v>69</v>
      </c>
      <c r="U384" s="77">
        <v>2445</v>
      </c>
      <c r="V384" s="77">
        <v>164</v>
      </c>
      <c r="W384" s="77">
        <v>2004</v>
      </c>
      <c r="X384" s="77">
        <v>0</v>
      </c>
      <c r="Y384" s="77">
        <v>0</v>
      </c>
      <c r="Z384" s="77">
        <v>491</v>
      </c>
      <c r="AA384" s="77">
        <v>15358</v>
      </c>
      <c r="AB384" s="77">
        <f>Table4[[#This Row],[Total Attendance]]/Table4[[#This Row],[Total Events]]</f>
        <v>31.279022403258654</v>
      </c>
      <c r="AC384" s="77">
        <f>Table4[[#This Row],[Total Attendance]]/AD384</f>
        <v>0.20809170234675628</v>
      </c>
      <c r="AD384" s="77">
        <v>73804</v>
      </c>
    </row>
    <row r="385" spans="1:30" ht="13.5" thickBot="1" x14ac:dyDescent="0.25">
      <c r="A385" s="2" t="s">
        <v>720</v>
      </c>
      <c r="B385" s="1" t="s">
        <v>719</v>
      </c>
      <c r="C385" s="2" t="s">
        <v>60</v>
      </c>
      <c r="D385" s="4">
        <v>218</v>
      </c>
      <c r="E385" s="4">
        <v>8354</v>
      </c>
      <c r="F385" s="4">
        <v>5</v>
      </c>
      <c r="G385" s="4">
        <v>85</v>
      </c>
      <c r="H385" s="4">
        <v>17</v>
      </c>
      <c r="I385" s="4">
        <v>929</v>
      </c>
      <c r="J385" s="4">
        <v>5</v>
      </c>
      <c r="K385" s="4">
        <v>85</v>
      </c>
      <c r="L385" s="4">
        <v>338</v>
      </c>
      <c r="M385" s="77">
        <v>96</v>
      </c>
      <c r="N385" s="4">
        <v>434</v>
      </c>
      <c r="O385" s="4">
        <v>235</v>
      </c>
      <c r="P385" s="4">
        <v>9283</v>
      </c>
      <c r="Q385" s="2" t="s">
        <v>872</v>
      </c>
      <c r="R385" s="77">
        <v>4</v>
      </c>
      <c r="S385" s="77">
        <v>225</v>
      </c>
      <c r="T385" s="4">
        <v>10</v>
      </c>
      <c r="U385" s="4">
        <v>170</v>
      </c>
      <c r="V385" s="4">
        <v>116</v>
      </c>
      <c r="W385" s="4">
        <v>1742</v>
      </c>
      <c r="X385" s="77">
        <v>145</v>
      </c>
      <c r="Y385" s="77">
        <v>6885</v>
      </c>
      <c r="Z385" s="4">
        <v>506</v>
      </c>
      <c r="AA385" s="4">
        <v>18080</v>
      </c>
      <c r="AB385" s="77">
        <f>Table4[[#This Row],[Total Attendance]]/Table4[[#This Row],[Total Events]]</f>
        <v>35.731225296442688</v>
      </c>
      <c r="AC385" s="77">
        <f>Table4[[#This Row],[Total Attendance]]/AD385</f>
        <v>0.23847838130160656</v>
      </c>
      <c r="AD385" s="77">
        <v>75814</v>
      </c>
    </row>
    <row r="386" spans="1:30" ht="13.5" thickBot="1" x14ac:dyDescent="0.25">
      <c r="A386" s="2" t="s">
        <v>734</v>
      </c>
      <c r="B386" s="1" t="s">
        <v>733</v>
      </c>
      <c r="C386" s="2" t="s">
        <v>60</v>
      </c>
      <c r="D386" s="4">
        <v>235</v>
      </c>
      <c r="E386" s="4">
        <v>10964</v>
      </c>
      <c r="F386" s="4">
        <v>39</v>
      </c>
      <c r="G386" s="4">
        <v>428</v>
      </c>
      <c r="H386" s="4">
        <v>64</v>
      </c>
      <c r="I386" s="4">
        <v>7751</v>
      </c>
      <c r="J386" s="4">
        <v>17</v>
      </c>
      <c r="K386" s="4">
        <v>673</v>
      </c>
      <c r="L386" s="4">
        <v>3830</v>
      </c>
      <c r="M386" s="4">
        <v>527</v>
      </c>
      <c r="N386" s="4">
        <v>4357</v>
      </c>
      <c r="O386" s="4">
        <v>299</v>
      </c>
      <c r="P386" s="4">
        <v>18715</v>
      </c>
      <c r="Q386" s="2" t="s">
        <v>872</v>
      </c>
      <c r="R386" s="4">
        <v>150</v>
      </c>
      <c r="S386" s="4">
        <v>4503</v>
      </c>
      <c r="T386" s="4">
        <v>56</v>
      </c>
      <c r="U386" s="4">
        <v>1101</v>
      </c>
      <c r="V386" s="4">
        <v>236</v>
      </c>
      <c r="W386" s="4">
        <v>7905</v>
      </c>
      <c r="X386" s="4">
        <v>0</v>
      </c>
      <c r="Y386" s="4">
        <v>0</v>
      </c>
      <c r="Z386" s="4">
        <v>591</v>
      </c>
      <c r="AA386" s="4">
        <v>27721</v>
      </c>
      <c r="AB386" s="77">
        <f>Table4[[#This Row],[Total Attendance]]/Table4[[#This Row],[Total Events]]</f>
        <v>46.905245346869712</v>
      </c>
      <c r="AC386" s="77">
        <f>Table4[[#This Row],[Total Attendance]]/AD386</f>
        <v>0.2137333364173972</v>
      </c>
      <c r="AD386" s="77">
        <v>129699</v>
      </c>
    </row>
    <row r="387" spans="1:30" ht="13.5" thickBot="1" x14ac:dyDescent="0.25">
      <c r="A387" s="2" t="s">
        <v>751</v>
      </c>
      <c r="B387" s="1" t="s">
        <v>750</v>
      </c>
      <c r="C387" s="2" t="s">
        <v>60</v>
      </c>
      <c r="D387" s="4">
        <v>54</v>
      </c>
      <c r="E387" s="4">
        <v>1380</v>
      </c>
      <c r="F387" s="4">
        <v>15</v>
      </c>
      <c r="G387" s="4">
        <v>115</v>
      </c>
      <c r="H387" s="4">
        <v>12</v>
      </c>
      <c r="I387" s="4">
        <v>1793</v>
      </c>
      <c r="J387" s="4">
        <v>0</v>
      </c>
      <c r="K387" s="4">
        <v>0</v>
      </c>
      <c r="L387" s="4">
        <v>395</v>
      </c>
      <c r="M387" s="4">
        <v>51</v>
      </c>
      <c r="N387" s="4">
        <v>446</v>
      </c>
      <c r="O387" s="4">
        <v>66</v>
      </c>
      <c r="P387" s="4">
        <v>3173</v>
      </c>
      <c r="Q387" s="2" t="s">
        <v>872</v>
      </c>
      <c r="R387" s="4">
        <v>20</v>
      </c>
      <c r="S387" s="4">
        <v>422</v>
      </c>
      <c r="T387" s="4">
        <v>15</v>
      </c>
      <c r="U387" s="4">
        <v>115</v>
      </c>
      <c r="V387" s="4">
        <v>102</v>
      </c>
      <c r="W387" s="4">
        <v>1125</v>
      </c>
      <c r="X387" s="77">
        <v>0</v>
      </c>
      <c r="Y387" s="77">
        <v>0</v>
      </c>
      <c r="Z387" s="4">
        <v>183</v>
      </c>
      <c r="AA387" s="4">
        <v>4413</v>
      </c>
      <c r="AB387" s="77">
        <f>Table4[[#This Row],[Total Attendance]]/Table4[[#This Row],[Total Events]]</f>
        <v>24.114754098360656</v>
      </c>
      <c r="AC387" s="77">
        <f>Table4[[#This Row],[Total Attendance]]/AD387</f>
        <v>6.9902266715242911E-2</v>
      </c>
      <c r="AD387" s="77">
        <v>63131</v>
      </c>
    </row>
    <row r="388" spans="1:30" ht="13.5" thickBot="1" x14ac:dyDescent="0.25">
      <c r="A388" s="2" t="s">
        <v>777</v>
      </c>
      <c r="B388" s="1" t="s">
        <v>776</v>
      </c>
      <c r="C388" s="2" t="s">
        <v>60</v>
      </c>
      <c r="D388" s="4">
        <v>649</v>
      </c>
      <c r="E388" s="4">
        <v>21583</v>
      </c>
      <c r="F388" s="4">
        <v>182</v>
      </c>
      <c r="G388" s="4">
        <v>1566</v>
      </c>
      <c r="H388" s="4">
        <v>70</v>
      </c>
      <c r="I388" s="4">
        <v>3367</v>
      </c>
      <c r="J388" s="4">
        <v>42</v>
      </c>
      <c r="K388" s="4">
        <v>588</v>
      </c>
      <c r="L388" s="4">
        <v>1474</v>
      </c>
      <c r="M388" s="77">
        <v>121</v>
      </c>
      <c r="N388" s="4">
        <v>1595</v>
      </c>
      <c r="O388" s="4">
        <v>719</v>
      </c>
      <c r="P388" s="4">
        <v>24950</v>
      </c>
      <c r="Q388" s="2" t="s">
        <v>872</v>
      </c>
      <c r="R388" s="4">
        <v>306</v>
      </c>
      <c r="S388" s="4">
        <v>9488</v>
      </c>
      <c r="T388" s="4">
        <v>224</v>
      </c>
      <c r="U388" s="4">
        <v>2154</v>
      </c>
      <c r="V388" s="4">
        <v>282</v>
      </c>
      <c r="W388" s="4">
        <v>3132</v>
      </c>
      <c r="X388" s="77">
        <v>96</v>
      </c>
      <c r="Y388" s="77">
        <v>6108</v>
      </c>
      <c r="Z388" s="4">
        <v>1321</v>
      </c>
      <c r="AA388" s="4">
        <v>36344</v>
      </c>
      <c r="AB388" s="77">
        <f>Table4[[#This Row],[Total Attendance]]/Table4[[#This Row],[Total Events]]</f>
        <v>27.512490537471614</v>
      </c>
      <c r="AC388" s="77">
        <f>Table4[[#This Row],[Total Attendance]]/AD388</f>
        <v>0.37315700850137584</v>
      </c>
      <c r="AD388" s="77">
        <v>97396</v>
      </c>
    </row>
    <row r="389" spans="1:30" ht="13.5" thickBot="1" x14ac:dyDescent="0.25">
      <c r="A389" s="2" t="s">
        <v>779</v>
      </c>
      <c r="B389" s="1" t="s">
        <v>778</v>
      </c>
      <c r="C389" s="2" t="s">
        <v>60</v>
      </c>
      <c r="D389" s="77">
        <v>103</v>
      </c>
      <c r="E389" s="77">
        <v>1955</v>
      </c>
      <c r="F389" s="77">
        <v>0</v>
      </c>
      <c r="G389" s="77">
        <v>0</v>
      </c>
      <c r="H389" s="77">
        <v>8</v>
      </c>
      <c r="I389" s="77">
        <v>465</v>
      </c>
      <c r="J389" s="77">
        <v>3</v>
      </c>
      <c r="K389" s="77">
        <v>34</v>
      </c>
      <c r="L389" s="77">
        <v>364</v>
      </c>
      <c r="M389" s="77">
        <v>135</v>
      </c>
      <c r="N389" s="77">
        <v>499</v>
      </c>
      <c r="O389" s="77">
        <v>111</v>
      </c>
      <c r="P389" s="77">
        <v>2420</v>
      </c>
      <c r="Q389" s="2" t="s">
        <v>872</v>
      </c>
      <c r="R389" s="77">
        <v>81</v>
      </c>
      <c r="S389" s="77">
        <v>1679</v>
      </c>
      <c r="T389" s="77">
        <v>3</v>
      </c>
      <c r="U389" s="77">
        <v>34</v>
      </c>
      <c r="V389" s="77">
        <v>82</v>
      </c>
      <c r="W389" s="77">
        <v>412</v>
      </c>
      <c r="X389" s="77">
        <v>12</v>
      </c>
      <c r="Y389" s="77">
        <v>93</v>
      </c>
      <c r="Z389" s="77">
        <v>208</v>
      </c>
      <c r="AA389" s="77">
        <v>2959</v>
      </c>
      <c r="AB389" s="77">
        <f>Table4[[#This Row],[Total Attendance]]/Table4[[#This Row],[Total Events]]</f>
        <v>14.225961538461538</v>
      </c>
      <c r="AC389" s="77">
        <f>Table4[[#This Row],[Total Attendance]]/AD389</f>
        <v>4.0686962021835381E-2</v>
      </c>
      <c r="AD389" s="77">
        <v>72726</v>
      </c>
    </row>
    <row r="390" spans="1:30" ht="13.5" thickBot="1" x14ac:dyDescent="0.25">
      <c r="A390" s="2" t="s">
        <v>781</v>
      </c>
      <c r="B390" s="1" t="s">
        <v>780</v>
      </c>
      <c r="C390" s="2" t="s">
        <v>60</v>
      </c>
      <c r="D390" s="4">
        <v>414</v>
      </c>
      <c r="E390" s="4">
        <v>21110</v>
      </c>
      <c r="F390" s="4">
        <v>120</v>
      </c>
      <c r="G390" s="4">
        <v>2284</v>
      </c>
      <c r="H390" s="4">
        <v>61</v>
      </c>
      <c r="I390" s="4">
        <v>3803</v>
      </c>
      <c r="J390" s="4">
        <v>33</v>
      </c>
      <c r="K390" s="4">
        <v>653</v>
      </c>
      <c r="L390" s="4">
        <v>1562</v>
      </c>
      <c r="M390" s="4">
        <v>268</v>
      </c>
      <c r="N390" s="4">
        <v>1830</v>
      </c>
      <c r="O390" s="4">
        <v>475</v>
      </c>
      <c r="P390" s="4">
        <v>24913</v>
      </c>
      <c r="Q390" s="2" t="s">
        <v>873</v>
      </c>
      <c r="R390" s="4">
        <v>0</v>
      </c>
      <c r="S390" s="4">
        <v>0</v>
      </c>
      <c r="T390" s="4">
        <v>153</v>
      </c>
      <c r="U390" s="4">
        <v>2937</v>
      </c>
      <c r="V390" s="4">
        <v>145</v>
      </c>
      <c r="W390" s="4">
        <v>4758</v>
      </c>
      <c r="X390" s="77">
        <v>1</v>
      </c>
      <c r="Y390" s="77">
        <v>5500</v>
      </c>
      <c r="Z390" s="4">
        <v>774</v>
      </c>
      <c r="AA390" s="4">
        <v>38108</v>
      </c>
      <c r="AB390" s="77">
        <f>Table4[[#This Row],[Total Attendance]]/Table4[[#This Row],[Total Events]]</f>
        <v>49.235142118863052</v>
      </c>
      <c r="AC390" s="77">
        <f>Table4[[#This Row],[Total Attendance]]/AD390</f>
        <v>0.47058532971103978</v>
      </c>
      <c r="AD390" s="77">
        <v>80980</v>
      </c>
    </row>
    <row r="391" spans="1:30" ht="13.5" thickBot="1" x14ac:dyDescent="0.25">
      <c r="A391" s="2" t="s">
        <v>805</v>
      </c>
      <c r="B391" s="1" t="s">
        <v>804</v>
      </c>
      <c r="C391" s="2" t="s">
        <v>60</v>
      </c>
      <c r="D391" s="4">
        <v>422</v>
      </c>
      <c r="E391" s="4">
        <v>9358</v>
      </c>
      <c r="F391" s="4">
        <v>71</v>
      </c>
      <c r="G391" s="4">
        <v>961</v>
      </c>
      <c r="H391" s="4">
        <v>112</v>
      </c>
      <c r="I391" s="4">
        <v>3185</v>
      </c>
      <c r="J391" s="4">
        <v>11</v>
      </c>
      <c r="K391" s="4">
        <v>179</v>
      </c>
      <c r="L391" s="4">
        <v>783</v>
      </c>
      <c r="M391" s="77">
        <v>155</v>
      </c>
      <c r="N391" s="4">
        <v>938</v>
      </c>
      <c r="O391" s="4">
        <v>534</v>
      </c>
      <c r="P391" s="4">
        <v>12543</v>
      </c>
      <c r="Q391" s="2" t="s">
        <v>872</v>
      </c>
      <c r="R391" s="4">
        <v>301</v>
      </c>
      <c r="S391" s="4">
        <v>5780</v>
      </c>
      <c r="T391" s="4">
        <v>82</v>
      </c>
      <c r="U391" s="4">
        <v>1140</v>
      </c>
      <c r="V391" s="4">
        <v>208</v>
      </c>
      <c r="W391" s="4">
        <v>2992</v>
      </c>
      <c r="X391" s="4">
        <v>48</v>
      </c>
      <c r="Y391" s="4">
        <v>2152</v>
      </c>
      <c r="Z391" s="4">
        <v>872</v>
      </c>
      <c r="AA391" s="4">
        <v>18827</v>
      </c>
      <c r="AB391" s="77">
        <f>Table4[[#This Row],[Total Attendance]]/Table4[[#This Row],[Total Events]]</f>
        <v>21.590596330275229</v>
      </c>
      <c r="AC391" s="77">
        <f>Table4[[#This Row],[Total Attendance]]/AD391</f>
        <v>0.14044130811004357</v>
      </c>
      <c r="AD391" s="77">
        <v>134056</v>
      </c>
    </row>
    <row r="392" spans="1:30" ht="13.5" thickBot="1" x14ac:dyDescent="0.25">
      <c r="A392" s="2" t="s">
        <v>807</v>
      </c>
      <c r="B392" s="1" t="s">
        <v>806</v>
      </c>
      <c r="C392" s="2" t="s">
        <v>60</v>
      </c>
      <c r="D392" s="4">
        <v>202</v>
      </c>
      <c r="E392" s="4">
        <v>5966</v>
      </c>
      <c r="F392" s="4">
        <v>38</v>
      </c>
      <c r="G392" s="4">
        <v>371</v>
      </c>
      <c r="H392" s="4">
        <v>35</v>
      </c>
      <c r="I392" s="4">
        <v>1764</v>
      </c>
      <c r="J392" s="4">
        <v>5</v>
      </c>
      <c r="K392" s="4">
        <v>50</v>
      </c>
      <c r="L392" s="4">
        <v>513</v>
      </c>
      <c r="M392" s="77">
        <v>36</v>
      </c>
      <c r="N392" s="4">
        <v>549</v>
      </c>
      <c r="O392" s="4">
        <v>237</v>
      </c>
      <c r="P392" s="4">
        <v>7730</v>
      </c>
      <c r="Q392" s="2" t="s">
        <v>872</v>
      </c>
      <c r="R392" s="4">
        <v>120</v>
      </c>
      <c r="S392" s="4">
        <v>2767</v>
      </c>
      <c r="T392" s="4">
        <v>43</v>
      </c>
      <c r="U392" s="4">
        <v>421</v>
      </c>
      <c r="V392" s="4">
        <v>172</v>
      </c>
      <c r="W392" s="4">
        <v>2387</v>
      </c>
      <c r="X392" s="77">
        <v>15</v>
      </c>
      <c r="Y392" s="77">
        <v>286</v>
      </c>
      <c r="Z392" s="4">
        <v>467</v>
      </c>
      <c r="AA392" s="4">
        <v>10824</v>
      </c>
      <c r="AB392" s="77">
        <f>Table4[[#This Row],[Total Attendance]]/Table4[[#This Row],[Total Events]]</f>
        <v>23.177730192719487</v>
      </c>
      <c r="AC392" s="77">
        <f>Table4[[#This Row],[Total Attendance]]/AD392</f>
        <v>0.15033959748322848</v>
      </c>
      <c r="AD392" s="77">
        <v>71997</v>
      </c>
    </row>
    <row r="393" spans="1:30" ht="13.5" thickBot="1" x14ac:dyDescent="0.25">
      <c r="A393" s="2" t="s">
        <v>815</v>
      </c>
      <c r="B393" s="1" t="s">
        <v>814</v>
      </c>
      <c r="C393" s="2" t="s">
        <v>60</v>
      </c>
      <c r="D393" s="4">
        <v>564</v>
      </c>
      <c r="E393" s="4">
        <v>25872</v>
      </c>
      <c r="F393" s="4">
        <v>147</v>
      </c>
      <c r="G393" s="4">
        <v>5774</v>
      </c>
      <c r="H393" s="4">
        <v>124</v>
      </c>
      <c r="I393" s="4">
        <v>19234</v>
      </c>
      <c r="J393" s="4">
        <v>60</v>
      </c>
      <c r="K393" s="4">
        <v>2513</v>
      </c>
      <c r="L393" s="4">
        <v>2881</v>
      </c>
      <c r="M393" s="77">
        <v>423</v>
      </c>
      <c r="N393" s="4">
        <v>3304</v>
      </c>
      <c r="O393" s="4">
        <v>688</v>
      </c>
      <c r="P393" s="4">
        <v>45106</v>
      </c>
      <c r="Q393" s="2" t="s">
        <v>872</v>
      </c>
      <c r="R393" s="4">
        <v>434</v>
      </c>
      <c r="S393" s="4">
        <v>17850</v>
      </c>
      <c r="T393" s="4">
        <v>207</v>
      </c>
      <c r="U393" s="4">
        <v>8287</v>
      </c>
      <c r="V393" s="4">
        <v>540</v>
      </c>
      <c r="W393" s="4">
        <v>13504</v>
      </c>
      <c r="X393" s="4">
        <v>0</v>
      </c>
      <c r="Y393" s="4">
        <v>0</v>
      </c>
      <c r="Z393" s="4">
        <v>1435</v>
      </c>
      <c r="AA393" s="4">
        <v>66897</v>
      </c>
      <c r="AB393" s="77">
        <f>Table4[[#This Row],[Total Attendance]]/Table4[[#This Row],[Total Events]]</f>
        <v>46.618118466898956</v>
      </c>
      <c r="AC393" s="77">
        <f>Table4[[#This Row],[Total Attendance]]/AD393</f>
        <v>0.93229740087798763</v>
      </c>
      <c r="AD393" s="77">
        <v>71755</v>
      </c>
    </row>
    <row r="394" spans="1:30" ht="13.5" thickBot="1" x14ac:dyDescent="0.25">
      <c r="A394" s="2" t="s">
        <v>835</v>
      </c>
      <c r="B394" s="1" t="s">
        <v>834</v>
      </c>
      <c r="C394" s="2" t="s">
        <v>60</v>
      </c>
      <c r="D394" s="4">
        <v>309</v>
      </c>
      <c r="E394" s="4">
        <v>11328</v>
      </c>
      <c r="F394" s="4">
        <v>58</v>
      </c>
      <c r="G394" s="4">
        <v>2483</v>
      </c>
      <c r="H394" s="4">
        <v>72</v>
      </c>
      <c r="I394" s="4">
        <v>4445</v>
      </c>
      <c r="J394" s="4">
        <v>4</v>
      </c>
      <c r="K394" s="4">
        <v>140</v>
      </c>
      <c r="L394" s="4">
        <v>1857</v>
      </c>
      <c r="M394" s="4">
        <v>88</v>
      </c>
      <c r="N394" s="4">
        <v>1945</v>
      </c>
      <c r="O394" s="4">
        <v>381</v>
      </c>
      <c r="P394" s="4">
        <v>15773</v>
      </c>
      <c r="Q394" s="2" t="s">
        <v>872</v>
      </c>
      <c r="R394" s="4">
        <v>268</v>
      </c>
      <c r="S394" s="4">
        <v>10401</v>
      </c>
      <c r="T394" s="4">
        <v>62</v>
      </c>
      <c r="U394" s="4">
        <v>2623</v>
      </c>
      <c r="V394" s="4">
        <v>126</v>
      </c>
      <c r="W394" s="4">
        <v>3589</v>
      </c>
      <c r="X394" s="4">
        <v>0</v>
      </c>
      <c r="Y394" s="4">
        <v>0</v>
      </c>
      <c r="Z394" s="4">
        <v>569</v>
      </c>
      <c r="AA394" s="4">
        <v>21985</v>
      </c>
      <c r="AB394" s="77">
        <f>Table4[[#This Row],[Total Attendance]]/Table4[[#This Row],[Total Events]]</f>
        <v>38.637961335676628</v>
      </c>
      <c r="AC394" s="77">
        <f>Table4[[#This Row],[Total Attendance]]/AD394</f>
        <v>0.2448790919925595</v>
      </c>
      <c r="AD394" s="77">
        <v>89779</v>
      </c>
    </row>
    <row r="395" spans="1:30" ht="13.5" thickBot="1" x14ac:dyDescent="0.25">
      <c r="A395" s="2" t="s">
        <v>837</v>
      </c>
      <c r="B395" s="1" t="s">
        <v>836</v>
      </c>
      <c r="C395" s="2" t="s">
        <v>60</v>
      </c>
      <c r="D395" s="4">
        <v>328</v>
      </c>
      <c r="E395" s="4">
        <v>13327</v>
      </c>
      <c r="F395" s="4">
        <v>60</v>
      </c>
      <c r="G395" s="4">
        <v>523</v>
      </c>
      <c r="H395" s="4">
        <v>48</v>
      </c>
      <c r="I395" s="4">
        <v>4461</v>
      </c>
      <c r="J395" s="4">
        <v>10</v>
      </c>
      <c r="K395" s="4">
        <v>197</v>
      </c>
      <c r="L395" s="4">
        <v>827</v>
      </c>
      <c r="M395" s="4">
        <v>172</v>
      </c>
      <c r="N395" s="4">
        <v>999</v>
      </c>
      <c r="O395" s="4">
        <v>376</v>
      </c>
      <c r="P395" s="4">
        <v>17788</v>
      </c>
      <c r="Q395" s="2" t="s">
        <v>872</v>
      </c>
      <c r="R395" s="4">
        <v>197</v>
      </c>
      <c r="S395" s="4">
        <v>5199</v>
      </c>
      <c r="T395" s="4">
        <v>70</v>
      </c>
      <c r="U395" s="4">
        <v>720</v>
      </c>
      <c r="V395" s="4">
        <v>448</v>
      </c>
      <c r="W395" s="4">
        <v>4280</v>
      </c>
      <c r="X395" s="4">
        <v>5</v>
      </c>
      <c r="Y395" s="4">
        <v>399</v>
      </c>
      <c r="Z395" s="4">
        <v>899</v>
      </c>
      <c r="AA395" s="4">
        <v>23187</v>
      </c>
      <c r="AB395" s="77">
        <f>Table4[[#This Row],[Total Attendance]]/Table4[[#This Row],[Total Events]]</f>
        <v>25.79199110122358</v>
      </c>
      <c r="AC395" s="77">
        <f>Table4[[#This Row],[Total Attendance]]/AD395</f>
        <v>0.2757271624610555</v>
      </c>
      <c r="AD395" s="77">
        <v>84094</v>
      </c>
    </row>
    <row r="396" spans="1:30" ht="13.5" thickBot="1" x14ac:dyDescent="0.25">
      <c r="A396" s="2" t="s">
        <v>843</v>
      </c>
      <c r="B396" s="114" t="s">
        <v>842</v>
      </c>
      <c r="C396" s="2" t="s">
        <v>60</v>
      </c>
      <c r="D396" s="4">
        <v>1861</v>
      </c>
      <c r="E396" s="4">
        <v>40399</v>
      </c>
      <c r="F396" s="4">
        <v>132</v>
      </c>
      <c r="G396" s="4">
        <v>1531</v>
      </c>
      <c r="H396" s="4">
        <v>545</v>
      </c>
      <c r="I396" s="4">
        <v>12791</v>
      </c>
      <c r="J396" s="4">
        <v>41</v>
      </c>
      <c r="K396" s="4">
        <v>728</v>
      </c>
      <c r="L396" s="4">
        <v>2072</v>
      </c>
      <c r="M396" s="77">
        <v>284</v>
      </c>
      <c r="N396" s="4">
        <v>2356</v>
      </c>
      <c r="O396" s="4">
        <v>2406</v>
      </c>
      <c r="P396" s="4">
        <v>53190</v>
      </c>
      <c r="Q396" s="2" t="s">
        <v>872</v>
      </c>
      <c r="R396" s="4">
        <v>280</v>
      </c>
      <c r="S396" s="4">
        <v>9917</v>
      </c>
      <c r="T396" s="4">
        <v>173</v>
      </c>
      <c r="U396" s="4">
        <v>2259</v>
      </c>
      <c r="V396" s="4">
        <v>719</v>
      </c>
      <c r="W396" s="4">
        <v>5573</v>
      </c>
      <c r="X396" s="4">
        <v>4</v>
      </c>
      <c r="Y396" s="4">
        <v>1556</v>
      </c>
      <c r="Z396" s="4">
        <v>3302</v>
      </c>
      <c r="AA396" s="4">
        <v>62578</v>
      </c>
      <c r="AB396" s="77">
        <f>Table4[[#This Row],[Total Attendance]]/Table4[[#This Row],[Total Events]]</f>
        <v>18.951544518473654</v>
      </c>
      <c r="AC396" s="77">
        <f>Table4[[#This Row],[Total Attendance]]/AD396</f>
        <v>0.75418805891002005</v>
      </c>
      <c r="AD396" s="77">
        <v>82974</v>
      </c>
    </row>
    <row r="397" spans="1:30" ht="18.75" thickBot="1" x14ac:dyDescent="0.3">
      <c r="A397" s="115"/>
      <c r="B397" s="80" t="s">
        <v>2623</v>
      </c>
      <c r="C397" s="130">
        <f>SUBTOTAL(103,Table4[Library Class])</f>
        <v>393</v>
      </c>
      <c r="D397" s="81"/>
      <c r="E397" s="81"/>
      <c r="F397" s="81"/>
      <c r="G397" s="81"/>
      <c r="H397" s="81"/>
      <c r="I397" s="81"/>
      <c r="J397" s="81"/>
      <c r="K397" s="81"/>
      <c r="L397" s="81"/>
      <c r="M397" s="81"/>
      <c r="N397" s="81"/>
      <c r="O397" s="81"/>
      <c r="P397" s="81"/>
      <c r="R397" s="81"/>
      <c r="S397" s="81"/>
      <c r="T397" s="81"/>
      <c r="U397" s="81"/>
      <c r="V397" s="81"/>
      <c r="W397" s="81"/>
      <c r="X397" s="81"/>
      <c r="Y397" s="81"/>
      <c r="Z397" s="81"/>
      <c r="AA397" s="81"/>
    </row>
    <row r="398" spans="1:30" ht="18.75" thickBot="1" x14ac:dyDescent="0.3">
      <c r="C398" s="128" t="s">
        <v>2624</v>
      </c>
      <c r="D398" s="117">
        <f>SUBTOTAL(109,Table4[Children''s Events (Non Summer Reading)])</f>
        <v>70328</v>
      </c>
      <c r="E398" s="117">
        <f>SUBTOTAL(109,Table4[Children''s Events Attendance (Non Summer Reading)])</f>
        <v>1922675</v>
      </c>
      <c r="F398" s="117">
        <f>SUBTOTAL(109,Table4[Teen Events (Non Summer Reading)])</f>
        <v>11624</v>
      </c>
      <c r="G398" s="117">
        <f>SUBTOTAL(109,Table4[Teen  Events Attendance(Non Summer Reading)])</f>
        <v>200590</v>
      </c>
      <c r="H398" s="117">
        <f>SUBTOTAL(109,Table4[Summer Reading Events Children Programs])</f>
        <v>14319</v>
      </c>
      <c r="I398" s="117">
        <f>SUBTOTAL(109,Table4[Summer Reading Events Children Attendance])</f>
        <v>606791</v>
      </c>
      <c r="J398" s="117">
        <f>SUBTOTAL(109,Table4[Summer Reading Events Teens Programs])</f>
        <v>2978</v>
      </c>
      <c r="K398" s="117">
        <f>SUBTOTAL(109,Table4[Summer Reading Events Teens Attendance])</f>
        <v>53822</v>
      </c>
      <c r="L398" s="117">
        <f>SUBTOTAL(109,Table4[How Many Children Signed Up For The Summer Reading  Program])</f>
        <v>177700</v>
      </c>
      <c r="M398" s="117">
        <f>SUBTOTAL(109,Table4[How Many Teens Signed Up For The Summer Reading Program?])</f>
        <v>46240</v>
      </c>
      <c r="N398" s="117">
        <f>SUBTOTAL(109,Table4[Total Summer Reading Program Participation])</f>
        <v>223940</v>
      </c>
      <c r="O398" s="117">
        <f>SUBTOTAL(109,Table4[Total Children''s Events])</f>
        <v>84647</v>
      </c>
      <c r="P398" s="118">
        <f>SUBTOTAL(109,Table4[Total Children''s Event Attendance])</f>
        <v>2529466</v>
      </c>
      <c r="Q398" s="134"/>
      <c r="R398" s="127">
        <f>SUBTOTAL(109,Table4[ Early Literacy Programs (Subset of Children''s programming)])</f>
        <v>38414</v>
      </c>
      <c r="S398" s="120">
        <f>SUBTOTAL(109,Table4[ Early Literacy Program Attendance (Subset of Children''s programming)])</f>
        <v>896455</v>
      </c>
      <c r="T398" s="120">
        <f>SUBTOTAL(109,Table4[Total Teen Programs])</f>
        <v>14602</v>
      </c>
      <c r="U398" s="120">
        <f>SUBTOTAL(109,Table4[Total Teen Program Attendance])</f>
        <v>254412</v>
      </c>
      <c r="V398" s="120">
        <f>SUBTOTAL(109,Table4[Adult Events])</f>
        <v>55684</v>
      </c>
      <c r="W398" s="120">
        <f>SUBTOTAL(109,Table4[Adult Event Attendance])</f>
        <v>776637</v>
      </c>
      <c r="X398" s="120">
        <f>SUBTOTAL(109,Table4[General Events])</f>
        <v>14966</v>
      </c>
      <c r="Y398" s="120">
        <f>SUBTOTAL(109,Table4[General Event Attendance])</f>
        <v>394074</v>
      </c>
      <c r="Z398" s="120">
        <f>SUBTOTAL(109,Table4[Total Events])</f>
        <v>169899</v>
      </c>
      <c r="AA398" s="132">
        <f>SUBTOTAL(109,Table4[Total Attendance])</f>
        <v>3954589</v>
      </c>
      <c r="AD398" s="118">
        <f>SUBTOTAL(109,Table3[Total Population Served])</f>
        <v>9843022</v>
      </c>
    </row>
    <row r="399" spans="1:30" ht="18.75" thickBot="1" x14ac:dyDescent="0.3">
      <c r="C399" s="125" t="s">
        <v>2625</v>
      </c>
      <c r="D399" s="127">
        <f>SUBTOTAL(101,Table4[Children''s Events (Non Summer Reading)])</f>
        <v>178.95165394402036</v>
      </c>
      <c r="E399" s="120">
        <f>SUBTOTAL(101,Table4[Children''s Events Attendance (Non Summer Reading)])</f>
        <v>4892.3027989821885</v>
      </c>
      <c r="F399" s="120">
        <f>SUBTOTAL(101,Table4[Teen Events (Non Summer Reading)])</f>
        <v>29.577608142493638</v>
      </c>
      <c r="G399" s="120">
        <f>SUBTOTAL(101,Table4[Teen  Events Attendance(Non Summer Reading)])</f>
        <v>510.40712468193385</v>
      </c>
      <c r="H399" s="120">
        <f>SUBTOTAL(101,Table4[Summer Reading Events Children Programs])</f>
        <v>36.435114503816791</v>
      </c>
      <c r="I399" s="120">
        <f>SUBTOTAL(101,Table4[Summer Reading Events Children Attendance])</f>
        <v>1543.9974554707378</v>
      </c>
      <c r="J399" s="120">
        <f>SUBTOTAL(101,Table4[Summer Reading Events Teens Programs])</f>
        <v>7.8162729658792651</v>
      </c>
      <c r="K399" s="120">
        <f>SUBTOTAL(101,Table4[Summer Reading Events Teens Attendance])</f>
        <v>141.63684210526316</v>
      </c>
      <c r="L399" s="120">
        <f>SUBTOTAL(101,Table4[How Many Children Signed Up For The Summer Reading  Program])</f>
        <v>461.55844155844159</v>
      </c>
      <c r="M399" s="120">
        <f>SUBTOTAL(101,Table4[How Many Teens Signed Up For The Summer Reading Program?])</f>
        <v>130.25352112676057</v>
      </c>
      <c r="N399" s="120">
        <f>SUBTOTAL(101,Table4[Total Summer Reading Program Participation])</f>
        <v>581.66233766233768</v>
      </c>
      <c r="O399" s="120">
        <f>SUBTOTAL(101,Table4[Total Children''s Events])</f>
        <v>215.38676844783714</v>
      </c>
      <c r="P399" s="132">
        <f>SUBTOTAL(101,Table4[Total Children''s Event Attendance])</f>
        <v>6436.3002544529263</v>
      </c>
      <c r="Q399" s="133"/>
      <c r="R399" s="119">
        <f>SUBTOTAL(101,Table4[ Early Literacy Programs (Subset of Children''s programming)])</f>
        <v>99.2609819121447</v>
      </c>
      <c r="S399" s="119">
        <f>SUBTOTAL(101,Table4[ Early Literacy Program Attendance (Subset of Children''s programming)])</f>
        <v>2316.4211886304911</v>
      </c>
      <c r="T399" s="119">
        <f>SUBTOTAL(101,Table4[Total Teen Programs])</f>
        <v>37.155216284987276</v>
      </c>
      <c r="U399" s="119">
        <f>SUBTOTAL(101,Table4[Total Teen Program Attendance])</f>
        <v>647.35877862595419</v>
      </c>
      <c r="V399" s="119">
        <f>SUBTOTAL(101,Table4[Adult Events])</f>
        <v>142.77948717948718</v>
      </c>
      <c r="W399" s="119">
        <f>SUBTOTAL(101,Table4[Adult Event Attendance])</f>
        <v>1996.496143958869</v>
      </c>
      <c r="X399" s="119">
        <f>SUBTOTAL(101,Table4[General Events])</f>
        <v>39.592592592592595</v>
      </c>
      <c r="Y399" s="119">
        <f>SUBTOTAL(101,Table4[General Event Attendance])</f>
        <v>1045.2891246684351</v>
      </c>
      <c r="Z399" s="119">
        <f>SUBTOTAL(101,Table4[Total Events])</f>
        <v>432.31297709923666</v>
      </c>
      <c r="AA399" s="131">
        <f>SUBTOTAL(101,Table4[Total Attendance])</f>
        <v>10062.567430025445</v>
      </c>
      <c r="AB399" s="84">
        <f>SUBTOTAL(101,Table4[Column1])</f>
        <v>21.929343219705068</v>
      </c>
      <c r="AC399" s="84">
        <f>SUBTOTAL(101,Table4[attend percapita])</f>
        <v>0.43574355241645141</v>
      </c>
      <c r="AD399" s="124">
        <f>SUBTOTAL(101,Table3[Total Population Served])</f>
        <v>25045.857506361324</v>
      </c>
    </row>
    <row r="400" spans="1:30" x14ac:dyDescent="0.2">
      <c r="P400" s="48"/>
    </row>
    <row r="401" spans="16:16" x14ac:dyDescent="0.2">
      <c r="P401" s="48"/>
    </row>
    <row r="402" spans="16:16" x14ac:dyDescent="0.2">
      <c r="P402" s="48"/>
    </row>
    <row r="403" spans="16:16" x14ac:dyDescent="0.2">
      <c r="P403" s="48"/>
    </row>
    <row r="404" spans="16:16" x14ac:dyDescent="0.2">
      <c r="P404" s="48"/>
    </row>
    <row r="405" spans="16:16" x14ac:dyDescent="0.2">
      <c r="P405" s="48"/>
    </row>
  </sheetData>
  <sortState xmlns:xlrd2="http://schemas.microsoft.com/office/spreadsheetml/2017/richdata2" ref="A4:AO396">
    <sortCondition ref="E4"/>
  </sortState>
  <phoneticPr fontId="34" type="noConversion"/>
  <hyperlinks>
    <hyperlink ref="H1" location="'Table of Contents'!A1" display="Return to Table of Contents" xr:uid="{6E03EAE1-0414-43FC-8BA3-4FDD270DF578}"/>
  </hyperlink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568D2"/>
  </sheetPr>
  <dimension ref="A1:N407"/>
  <sheetViews>
    <sheetView zoomScaleNormal="100" workbookViewId="0">
      <pane ySplit="3" topLeftCell="A4" activePane="bottomLeft" state="frozen"/>
      <selection activeCell="N42" sqref="N42"/>
      <selection pane="bottomLeft" activeCell="H1" sqref="H1"/>
    </sheetView>
  </sheetViews>
  <sheetFormatPr defaultRowHeight="12.75" x14ac:dyDescent="0.2"/>
  <cols>
    <col min="1" max="1" width="9.140625" bestFit="1" customWidth="1"/>
    <col min="2" max="2" width="50.7109375" bestFit="1" customWidth="1"/>
    <col min="3" max="3" width="26.7109375" bestFit="1" customWidth="1"/>
    <col min="4" max="14" width="20.7109375" customWidth="1"/>
  </cols>
  <sheetData>
    <row r="1" spans="1:14" ht="18.75" x14ac:dyDescent="0.3">
      <c r="B1" s="312" t="s">
        <v>3576</v>
      </c>
      <c r="E1" s="310" t="s">
        <v>2612</v>
      </c>
      <c r="H1" s="8" t="s">
        <v>1844</v>
      </c>
    </row>
    <row r="3" spans="1:14" ht="78" customHeight="1" thickBot="1" x14ac:dyDescent="0.25">
      <c r="A3" s="74" t="s">
        <v>1</v>
      </c>
      <c r="B3" s="73" t="s">
        <v>0</v>
      </c>
      <c r="C3" s="74" t="s">
        <v>4</v>
      </c>
      <c r="D3" s="74" t="s">
        <v>904</v>
      </c>
      <c r="E3" s="74" t="s">
        <v>905</v>
      </c>
      <c r="F3" s="74" t="s">
        <v>906</v>
      </c>
      <c r="G3" s="74" t="s">
        <v>907</v>
      </c>
      <c r="H3" s="74" t="s">
        <v>908</v>
      </c>
      <c r="I3" s="74" t="s">
        <v>909</v>
      </c>
      <c r="J3" s="74" t="s">
        <v>910</v>
      </c>
      <c r="K3" s="74" t="s">
        <v>911</v>
      </c>
      <c r="L3" s="74" t="s">
        <v>912</v>
      </c>
      <c r="M3" s="74" t="s">
        <v>913</v>
      </c>
      <c r="N3" s="74" t="s">
        <v>862</v>
      </c>
    </row>
    <row r="4" spans="1:14" ht="13.5" thickBot="1" x14ac:dyDescent="0.25">
      <c r="A4" s="2" t="s">
        <v>132</v>
      </c>
      <c r="B4" s="72" t="s">
        <v>39</v>
      </c>
      <c r="C4" s="2" t="s">
        <v>19</v>
      </c>
      <c r="D4" s="4">
        <v>6</v>
      </c>
      <c r="E4" s="4">
        <v>14</v>
      </c>
      <c r="F4" s="78" t="s">
        <v>872</v>
      </c>
      <c r="G4" s="2" t="s">
        <v>921</v>
      </c>
      <c r="H4" s="78" t="s">
        <v>872</v>
      </c>
      <c r="I4" s="2" t="s">
        <v>921</v>
      </c>
      <c r="J4" s="2" t="s">
        <v>872</v>
      </c>
      <c r="K4" s="2" t="s">
        <v>872</v>
      </c>
      <c r="L4" s="2" t="s">
        <v>873</v>
      </c>
      <c r="M4" s="2" t="s">
        <v>873</v>
      </c>
      <c r="N4" s="2" t="s">
        <v>872</v>
      </c>
    </row>
    <row r="5" spans="1:14" ht="13.5" thickBot="1" x14ac:dyDescent="0.25">
      <c r="A5" s="2" t="s">
        <v>172</v>
      </c>
      <c r="B5" s="72" t="s">
        <v>63</v>
      </c>
      <c r="C5" s="2" t="s">
        <v>19</v>
      </c>
      <c r="D5" s="4">
        <v>2</v>
      </c>
      <c r="E5" s="4">
        <v>12</v>
      </c>
      <c r="F5" s="78" t="s">
        <v>872</v>
      </c>
      <c r="G5" s="2" t="s">
        <v>933</v>
      </c>
      <c r="H5" s="78" t="s">
        <v>872</v>
      </c>
      <c r="I5" s="2" t="s">
        <v>934</v>
      </c>
      <c r="J5" s="2" t="s">
        <v>872</v>
      </c>
      <c r="K5" s="2" t="s">
        <v>872</v>
      </c>
      <c r="L5" s="2" t="s">
        <v>873</v>
      </c>
      <c r="M5" s="2" t="s">
        <v>873</v>
      </c>
      <c r="N5" s="2" t="s">
        <v>872</v>
      </c>
    </row>
    <row r="6" spans="1:14" ht="13.5" thickBot="1" x14ac:dyDescent="0.25">
      <c r="A6" s="2" t="s">
        <v>267</v>
      </c>
      <c r="B6" s="72" t="s">
        <v>87</v>
      </c>
      <c r="C6" s="2" t="s">
        <v>19</v>
      </c>
      <c r="D6" s="4">
        <v>3</v>
      </c>
      <c r="E6" s="4">
        <v>5</v>
      </c>
      <c r="F6" s="78" t="s">
        <v>872</v>
      </c>
      <c r="G6" s="2" t="s">
        <v>944</v>
      </c>
      <c r="H6" s="78" t="s">
        <v>872</v>
      </c>
      <c r="I6" s="2" t="s">
        <v>945</v>
      </c>
      <c r="J6" s="2" t="s">
        <v>873</v>
      </c>
      <c r="K6" s="2" t="s">
        <v>872</v>
      </c>
      <c r="L6" s="2" t="s">
        <v>873</v>
      </c>
      <c r="M6" s="2" t="s">
        <v>873</v>
      </c>
      <c r="N6" s="2" t="s">
        <v>872</v>
      </c>
    </row>
    <row r="7" spans="1:14" ht="13.5" thickBot="1" x14ac:dyDescent="0.25">
      <c r="A7" s="2" t="s">
        <v>449</v>
      </c>
      <c r="B7" s="72" t="s">
        <v>89</v>
      </c>
      <c r="C7" s="2" t="s">
        <v>19</v>
      </c>
      <c r="D7" s="4">
        <v>4</v>
      </c>
      <c r="E7" s="4">
        <v>8</v>
      </c>
      <c r="F7" s="78" t="s">
        <v>872</v>
      </c>
      <c r="G7" s="2" t="s">
        <v>946</v>
      </c>
      <c r="H7" s="78" t="s">
        <v>872</v>
      </c>
      <c r="I7" s="2" t="s">
        <v>947</v>
      </c>
      <c r="J7" s="2" t="s">
        <v>873</v>
      </c>
      <c r="K7" s="2" t="s">
        <v>872</v>
      </c>
      <c r="L7" s="2" t="s">
        <v>873</v>
      </c>
      <c r="M7" s="2" t="s">
        <v>873</v>
      </c>
      <c r="N7" s="2" t="s">
        <v>872</v>
      </c>
    </row>
    <row r="8" spans="1:14" ht="13.5" thickBot="1" x14ac:dyDescent="0.25">
      <c r="A8" s="2" t="s">
        <v>564</v>
      </c>
      <c r="B8" s="72" t="s">
        <v>93</v>
      </c>
      <c r="C8" s="2" t="s">
        <v>19</v>
      </c>
      <c r="D8" s="4">
        <v>1</v>
      </c>
      <c r="E8" s="4">
        <v>5</v>
      </c>
      <c r="F8" s="78" t="s">
        <v>872</v>
      </c>
      <c r="G8" s="2" t="s">
        <v>939</v>
      </c>
      <c r="H8" s="78" t="s">
        <v>872</v>
      </c>
      <c r="I8" s="2" t="s">
        <v>939</v>
      </c>
      <c r="J8" s="2" t="s">
        <v>872</v>
      </c>
      <c r="K8" s="2" t="s">
        <v>872</v>
      </c>
      <c r="L8" s="2" t="s">
        <v>873</v>
      </c>
      <c r="M8" s="2" t="s">
        <v>872</v>
      </c>
      <c r="N8" s="2" t="s">
        <v>872</v>
      </c>
    </row>
    <row r="9" spans="1:14" ht="13.5" thickBot="1" x14ac:dyDescent="0.25">
      <c r="A9" s="2" t="s">
        <v>642</v>
      </c>
      <c r="B9" s="72" t="s">
        <v>97</v>
      </c>
      <c r="C9" s="2" t="s">
        <v>19</v>
      </c>
      <c r="D9" s="4">
        <v>7</v>
      </c>
      <c r="E9" s="4">
        <v>11</v>
      </c>
      <c r="F9" s="78" t="s">
        <v>872</v>
      </c>
      <c r="G9" s="2" t="s">
        <v>939</v>
      </c>
      <c r="H9" s="78" t="s">
        <v>872</v>
      </c>
      <c r="I9" s="2" t="s">
        <v>939</v>
      </c>
      <c r="J9" s="2" t="s">
        <v>872</v>
      </c>
      <c r="K9" s="2" t="s">
        <v>872</v>
      </c>
      <c r="L9" s="2" t="s">
        <v>873</v>
      </c>
      <c r="M9" s="2" t="s">
        <v>873</v>
      </c>
      <c r="N9" s="2" t="s">
        <v>872</v>
      </c>
    </row>
    <row r="10" spans="1:14" ht="13.5" thickBot="1" x14ac:dyDescent="0.25">
      <c r="A10" s="2" t="s">
        <v>652</v>
      </c>
      <c r="B10" s="72" t="s">
        <v>99</v>
      </c>
      <c r="C10" s="2" t="s">
        <v>19</v>
      </c>
      <c r="D10" s="4">
        <v>3</v>
      </c>
      <c r="E10" s="4">
        <v>7</v>
      </c>
      <c r="F10" s="78" t="s">
        <v>872</v>
      </c>
      <c r="G10" s="2" t="s">
        <v>949</v>
      </c>
      <c r="H10" s="78" t="s">
        <v>872</v>
      </c>
      <c r="I10" s="2" t="s">
        <v>949</v>
      </c>
      <c r="J10" s="2" t="s">
        <v>872</v>
      </c>
      <c r="K10" s="2" t="s">
        <v>872</v>
      </c>
      <c r="L10" s="2" t="s">
        <v>873</v>
      </c>
      <c r="M10" s="2" t="s">
        <v>873</v>
      </c>
      <c r="N10" s="2" t="s">
        <v>872</v>
      </c>
    </row>
    <row r="11" spans="1:14" ht="13.5" thickBot="1" x14ac:dyDescent="0.25">
      <c r="A11" s="2" t="s">
        <v>803</v>
      </c>
      <c r="B11" s="72" t="s">
        <v>107</v>
      </c>
      <c r="C11" s="2" t="s">
        <v>19</v>
      </c>
      <c r="D11" s="4">
        <v>2</v>
      </c>
      <c r="E11" s="4">
        <v>7</v>
      </c>
      <c r="F11" s="78" t="s">
        <v>872</v>
      </c>
      <c r="G11" s="2" t="s">
        <v>951</v>
      </c>
      <c r="H11" s="78" t="s">
        <v>872</v>
      </c>
      <c r="I11" s="2" t="s">
        <v>951</v>
      </c>
      <c r="J11" s="2" t="s">
        <v>872</v>
      </c>
      <c r="K11" s="2" t="s">
        <v>872</v>
      </c>
      <c r="L11" s="2" t="s">
        <v>873</v>
      </c>
      <c r="M11" s="2" t="s">
        <v>873</v>
      </c>
      <c r="N11" s="2" t="s">
        <v>872</v>
      </c>
    </row>
    <row r="12" spans="1:14" ht="13.5" thickBot="1" x14ac:dyDescent="0.25">
      <c r="A12" s="2" t="s">
        <v>809</v>
      </c>
      <c r="B12" s="72" t="s">
        <v>137</v>
      </c>
      <c r="C12" s="2" t="s">
        <v>19</v>
      </c>
      <c r="D12" s="4">
        <v>2</v>
      </c>
      <c r="E12" s="4">
        <v>5</v>
      </c>
      <c r="F12" s="78" t="s">
        <v>872</v>
      </c>
      <c r="G12" s="2" t="s">
        <v>962</v>
      </c>
      <c r="H12" s="78" t="s">
        <v>872</v>
      </c>
      <c r="I12" s="2" t="s">
        <v>962</v>
      </c>
      <c r="J12" s="2" t="s">
        <v>872</v>
      </c>
      <c r="K12" s="2" t="s">
        <v>873</v>
      </c>
      <c r="L12" s="2" t="s">
        <v>873</v>
      </c>
      <c r="M12" s="2" t="s">
        <v>873</v>
      </c>
      <c r="N12" s="2" t="s">
        <v>872</v>
      </c>
    </row>
    <row r="13" spans="1:14" ht="13.5" thickBot="1" x14ac:dyDescent="0.25">
      <c r="A13" s="2" t="s">
        <v>821</v>
      </c>
      <c r="B13" s="72" t="s">
        <v>153</v>
      </c>
      <c r="C13" s="2" t="s">
        <v>19</v>
      </c>
      <c r="D13" s="4">
        <v>1</v>
      </c>
      <c r="E13" s="4">
        <v>8</v>
      </c>
      <c r="F13" s="78" t="s">
        <v>872</v>
      </c>
      <c r="G13" s="2" t="s">
        <v>958</v>
      </c>
      <c r="H13" s="78" t="s">
        <v>872</v>
      </c>
      <c r="I13" s="2" t="s">
        <v>936</v>
      </c>
      <c r="J13" s="2" t="s">
        <v>873</v>
      </c>
      <c r="K13" s="2" t="s">
        <v>872</v>
      </c>
      <c r="L13" s="2" t="s">
        <v>873</v>
      </c>
      <c r="M13" s="2" t="s">
        <v>872</v>
      </c>
      <c r="N13" s="2" t="s">
        <v>872</v>
      </c>
    </row>
    <row r="14" spans="1:14" ht="13.5" thickBot="1" x14ac:dyDescent="0.25">
      <c r="A14" s="2" t="s">
        <v>21</v>
      </c>
      <c r="B14" s="72" t="s">
        <v>163</v>
      </c>
      <c r="C14" s="2" t="s">
        <v>19</v>
      </c>
      <c r="D14" s="4">
        <v>4</v>
      </c>
      <c r="E14" s="4">
        <v>11</v>
      </c>
      <c r="F14" s="2" t="s">
        <v>872</v>
      </c>
      <c r="G14" s="2" t="s">
        <v>967</v>
      </c>
      <c r="H14" s="2" t="s">
        <v>872</v>
      </c>
      <c r="I14" s="2" t="s">
        <v>968</v>
      </c>
      <c r="J14" s="2" t="s">
        <v>872</v>
      </c>
      <c r="K14" s="2" t="s">
        <v>872</v>
      </c>
      <c r="L14" s="2" t="s">
        <v>873</v>
      </c>
      <c r="M14" s="2" t="s">
        <v>873</v>
      </c>
      <c r="N14" s="2" t="s">
        <v>872</v>
      </c>
    </row>
    <row r="15" spans="1:14" ht="13.5" thickBot="1" x14ac:dyDescent="0.25">
      <c r="A15" s="2" t="s">
        <v>26</v>
      </c>
      <c r="B15" s="72" t="s">
        <v>171</v>
      </c>
      <c r="C15" s="2" t="s">
        <v>19</v>
      </c>
      <c r="D15" s="4">
        <v>1</v>
      </c>
      <c r="E15" s="4">
        <v>9</v>
      </c>
      <c r="F15" s="135" t="s">
        <v>873</v>
      </c>
      <c r="G15" s="2" t="s">
        <v>16</v>
      </c>
      <c r="H15" s="135" t="s">
        <v>873</v>
      </c>
      <c r="I15" s="2" t="s">
        <v>16</v>
      </c>
      <c r="J15" s="2" t="s">
        <v>873</v>
      </c>
      <c r="K15" s="2" t="s">
        <v>873</v>
      </c>
      <c r="L15" s="2" t="s">
        <v>873</v>
      </c>
      <c r="M15" s="2" t="s">
        <v>873</v>
      </c>
      <c r="N15" s="2" t="s">
        <v>872</v>
      </c>
    </row>
    <row r="16" spans="1:14" ht="13.5" thickBot="1" x14ac:dyDescent="0.25">
      <c r="A16" s="2" t="s">
        <v>31</v>
      </c>
      <c r="B16" s="72" t="s">
        <v>183</v>
      </c>
      <c r="C16" s="2" t="s">
        <v>19</v>
      </c>
      <c r="D16" s="4">
        <v>5</v>
      </c>
      <c r="E16" s="4">
        <v>11</v>
      </c>
      <c r="F16" s="2" t="s">
        <v>872</v>
      </c>
      <c r="G16" s="2" t="s">
        <v>972</v>
      </c>
      <c r="H16" s="2" t="s">
        <v>872</v>
      </c>
      <c r="I16" s="2" t="s">
        <v>972</v>
      </c>
      <c r="J16" s="2" t="s">
        <v>872</v>
      </c>
      <c r="K16" s="2" t="s">
        <v>872</v>
      </c>
      <c r="L16" s="2" t="s">
        <v>873</v>
      </c>
      <c r="M16" s="2" t="s">
        <v>873</v>
      </c>
      <c r="N16" s="2" t="s">
        <v>872</v>
      </c>
    </row>
    <row r="17" spans="1:14" ht="13.5" thickBot="1" x14ac:dyDescent="0.25">
      <c r="A17" s="2" t="s">
        <v>34</v>
      </c>
      <c r="B17" s="72" t="s">
        <v>191</v>
      </c>
      <c r="C17" s="2" t="s">
        <v>19</v>
      </c>
      <c r="D17" s="4">
        <v>3</v>
      </c>
      <c r="E17" s="4">
        <v>8</v>
      </c>
      <c r="F17" s="2" t="s">
        <v>872</v>
      </c>
      <c r="G17" s="2" t="s">
        <v>976</v>
      </c>
      <c r="H17" s="2" t="s">
        <v>872</v>
      </c>
      <c r="I17" s="2" t="s">
        <v>976</v>
      </c>
      <c r="J17" s="2" t="s">
        <v>872</v>
      </c>
      <c r="K17" s="2" t="s">
        <v>872</v>
      </c>
      <c r="L17" s="2" t="s">
        <v>873</v>
      </c>
      <c r="M17" s="2" t="s">
        <v>873</v>
      </c>
      <c r="N17" s="2" t="s">
        <v>872</v>
      </c>
    </row>
    <row r="18" spans="1:14" ht="13.5" thickBot="1" x14ac:dyDescent="0.25">
      <c r="A18" s="2" t="s">
        <v>36</v>
      </c>
      <c r="B18" s="72" t="s">
        <v>193</v>
      </c>
      <c r="C18" s="2" t="s">
        <v>19</v>
      </c>
      <c r="D18" s="4">
        <v>3</v>
      </c>
      <c r="E18" s="4">
        <v>11</v>
      </c>
      <c r="F18" s="2" t="s">
        <v>872</v>
      </c>
      <c r="G18" s="2" t="s">
        <v>937</v>
      </c>
      <c r="H18" s="2" t="s">
        <v>872</v>
      </c>
      <c r="I18" s="2" t="s">
        <v>937</v>
      </c>
      <c r="J18" s="2" t="s">
        <v>872</v>
      </c>
      <c r="K18" s="2" t="s">
        <v>872</v>
      </c>
      <c r="L18" s="2" t="s">
        <v>873</v>
      </c>
      <c r="M18" s="2" t="s">
        <v>873</v>
      </c>
      <c r="N18" s="2" t="s">
        <v>872</v>
      </c>
    </row>
    <row r="19" spans="1:14" ht="13.5" thickBot="1" x14ac:dyDescent="0.25">
      <c r="A19" s="2" t="s">
        <v>38</v>
      </c>
      <c r="B19" s="72" t="s">
        <v>209</v>
      </c>
      <c r="C19" s="2" t="s">
        <v>19</v>
      </c>
      <c r="D19" s="4">
        <v>4</v>
      </c>
      <c r="E19" s="4">
        <v>10</v>
      </c>
      <c r="F19" s="2" t="s">
        <v>872</v>
      </c>
      <c r="G19" s="2" t="s">
        <v>982</v>
      </c>
      <c r="H19" s="2" t="s">
        <v>872</v>
      </c>
      <c r="I19" s="2" t="s">
        <v>982</v>
      </c>
      <c r="J19" s="2" t="s">
        <v>872</v>
      </c>
      <c r="K19" s="2" t="s">
        <v>872</v>
      </c>
      <c r="L19" s="2" t="s">
        <v>873</v>
      </c>
      <c r="M19" s="2" t="s">
        <v>872</v>
      </c>
      <c r="N19" s="2" t="s">
        <v>872</v>
      </c>
    </row>
    <row r="20" spans="1:14" ht="13.5" thickBot="1" x14ac:dyDescent="0.25">
      <c r="A20" s="2" t="s">
        <v>40</v>
      </c>
      <c r="B20" s="72" t="s">
        <v>211</v>
      </c>
      <c r="C20" s="2" t="s">
        <v>19</v>
      </c>
      <c r="D20" s="4">
        <v>5</v>
      </c>
      <c r="E20" s="4">
        <v>9</v>
      </c>
      <c r="F20" s="2" t="s">
        <v>872</v>
      </c>
      <c r="G20" s="2" t="s">
        <v>928</v>
      </c>
      <c r="H20" s="2" t="s">
        <v>872</v>
      </c>
      <c r="I20" s="2" t="s">
        <v>928</v>
      </c>
      <c r="J20" s="2" t="s">
        <v>872</v>
      </c>
      <c r="K20" s="2" t="s">
        <v>872</v>
      </c>
      <c r="L20" s="2" t="s">
        <v>873</v>
      </c>
      <c r="M20" s="2" t="s">
        <v>872</v>
      </c>
      <c r="N20" s="2" t="s">
        <v>872</v>
      </c>
    </row>
    <row r="21" spans="1:14" ht="13.5" thickBot="1" x14ac:dyDescent="0.25">
      <c r="A21" s="2" t="s">
        <v>42</v>
      </c>
      <c r="B21" s="72" t="s">
        <v>213</v>
      </c>
      <c r="C21" s="2" t="s">
        <v>19</v>
      </c>
      <c r="D21" s="4">
        <v>4</v>
      </c>
      <c r="E21" s="4">
        <v>17</v>
      </c>
      <c r="F21" s="2" t="s">
        <v>872</v>
      </c>
      <c r="G21" s="2" t="s">
        <v>940</v>
      </c>
      <c r="H21" s="2" t="s">
        <v>872</v>
      </c>
      <c r="I21" s="2" t="s">
        <v>940</v>
      </c>
      <c r="J21" s="2" t="s">
        <v>873</v>
      </c>
      <c r="K21" s="2" t="s">
        <v>872</v>
      </c>
      <c r="L21" s="2" t="s">
        <v>873</v>
      </c>
      <c r="M21" s="2" t="s">
        <v>872</v>
      </c>
      <c r="N21" s="2" t="s">
        <v>872</v>
      </c>
    </row>
    <row r="22" spans="1:14" ht="13.5" thickBot="1" x14ac:dyDescent="0.25">
      <c r="A22" s="2" t="s">
        <v>44</v>
      </c>
      <c r="B22" s="72" t="s">
        <v>215</v>
      </c>
      <c r="C22" s="2" t="s">
        <v>19</v>
      </c>
      <c r="D22" s="4">
        <v>3</v>
      </c>
      <c r="E22" s="4">
        <v>8</v>
      </c>
      <c r="F22" s="2" t="s">
        <v>872</v>
      </c>
      <c r="G22" s="2" t="s">
        <v>940</v>
      </c>
      <c r="H22" s="2" t="s">
        <v>872</v>
      </c>
      <c r="I22" s="2" t="s">
        <v>940</v>
      </c>
      <c r="J22" s="2" t="s">
        <v>872</v>
      </c>
      <c r="K22" s="2" t="s">
        <v>872</v>
      </c>
      <c r="L22" s="2" t="s">
        <v>873</v>
      </c>
      <c r="M22" s="2" t="s">
        <v>872</v>
      </c>
      <c r="N22" s="2" t="s">
        <v>872</v>
      </c>
    </row>
    <row r="23" spans="1:14" ht="13.5" thickBot="1" x14ac:dyDescent="0.25">
      <c r="A23" s="2" t="s">
        <v>47</v>
      </c>
      <c r="B23" s="72" t="s">
        <v>218</v>
      </c>
      <c r="C23" s="2" t="s">
        <v>19</v>
      </c>
      <c r="D23" s="4">
        <v>6</v>
      </c>
      <c r="E23" s="4">
        <v>7</v>
      </c>
      <c r="F23" s="2" t="s">
        <v>872</v>
      </c>
      <c r="G23" s="2" t="s">
        <v>941</v>
      </c>
      <c r="H23" s="2" t="s">
        <v>872</v>
      </c>
      <c r="I23" s="2" t="s">
        <v>930</v>
      </c>
      <c r="J23" s="2" t="s">
        <v>872</v>
      </c>
      <c r="K23" s="2" t="s">
        <v>872</v>
      </c>
      <c r="L23" s="2" t="s">
        <v>873</v>
      </c>
      <c r="M23" s="2" t="s">
        <v>872</v>
      </c>
      <c r="N23" s="2" t="s">
        <v>872</v>
      </c>
    </row>
    <row r="24" spans="1:14" ht="13.5" thickBot="1" x14ac:dyDescent="0.25">
      <c r="A24" s="2" t="s">
        <v>49</v>
      </c>
      <c r="B24" s="72" t="s">
        <v>230</v>
      </c>
      <c r="C24" s="2" t="s">
        <v>19</v>
      </c>
      <c r="D24" s="4">
        <v>1</v>
      </c>
      <c r="E24" s="4">
        <v>8</v>
      </c>
      <c r="F24" s="2" t="s">
        <v>872</v>
      </c>
      <c r="G24" s="2" t="s">
        <v>927</v>
      </c>
      <c r="H24" s="2" t="s">
        <v>872</v>
      </c>
      <c r="I24" s="2" t="s">
        <v>927</v>
      </c>
      <c r="J24" s="2" t="s">
        <v>873</v>
      </c>
      <c r="K24" s="2" t="s">
        <v>872</v>
      </c>
      <c r="L24" s="2" t="s">
        <v>873</v>
      </c>
      <c r="M24" s="2" t="s">
        <v>872</v>
      </c>
      <c r="N24" s="2" t="s">
        <v>872</v>
      </c>
    </row>
    <row r="25" spans="1:14" ht="13.5" thickBot="1" x14ac:dyDescent="0.25">
      <c r="A25" s="2" t="s">
        <v>51</v>
      </c>
      <c r="B25" s="72" t="s">
        <v>266</v>
      </c>
      <c r="C25" s="2" t="s">
        <v>19</v>
      </c>
      <c r="D25" s="4">
        <v>1</v>
      </c>
      <c r="E25" s="4">
        <v>3</v>
      </c>
      <c r="F25" s="135" t="s">
        <v>873</v>
      </c>
      <c r="G25" s="2" t="s">
        <v>16</v>
      </c>
      <c r="H25" s="135" t="s">
        <v>873</v>
      </c>
      <c r="I25" s="2" t="s">
        <v>16</v>
      </c>
      <c r="J25" s="2" t="s">
        <v>872</v>
      </c>
      <c r="K25" s="2" t="s">
        <v>873</v>
      </c>
      <c r="L25" s="2" t="s">
        <v>873</v>
      </c>
      <c r="M25" s="2" t="s">
        <v>873</v>
      </c>
      <c r="N25" s="2" t="s">
        <v>872</v>
      </c>
    </row>
    <row r="26" spans="1:14" ht="13.5" thickBot="1" x14ac:dyDescent="0.25">
      <c r="A26" s="2" t="s">
        <v>55</v>
      </c>
      <c r="B26" s="72" t="s">
        <v>268</v>
      </c>
      <c r="C26" s="2" t="s">
        <v>19</v>
      </c>
      <c r="D26" s="4">
        <v>4</v>
      </c>
      <c r="E26" s="4">
        <v>5</v>
      </c>
      <c r="F26" s="2" t="s">
        <v>872</v>
      </c>
      <c r="G26" s="2" t="s">
        <v>960</v>
      </c>
      <c r="H26" s="2" t="s">
        <v>872</v>
      </c>
      <c r="I26" s="2" t="s">
        <v>960</v>
      </c>
      <c r="J26" s="2" t="s">
        <v>872</v>
      </c>
      <c r="K26" s="2" t="s">
        <v>872</v>
      </c>
      <c r="L26" s="2" t="s">
        <v>873</v>
      </c>
      <c r="M26" s="2" t="s">
        <v>872</v>
      </c>
      <c r="N26" s="2" t="s">
        <v>872</v>
      </c>
    </row>
    <row r="27" spans="1:14" ht="13.5" thickBot="1" x14ac:dyDescent="0.25">
      <c r="A27" s="2" t="s">
        <v>57</v>
      </c>
      <c r="B27" s="72" t="s">
        <v>274</v>
      </c>
      <c r="C27" s="2" t="s">
        <v>19</v>
      </c>
      <c r="D27" s="4">
        <v>3</v>
      </c>
      <c r="E27" s="4">
        <v>9</v>
      </c>
      <c r="F27" s="2" t="s">
        <v>872</v>
      </c>
      <c r="G27" s="2" t="s">
        <v>985</v>
      </c>
      <c r="H27" s="2" t="s">
        <v>872</v>
      </c>
      <c r="I27" s="2" t="s">
        <v>985</v>
      </c>
      <c r="J27" s="2" t="s">
        <v>873</v>
      </c>
      <c r="K27" s="2" t="s">
        <v>873</v>
      </c>
      <c r="L27" s="2" t="s">
        <v>873</v>
      </c>
      <c r="M27" s="2" t="s">
        <v>873</v>
      </c>
      <c r="N27" s="2" t="s">
        <v>872</v>
      </c>
    </row>
    <row r="28" spans="1:14" ht="13.5" thickBot="1" x14ac:dyDescent="0.25">
      <c r="A28" s="2" t="s">
        <v>59</v>
      </c>
      <c r="B28" s="72" t="s">
        <v>282</v>
      </c>
      <c r="C28" s="2" t="s">
        <v>19</v>
      </c>
      <c r="D28" s="4">
        <v>5</v>
      </c>
      <c r="E28" s="4">
        <v>8</v>
      </c>
      <c r="F28" s="2" t="s">
        <v>872</v>
      </c>
      <c r="G28" s="2" t="s">
        <v>999</v>
      </c>
      <c r="H28" s="2" t="s">
        <v>872</v>
      </c>
      <c r="I28" s="2" t="s">
        <v>930</v>
      </c>
      <c r="J28" s="2" t="s">
        <v>872</v>
      </c>
      <c r="K28" s="2" t="s">
        <v>872</v>
      </c>
      <c r="L28" s="2" t="s">
        <v>873</v>
      </c>
      <c r="M28" s="2" t="s">
        <v>872</v>
      </c>
      <c r="N28" s="2" t="s">
        <v>872</v>
      </c>
    </row>
    <row r="29" spans="1:14" ht="13.5" thickBot="1" x14ac:dyDescent="0.25">
      <c r="A29" s="2" t="s">
        <v>62</v>
      </c>
      <c r="B29" s="72" t="s">
        <v>298</v>
      </c>
      <c r="C29" s="2" t="s">
        <v>19</v>
      </c>
      <c r="D29" s="4">
        <v>3</v>
      </c>
      <c r="E29" s="4">
        <v>4</v>
      </c>
      <c r="F29" s="2" t="s">
        <v>872</v>
      </c>
      <c r="G29" s="2" t="s">
        <v>1005</v>
      </c>
      <c r="H29" s="2" t="s">
        <v>872</v>
      </c>
      <c r="I29" s="2" t="s">
        <v>914</v>
      </c>
      <c r="J29" s="2" t="s">
        <v>872</v>
      </c>
      <c r="K29" s="2" t="s">
        <v>872</v>
      </c>
      <c r="L29" s="2" t="s">
        <v>873</v>
      </c>
      <c r="M29" s="2" t="s">
        <v>872</v>
      </c>
      <c r="N29" s="2" t="s">
        <v>872</v>
      </c>
    </row>
    <row r="30" spans="1:14" ht="13.5" thickBot="1" x14ac:dyDescent="0.25">
      <c r="A30" s="2" t="s">
        <v>64</v>
      </c>
      <c r="B30" s="72" t="s">
        <v>310</v>
      </c>
      <c r="C30" s="2" t="s">
        <v>19</v>
      </c>
      <c r="D30" s="4">
        <v>2</v>
      </c>
      <c r="E30" s="4">
        <v>10</v>
      </c>
      <c r="F30" s="2" t="s">
        <v>872</v>
      </c>
      <c r="G30" s="2" t="s">
        <v>1010</v>
      </c>
      <c r="H30" s="2" t="s">
        <v>872</v>
      </c>
      <c r="I30" s="2" t="s">
        <v>1010</v>
      </c>
      <c r="J30" s="2" t="s">
        <v>872</v>
      </c>
      <c r="K30" s="2" t="s">
        <v>872</v>
      </c>
      <c r="L30" s="2" t="s">
        <v>873</v>
      </c>
      <c r="M30" s="2" t="s">
        <v>873</v>
      </c>
      <c r="N30" s="2" t="s">
        <v>872</v>
      </c>
    </row>
    <row r="31" spans="1:14" ht="13.5" thickBot="1" x14ac:dyDescent="0.25">
      <c r="A31" s="2" t="s">
        <v>66</v>
      </c>
      <c r="B31" s="72" t="s">
        <v>318</v>
      </c>
      <c r="C31" s="2" t="s">
        <v>19</v>
      </c>
      <c r="D31" s="4">
        <v>1</v>
      </c>
      <c r="E31" s="4">
        <v>1</v>
      </c>
      <c r="F31" s="2" t="s">
        <v>872</v>
      </c>
      <c r="G31" s="2" t="s">
        <v>1012</v>
      </c>
      <c r="H31" s="2" t="s">
        <v>872</v>
      </c>
      <c r="I31" s="2" t="s">
        <v>1012</v>
      </c>
      <c r="J31" s="2" t="s">
        <v>872</v>
      </c>
      <c r="K31" s="2" t="s">
        <v>873</v>
      </c>
      <c r="L31" s="2" t="s">
        <v>873</v>
      </c>
      <c r="M31" s="2" t="s">
        <v>873</v>
      </c>
      <c r="N31" s="2" t="s">
        <v>872</v>
      </c>
    </row>
    <row r="32" spans="1:14" ht="13.5" thickBot="1" x14ac:dyDescent="0.25">
      <c r="A32" s="2" t="s">
        <v>70</v>
      </c>
      <c r="B32" s="72" t="s">
        <v>326</v>
      </c>
      <c r="C32" s="2" t="s">
        <v>19</v>
      </c>
      <c r="D32" s="4">
        <v>3</v>
      </c>
      <c r="E32" s="4">
        <v>8</v>
      </c>
      <c r="F32" s="2" t="s">
        <v>872</v>
      </c>
      <c r="G32" s="2" t="s">
        <v>947</v>
      </c>
      <c r="H32" s="2" t="s">
        <v>872</v>
      </c>
      <c r="I32" s="2" t="s">
        <v>947</v>
      </c>
      <c r="J32" s="2" t="s">
        <v>872</v>
      </c>
      <c r="K32" s="2" t="s">
        <v>872</v>
      </c>
      <c r="L32" s="2" t="s">
        <v>873</v>
      </c>
      <c r="M32" s="2" t="s">
        <v>873</v>
      </c>
      <c r="N32" s="2" t="s">
        <v>872</v>
      </c>
    </row>
    <row r="33" spans="1:14" ht="13.5" thickBot="1" x14ac:dyDescent="0.25">
      <c r="A33" s="2" t="s">
        <v>74</v>
      </c>
      <c r="B33" s="72" t="s">
        <v>328</v>
      </c>
      <c r="C33" s="2" t="s">
        <v>19</v>
      </c>
      <c r="D33" s="4">
        <v>1</v>
      </c>
      <c r="E33" s="4">
        <v>2</v>
      </c>
      <c r="F33" s="2" t="s">
        <v>872</v>
      </c>
      <c r="G33" s="2" t="s">
        <v>1014</v>
      </c>
      <c r="H33" s="2" t="s">
        <v>872</v>
      </c>
      <c r="I33" s="2" t="s">
        <v>1015</v>
      </c>
      <c r="J33" s="2" t="s">
        <v>873</v>
      </c>
      <c r="K33" s="2" t="s">
        <v>872</v>
      </c>
      <c r="L33" s="2" t="s">
        <v>873</v>
      </c>
      <c r="M33" s="2" t="s">
        <v>873</v>
      </c>
      <c r="N33" s="2" t="s">
        <v>872</v>
      </c>
    </row>
    <row r="34" spans="1:14" ht="13.5" thickBot="1" x14ac:dyDescent="0.25">
      <c r="A34" s="2" t="s">
        <v>76</v>
      </c>
      <c r="B34" s="72" t="s">
        <v>378</v>
      </c>
      <c r="C34" s="2" t="s">
        <v>19</v>
      </c>
      <c r="D34" s="4">
        <v>5</v>
      </c>
      <c r="E34" s="4">
        <v>13</v>
      </c>
      <c r="F34" s="2" t="s">
        <v>872</v>
      </c>
      <c r="G34" s="2" t="s">
        <v>933</v>
      </c>
      <c r="H34" s="2" t="s">
        <v>872</v>
      </c>
      <c r="I34" s="2" t="s">
        <v>933</v>
      </c>
      <c r="J34" s="2" t="s">
        <v>872</v>
      </c>
      <c r="K34" s="2" t="s">
        <v>872</v>
      </c>
      <c r="L34" s="2" t="s">
        <v>873</v>
      </c>
      <c r="M34" s="2" t="s">
        <v>873</v>
      </c>
      <c r="N34" s="2" t="s">
        <v>872</v>
      </c>
    </row>
    <row r="35" spans="1:14" ht="13.5" thickBot="1" x14ac:dyDescent="0.25">
      <c r="A35" s="2" t="s">
        <v>78</v>
      </c>
      <c r="B35" s="72" t="s">
        <v>394</v>
      </c>
      <c r="C35" s="2" t="s">
        <v>19</v>
      </c>
      <c r="D35" s="4">
        <v>2</v>
      </c>
      <c r="E35" s="4">
        <v>5</v>
      </c>
      <c r="F35" s="2" t="s">
        <v>872</v>
      </c>
      <c r="G35" s="2" t="s">
        <v>1034</v>
      </c>
      <c r="H35" s="2" t="s">
        <v>872</v>
      </c>
      <c r="I35" s="2" t="s">
        <v>1034</v>
      </c>
      <c r="J35" s="2" t="s">
        <v>872</v>
      </c>
      <c r="K35" s="2" t="s">
        <v>872</v>
      </c>
      <c r="L35" s="2" t="s">
        <v>873</v>
      </c>
      <c r="M35" s="2" t="s">
        <v>873</v>
      </c>
      <c r="N35" s="2" t="s">
        <v>872</v>
      </c>
    </row>
    <row r="36" spans="1:14" ht="13.5" thickBot="1" x14ac:dyDescent="0.25">
      <c r="A36" s="2" t="s">
        <v>80</v>
      </c>
      <c r="B36" s="72" t="s">
        <v>426</v>
      </c>
      <c r="C36" s="2" t="s">
        <v>19</v>
      </c>
      <c r="D36" s="4">
        <v>2</v>
      </c>
      <c r="E36" s="4">
        <v>16</v>
      </c>
      <c r="F36" s="2" t="s">
        <v>872</v>
      </c>
      <c r="G36" s="2" t="s">
        <v>940</v>
      </c>
      <c r="H36" s="2" t="s">
        <v>872</v>
      </c>
      <c r="I36" s="2" t="s">
        <v>940</v>
      </c>
      <c r="J36" s="2" t="s">
        <v>872</v>
      </c>
      <c r="K36" s="2" t="s">
        <v>872</v>
      </c>
      <c r="L36" s="2" t="s">
        <v>873</v>
      </c>
      <c r="M36" s="2" t="s">
        <v>872</v>
      </c>
      <c r="N36" s="2" t="s">
        <v>872</v>
      </c>
    </row>
    <row r="37" spans="1:14" ht="13.5" thickBot="1" x14ac:dyDescent="0.25">
      <c r="A37" s="2" t="s">
        <v>82</v>
      </c>
      <c r="B37" s="72" t="s">
        <v>432</v>
      </c>
      <c r="C37" s="2" t="s">
        <v>19</v>
      </c>
      <c r="D37" s="4">
        <v>3</v>
      </c>
      <c r="E37" s="4">
        <v>2</v>
      </c>
      <c r="F37" s="2" t="s">
        <v>872</v>
      </c>
      <c r="G37" s="2" t="s">
        <v>1044</v>
      </c>
      <c r="H37" s="2" t="s">
        <v>872</v>
      </c>
      <c r="I37" s="2" t="s">
        <v>1044</v>
      </c>
      <c r="J37" s="2" t="s">
        <v>873</v>
      </c>
      <c r="K37" s="2" t="s">
        <v>872</v>
      </c>
      <c r="L37" s="2" t="s">
        <v>873</v>
      </c>
      <c r="M37" s="2" t="s">
        <v>873</v>
      </c>
      <c r="N37" s="2" t="s">
        <v>872</v>
      </c>
    </row>
    <row r="38" spans="1:14" ht="13.5" thickBot="1" x14ac:dyDescent="0.25">
      <c r="A38" s="2" t="s">
        <v>84</v>
      </c>
      <c r="B38" s="72" t="s">
        <v>434</v>
      </c>
      <c r="C38" s="2" t="s">
        <v>19</v>
      </c>
      <c r="D38" s="4">
        <v>4</v>
      </c>
      <c r="E38" s="4">
        <v>7</v>
      </c>
      <c r="F38" s="2" t="s">
        <v>872</v>
      </c>
      <c r="G38" s="2" t="s">
        <v>1045</v>
      </c>
      <c r="H38" s="2" t="s">
        <v>872</v>
      </c>
      <c r="I38" s="2" t="s">
        <v>1045</v>
      </c>
      <c r="J38" s="2" t="s">
        <v>872</v>
      </c>
      <c r="K38" s="2" t="s">
        <v>872</v>
      </c>
      <c r="L38" s="2" t="s">
        <v>873</v>
      </c>
      <c r="M38" s="2" t="s">
        <v>873</v>
      </c>
      <c r="N38" s="2" t="s">
        <v>872</v>
      </c>
    </row>
    <row r="39" spans="1:14" ht="13.5" thickBot="1" x14ac:dyDescent="0.25">
      <c r="A39" s="2" t="s">
        <v>86</v>
      </c>
      <c r="B39" s="72" t="s">
        <v>438</v>
      </c>
      <c r="C39" s="2" t="s">
        <v>19</v>
      </c>
      <c r="D39" s="4">
        <v>4</v>
      </c>
      <c r="E39" s="4">
        <v>8</v>
      </c>
      <c r="F39" s="2" t="s">
        <v>872</v>
      </c>
      <c r="G39" s="2" t="s">
        <v>1046</v>
      </c>
      <c r="H39" s="2" t="s">
        <v>872</v>
      </c>
      <c r="I39" s="2" t="s">
        <v>1046</v>
      </c>
      <c r="J39" s="2" t="s">
        <v>872</v>
      </c>
      <c r="K39" s="2" t="s">
        <v>872</v>
      </c>
      <c r="L39" s="2" t="s">
        <v>873</v>
      </c>
      <c r="M39" s="2" t="s">
        <v>873</v>
      </c>
      <c r="N39" s="2" t="s">
        <v>872</v>
      </c>
    </row>
    <row r="40" spans="1:14" ht="13.5" thickBot="1" x14ac:dyDescent="0.25">
      <c r="A40" s="2" t="s">
        <v>88</v>
      </c>
      <c r="B40" s="72" t="s">
        <v>448</v>
      </c>
      <c r="C40" s="2" t="s">
        <v>19</v>
      </c>
      <c r="D40" s="4">
        <v>1</v>
      </c>
      <c r="E40" s="4">
        <v>5</v>
      </c>
      <c r="F40" s="135" t="s">
        <v>873</v>
      </c>
      <c r="G40" s="2" t="s">
        <v>986</v>
      </c>
      <c r="H40" s="135" t="s">
        <v>873</v>
      </c>
      <c r="I40" s="2" t="s">
        <v>986</v>
      </c>
      <c r="J40" s="2" t="s">
        <v>873</v>
      </c>
      <c r="K40" s="2" t="s">
        <v>873</v>
      </c>
      <c r="L40" s="2" t="s">
        <v>873</v>
      </c>
      <c r="M40" s="2" t="s">
        <v>873</v>
      </c>
      <c r="N40" s="2" t="s">
        <v>872</v>
      </c>
    </row>
    <row r="41" spans="1:14" ht="13.5" thickBot="1" x14ac:dyDescent="0.25">
      <c r="A41" s="2" t="s">
        <v>90</v>
      </c>
      <c r="B41" s="72" t="s">
        <v>454</v>
      </c>
      <c r="C41" s="2" t="s">
        <v>19</v>
      </c>
      <c r="D41" s="4">
        <v>3</v>
      </c>
      <c r="E41" s="4">
        <v>5</v>
      </c>
      <c r="F41" s="2" t="s">
        <v>872</v>
      </c>
      <c r="G41" s="2" t="s">
        <v>1010</v>
      </c>
      <c r="H41" s="2" t="s">
        <v>872</v>
      </c>
      <c r="I41" s="2" t="s">
        <v>1010</v>
      </c>
      <c r="J41" s="2" t="s">
        <v>873</v>
      </c>
      <c r="K41" s="2" t="s">
        <v>873</v>
      </c>
      <c r="L41" s="2" t="s">
        <v>873</v>
      </c>
      <c r="M41" s="2" t="s">
        <v>873</v>
      </c>
      <c r="N41" s="2" t="s">
        <v>872</v>
      </c>
    </row>
    <row r="42" spans="1:14" ht="13.5" thickBot="1" x14ac:dyDescent="0.25">
      <c r="A42" s="2" t="s">
        <v>92</v>
      </c>
      <c r="B42" s="72" t="s">
        <v>468</v>
      </c>
      <c r="C42" s="2" t="s">
        <v>19</v>
      </c>
      <c r="D42" s="4">
        <v>4</v>
      </c>
      <c r="E42" s="4">
        <v>5</v>
      </c>
      <c r="F42" s="2" t="s">
        <v>872</v>
      </c>
      <c r="G42" s="2" t="s">
        <v>986</v>
      </c>
      <c r="H42" s="2" t="s">
        <v>872</v>
      </c>
      <c r="I42" s="2" t="s">
        <v>986</v>
      </c>
      <c r="J42" s="2" t="s">
        <v>872</v>
      </c>
      <c r="K42" s="2" t="s">
        <v>872</v>
      </c>
      <c r="L42" s="2" t="s">
        <v>873</v>
      </c>
      <c r="M42" s="2" t="s">
        <v>872</v>
      </c>
      <c r="N42" s="2" t="s">
        <v>872</v>
      </c>
    </row>
    <row r="43" spans="1:14" ht="13.5" thickBot="1" x14ac:dyDescent="0.25">
      <c r="A43" s="2" t="s">
        <v>94</v>
      </c>
      <c r="B43" s="72" t="s">
        <v>475</v>
      </c>
      <c r="C43" s="2" t="s">
        <v>19</v>
      </c>
      <c r="D43" s="4">
        <v>2</v>
      </c>
      <c r="E43" s="4">
        <v>4</v>
      </c>
      <c r="F43" s="2" t="s">
        <v>872</v>
      </c>
      <c r="G43" s="2" t="s">
        <v>918</v>
      </c>
      <c r="H43" s="2" t="s">
        <v>872</v>
      </c>
      <c r="I43" s="2" t="s">
        <v>918</v>
      </c>
      <c r="J43" s="2" t="s">
        <v>873</v>
      </c>
      <c r="K43" s="2" t="s">
        <v>872</v>
      </c>
      <c r="L43" s="2" t="s">
        <v>873</v>
      </c>
      <c r="M43" s="2" t="s">
        <v>872</v>
      </c>
      <c r="N43" s="2" t="s">
        <v>872</v>
      </c>
    </row>
    <row r="44" spans="1:14" ht="13.5" thickBot="1" x14ac:dyDescent="0.25">
      <c r="A44" s="2" t="s">
        <v>96</v>
      </c>
      <c r="B44" s="72" t="s">
        <v>491</v>
      </c>
      <c r="C44" s="2" t="s">
        <v>19</v>
      </c>
      <c r="D44" s="4">
        <v>3</v>
      </c>
      <c r="E44" s="4">
        <v>4</v>
      </c>
      <c r="F44" s="2" t="s">
        <v>872</v>
      </c>
      <c r="G44" s="2" t="s">
        <v>933</v>
      </c>
      <c r="H44" s="2" t="s">
        <v>872</v>
      </c>
      <c r="I44" s="2" t="s">
        <v>933</v>
      </c>
      <c r="J44" s="2" t="s">
        <v>872</v>
      </c>
      <c r="K44" s="2" t="s">
        <v>872</v>
      </c>
      <c r="L44" s="2" t="s">
        <v>873</v>
      </c>
      <c r="M44" s="2" t="s">
        <v>873</v>
      </c>
      <c r="N44" s="2" t="s">
        <v>872</v>
      </c>
    </row>
    <row r="45" spans="1:14" ht="13.5" thickBot="1" x14ac:dyDescent="0.25">
      <c r="A45" s="2" t="s">
        <v>98</v>
      </c>
      <c r="B45" s="72" t="s">
        <v>507</v>
      </c>
      <c r="C45" s="2" t="s">
        <v>19</v>
      </c>
      <c r="D45" s="4">
        <v>2</v>
      </c>
      <c r="E45" s="4">
        <v>3</v>
      </c>
      <c r="F45" s="2" t="s">
        <v>872</v>
      </c>
      <c r="G45" s="2" t="s">
        <v>958</v>
      </c>
      <c r="H45" s="2" t="s">
        <v>872</v>
      </c>
      <c r="I45" s="2" t="s">
        <v>1060</v>
      </c>
      <c r="J45" s="2" t="s">
        <v>873</v>
      </c>
      <c r="K45" s="2" t="s">
        <v>872</v>
      </c>
      <c r="L45" s="2" t="s">
        <v>873</v>
      </c>
      <c r="M45" s="2" t="s">
        <v>872</v>
      </c>
      <c r="N45" s="2" t="s">
        <v>872</v>
      </c>
    </row>
    <row r="46" spans="1:14" ht="13.5" thickBot="1" x14ac:dyDescent="0.25">
      <c r="A46" s="2" t="s">
        <v>100</v>
      </c>
      <c r="B46" s="72" t="s">
        <v>515</v>
      </c>
      <c r="C46" s="2" t="s">
        <v>19</v>
      </c>
      <c r="D46" s="4">
        <v>4</v>
      </c>
      <c r="E46" s="4">
        <v>6</v>
      </c>
      <c r="F46" s="2" t="s">
        <v>872</v>
      </c>
      <c r="G46" s="2" t="s">
        <v>939</v>
      </c>
      <c r="H46" s="2" t="s">
        <v>872</v>
      </c>
      <c r="I46" s="2" t="s">
        <v>1063</v>
      </c>
      <c r="J46" s="2" t="s">
        <v>872</v>
      </c>
      <c r="K46" s="2" t="s">
        <v>872</v>
      </c>
      <c r="L46" s="2" t="s">
        <v>873</v>
      </c>
      <c r="M46" s="2" t="s">
        <v>873</v>
      </c>
      <c r="N46" s="2" t="s">
        <v>872</v>
      </c>
    </row>
    <row r="47" spans="1:14" ht="13.5" thickBot="1" x14ac:dyDescent="0.25">
      <c r="A47" s="2" t="s">
        <v>102</v>
      </c>
      <c r="B47" s="72" t="s">
        <v>535</v>
      </c>
      <c r="C47" s="2" t="s">
        <v>19</v>
      </c>
      <c r="D47" s="4">
        <v>3</v>
      </c>
      <c r="E47" s="4">
        <v>2</v>
      </c>
      <c r="F47" s="2" t="s">
        <v>872</v>
      </c>
      <c r="G47" s="2" t="s">
        <v>1010</v>
      </c>
      <c r="H47" s="2" t="s">
        <v>872</v>
      </c>
      <c r="I47" s="2" t="s">
        <v>1010</v>
      </c>
      <c r="J47" s="2" t="s">
        <v>872</v>
      </c>
      <c r="K47" s="2" t="s">
        <v>872</v>
      </c>
      <c r="L47" s="2" t="s">
        <v>873</v>
      </c>
      <c r="M47" s="2" t="s">
        <v>873</v>
      </c>
      <c r="N47" s="2" t="s">
        <v>872</v>
      </c>
    </row>
    <row r="48" spans="1:14" ht="13.5" thickBot="1" x14ac:dyDescent="0.25">
      <c r="A48" s="2" t="s">
        <v>104</v>
      </c>
      <c r="B48" s="72" t="s">
        <v>551</v>
      </c>
      <c r="C48" s="2" t="s">
        <v>19</v>
      </c>
      <c r="D48" s="4">
        <v>4</v>
      </c>
      <c r="E48" s="4">
        <v>14</v>
      </c>
      <c r="F48" s="2" t="s">
        <v>872</v>
      </c>
      <c r="G48" s="2" t="s">
        <v>958</v>
      </c>
      <c r="H48" s="2" t="s">
        <v>872</v>
      </c>
      <c r="I48" s="2" t="s">
        <v>958</v>
      </c>
      <c r="J48" s="2" t="s">
        <v>872</v>
      </c>
      <c r="K48" s="2" t="s">
        <v>872</v>
      </c>
      <c r="L48" s="2" t="s">
        <v>873</v>
      </c>
      <c r="M48" s="2" t="s">
        <v>873</v>
      </c>
      <c r="N48" s="2" t="s">
        <v>872</v>
      </c>
    </row>
    <row r="49" spans="1:14" ht="13.5" thickBot="1" x14ac:dyDescent="0.25">
      <c r="A49" s="2" t="s">
        <v>106</v>
      </c>
      <c r="B49" s="72" t="s">
        <v>565</v>
      </c>
      <c r="C49" s="2" t="s">
        <v>19</v>
      </c>
      <c r="D49" s="4">
        <v>3</v>
      </c>
      <c r="E49" s="4">
        <v>11</v>
      </c>
      <c r="F49" s="2" t="s">
        <v>872</v>
      </c>
      <c r="G49" s="2" t="s">
        <v>927</v>
      </c>
      <c r="H49" s="2" t="s">
        <v>872</v>
      </c>
      <c r="I49" s="2" t="s">
        <v>927</v>
      </c>
      <c r="J49" s="2" t="s">
        <v>872</v>
      </c>
      <c r="K49" s="2" t="s">
        <v>872</v>
      </c>
      <c r="L49" s="2" t="s">
        <v>873</v>
      </c>
      <c r="M49" s="2" t="s">
        <v>872</v>
      </c>
      <c r="N49" s="2" t="s">
        <v>872</v>
      </c>
    </row>
    <row r="50" spans="1:14" ht="13.5" thickBot="1" x14ac:dyDescent="0.25">
      <c r="A50" s="2" t="s">
        <v>108</v>
      </c>
      <c r="B50" s="72" t="s">
        <v>569</v>
      </c>
      <c r="C50" s="2" t="s">
        <v>19</v>
      </c>
      <c r="D50" s="4">
        <v>1</v>
      </c>
      <c r="E50" s="4">
        <v>5</v>
      </c>
      <c r="F50" s="2" t="s">
        <v>872</v>
      </c>
      <c r="G50" s="2" t="s">
        <v>940</v>
      </c>
      <c r="H50" s="2" t="s">
        <v>872</v>
      </c>
      <c r="I50" s="2" t="s">
        <v>940</v>
      </c>
      <c r="J50" s="2" t="s">
        <v>873</v>
      </c>
      <c r="K50" s="2" t="s">
        <v>872</v>
      </c>
      <c r="L50" s="2" t="s">
        <v>873</v>
      </c>
      <c r="M50" s="2" t="s">
        <v>872</v>
      </c>
      <c r="N50" s="2" t="s">
        <v>872</v>
      </c>
    </row>
    <row r="51" spans="1:14" ht="13.5" thickBot="1" x14ac:dyDescent="0.25">
      <c r="A51" s="2" t="s">
        <v>110</v>
      </c>
      <c r="B51" s="72" t="s">
        <v>591</v>
      </c>
      <c r="C51" s="2" t="s">
        <v>19</v>
      </c>
      <c r="D51" s="4">
        <v>5</v>
      </c>
      <c r="E51" s="4">
        <v>11</v>
      </c>
      <c r="F51" s="2" t="s">
        <v>872</v>
      </c>
      <c r="G51" s="2" t="s">
        <v>949</v>
      </c>
      <c r="H51" s="2" t="s">
        <v>872</v>
      </c>
      <c r="I51" s="2" t="s">
        <v>949</v>
      </c>
      <c r="J51" s="2" t="s">
        <v>872</v>
      </c>
      <c r="K51" s="2" t="s">
        <v>872</v>
      </c>
      <c r="L51" s="2" t="s">
        <v>873</v>
      </c>
      <c r="M51" s="2" t="s">
        <v>873</v>
      </c>
      <c r="N51" s="2" t="s">
        <v>872</v>
      </c>
    </row>
    <row r="52" spans="1:14" ht="13.5" thickBot="1" x14ac:dyDescent="0.25">
      <c r="A52" s="2" t="s">
        <v>112</v>
      </c>
      <c r="B52" s="72" t="s">
        <v>611</v>
      </c>
      <c r="C52" s="2" t="s">
        <v>19</v>
      </c>
      <c r="D52" s="4">
        <v>2</v>
      </c>
      <c r="E52" s="4">
        <v>7</v>
      </c>
      <c r="F52" s="2" t="s">
        <v>872</v>
      </c>
      <c r="G52" s="2" t="s">
        <v>1077</v>
      </c>
      <c r="H52" s="2" t="s">
        <v>872</v>
      </c>
      <c r="I52" s="2" t="s">
        <v>1077</v>
      </c>
      <c r="J52" s="2" t="s">
        <v>873</v>
      </c>
      <c r="K52" s="2" t="s">
        <v>872</v>
      </c>
      <c r="L52" s="2" t="s">
        <v>873</v>
      </c>
      <c r="M52" s="2" t="s">
        <v>872</v>
      </c>
      <c r="N52" s="2" t="s">
        <v>872</v>
      </c>
    </row>
    <row r="53" spans="1:14" ht="13.5" thickBot="1" x14ac:dyDescent="0.25">
      <c r="A53" s="2" t="s">
        <v>114</v>
      </c>
      <c r="B53" s="72" t="s">
        <v>631</v>
      </c>
      <c r="C53" s="2" t="s">
        <v>19</v>
      </c>
      <c r="D53" s="4">
        <v>3</v>
      </c>
      <c r="E53" s="4">
        <v>4</v>
      </c>
      <c r="F53" s="2" t="s">
        <v>872</v>
      </c>
      <c r="G53" s="2" t="s">
        <v>1081</v>
      </c>
      <c r="H53" s="2" t="s">
        <v>872</v>
      </c>
      <c r="I53" s="2" t="s">
        <v>1081</v>
      </c>
      <c r="J53" s="2" t="s">
        <v>872</v>
      </c>
      <c r="K53" s="2" t="s">
        <v>872</v>
      </c>
      <c r="L53" s="2" t="s">
        <v>873</v>
      </c>
      <c r="M53" s="2" t="s">
        <v>872</v>
      </c>
      <c r="N53" s="2" t="s">
        <v>872</v>
      </c>
    </row>
    <row r="54" spans="1:14" ht="13.5" thickBot="1" x14ac:dyDescent="0.25">
      <c r="A54" s="2" t="s">
        <v>116</v>
      </c>
      <c r="B54" s="72" t="s">
        <v>641</v>
      </c>
      <c r="C54" s="2" t="s">
        <v>19</v>
      </c>
      <c r="D54" s="4">
        <v>1</v>
      </c>
      <c r="E54" s="4">
        <v>2</v>
      </c>
      <c r="F54" s="135" t="s">
        <v>873</v>
      </c>
      <c r="G54" s="2" t="s">
        <v>16</v>
      </c>
      <c r="H54" s="135" t="s">
        <v>873</v>
      </c>
      <c r="I54" s="2" t="s">
        <v>16</v>
      </c>
      <c r="J54" s="2" t="s">
        <v>873</v>
      </c>
      <c r="K54" s="2" t="s">
        <v>873</v>
      </c>
      <c r="L54" s="2" t="s">
        <v>873</v>
      </c>
      <c r="M54" s="2" t="s">
        <v>873</v>
      </c>
      <c r="N54" s="2" t="s">
        <v>872</v>
      </c>
    </row>
    <row r="55" spans="1:14" ht="13.5" thickBot="1" x14ac:dyDescent="0.25">
      <c r="A55" s="2" t="s">
        <v>120</v>
      </c>
      <c r="B55" s="72" t="s">
        <v>643</v>
      </c>
      <c r="C55" s="2" t="s">
        <v>19</v>
      </c>
      <c r="D55" s="4">
        <v>2</v>
      </c>
      <c r="E55" s="4">
        <v>7</v>
      </c>
      <c r="F55" s="2" t="s">
        <v>872</v>
      </c>
      <c r="G55" s="2" t="s">
        <v>1083</v>
      </c>
      <c r="H55" s="2" t="s">
        <v>872</v>
      </c>
      <c r="I55" s="2" t="s">
        <v>1083</v>
      </c>
      <c r="J55" s="2" t="s">
        <v>872</v>
      </c>
      <c r="K55" s="2" t="s">
        <v>872</v>
      </c>
      <c r="L55" s="2" t="s">
        <v>873</v>
      </c>
      <c r="M55" s="2" t="s">
        <v>873</v>
      </c>
      <c r="N55" s="2" t="s">
        <v>872</v>
      </c>
    </row>
    <row r="56" spans="1:14" ht="13.5" thickBot="1" x14ac:dyDescent="0.25">
      <c r="A56" s="2" t="s">
        <v>122</v>
      </c>
      <c r="B56" s="72" t="s">
        <v>649</v>
      </c>
      <c r="C56" s="2" t="s">
        <v>19</v>
      </c>
      <c r="D56" s="4">
        <v>3</v>
      </c>
      <c r="E56" s="4">
        <v>16</v>
      </c>
      <c r="F56" s="2" t="s">
        <v>872</v>
      </c>
      <c r="G56" s="2" t="s">
        <v>939</v>
      </c>
      <c r="H56" s="2" t="s">
        <v>872</v>
      </c>
      <c r="I56" s="2" t="s">
        <v>939</v>
      </c>
      <c r="J56" s="2" t="s">
        <v>873</v>
      </c>
      <c r="K56" s="2" t="s">
        <v>872</v>
      </c>
      <c r="L56" s="2" t="s">
        <v>873</v>
      </c>
      <c r="M56" s="2" t="s">
        <v>873</v>
      </c>
      <c r="N56" s="2" t="s">
        <v>872</v>
      </c>
    </row>
    <row r="57" spans="1:14" ht="13.5" thickBot="1" x14ac:dyDescent="0.25">
      <c r="A57" s="2" t="s">
        <v>124</v>
      </c>
      <c r="B57" s="72" t="s">
        <v>651</v>
      </c>
      <c r="C57" s="2" t="s">
        <v>19</v>
      </c>
      <c r="D57" s="4">
        <v>1</v>
      </c>
      <c r="E57" s="4">
        <v>8</v>
      </c>
      <c r="F57" s="135" t="s">
        <v>873</v>
      </c>
      <c r="G57" s="2" t="s">
        <v>16</v>
      </c>
      <c r="H57" s="135" t="s">
        <v>873</v>
      </c>
      <c r="I57" s="2" t="s">
        <v>16</v>
      </c>
      <c r="J57" s="2" t="s">
        <v>873</v>
      </c>
      <c r="K57" s="2" t="s">
        <v>873</v>
      </c>
      <c r="L57" s="2" t="s">
        <v>873</v>
      </c>
      <c r="M57" s="2" t="s">
        <v>873</v>
      </c>
      <c r="N57" s="2" t="s">
        <v>872</v>
      </c>
    </row>
    <row r="58" spans="1:14" ht="13.5" thickBot="1" x14ac:dyDescent="0.25">
      <c r="A58" s="2" t="s">
        <v>126</v>
      </c>
      <c r="B58" s="72" t="s">
        <v>671</v>
      </c>
      <c r="C58" s="2" t="s">
        <v>19</v>
      </c>
      <c r="D58" s="4">
        <v>3</v>
      </c>
      <c r="E58" s="4">
        <v>20</v>
      </c>
      <c r="F58" s="2" t="s">
        <v>872</v>
      </c>
      <c r="G58" s="2" t="s">
        <v>1088</v>
      </c>
      <c r="H58" s="2" t="s">
        <v>872</v>
      </c>
      <c r="I58" s="2" t="s">
        <v>1089</v>
      </c>
      <c r="J58" s="2" t="s">
        <v>873</v>
      </c>
      <c r="K58" s="2" t="s">
        <v>872</v>
      </c>
      <c r="L58" s="2" t="s">
        <v>873</v>
      </c>
      <c r="M58" s="2" t="s">
        <v>873</v>
      </c>
      <c r="N58" s="2" t="s">
        <v>872</v>
      </c>
    </row>
    <row r="59" spans="1:14" ht="13.5" thickBot="1" x14ac:dyDescent="0.25">
      <c r="A59" s="2" t="s">
        <v>128</v>
      </c>
      <c r="B59" s="72" t="s">
        <v>697</v>
      </c>
      <c r="C59" s="2" t="s">
        <v>19</v>
      </c>
      <c r="D59" s="4">
        <v>9</v>
      </c>
      <c r="E59" s="4">
        <v>10</v>
      </c>
      <c r="F59" s="2" t="s">
        <v>872</v>
      </c>
      <c r="G59" s="2" t="s">
        <v>1097</v>
      </c>
      <c r="H59" s="2" t="s">
        <v>872</v>
      </c>
      <c r="I59" s="2" t="s">
        <v>1097</v>
      </c>
      <c r="J59" s="2" t="s">
        <v>872</v>
      </c>
      <c r="K59" s="2" t="s">
        <v>872</v>
      </c>
      <c r="L59" s="2" t="s">
        <v>873</v>
      </c>
      <c r="M59" s="2" t="s">
        <v>873</v>
      </c>
      <c r="N59" s="2" t="s">
        <v>872</v>
      </c>
    </row>
    <row r="60" spans="1:14" ht="13.5" thickBot="1" x14ac:dyDescent="0.25">
      <c r="A60" s="2" t="s">
        <v>130</v>
      </c>
      <c r="B60" s="72" t="s">
        <v>703</v>
      </c>
      <c r="C60" s="2" t="s">
        <v>19</v>
      </c>
      <c r="D60" s="4">
        <v>2</v>
      </c>
      <c r="E60" s="4">
        <v>5</v>
      </c>
      <c r="F60" s="2" t="s">
        <v>872</v>
      </c>
      <c r="G60" s="2" t="s">
        <v>939</v>
      </c>
      <c r="H60" s="2" t="s">
        <v>872</v>
      </c>
      <c r="I60" s="2" t="s">
        <v>939</v>
      </c>
      <c r="J60" s="2" t="s">
        <v>872</v>
      </c>
      <c r="K60" s="2" t="s">
        <v>872</v>
      </c>
      <c r="L60" s="2" t="s">
        <v>873</v>
      </c>
      <c r="M60" s="2" t="s">
        <v>873</v>
      </c>
      <c r="N60" s="2" t="s">
        <v>872</v>
      </c>
    </row>
    <row r="61" spans="1:14" ht="13.5" thickBot="1" x14ac:dyDescent="0.25">
      <c r="A61" s="2" t="s">
        <v>134</v>
      </c>
      <c r="B61" s="72" t="s">
        <v>713</v>
      </c>
      <c r="C61" s="2" t="s">
        <v>19</v>
      </c>
      <c r="D61" s="4">
        <v>2</v>
      </c>
      <c r="E61" s="4">
        <v>5</v>
      </c>
      <c r="F61" s="2" t="s">
        <v>872</v>
      </c>
      <c r="G61" s="2" t="s">
        <v>1010</v>
      </c>
      <c r="H61" s="2" t="s">
        <v>872</v>
      </c>
      <c r="I61" s="2" t="s">
        <v>1010</v>
      </c>
      <c r="J61" s="2" t="s">
        <v>872</v>
      </c>
      <c r="K61" s="2" t="s">
        <v>872</v>
      </c>
      <c r="L61" s="2" t="s">
        <v>873</v>
      </c>
      <c r="M61" s="2" t="s">
        <v>873</v>
      </c>
      <c r="N61" s="2" t="s">
        <v>872</v>
      </c>
    </row>
    <row r="62" spans="1:14" ht="13.5" thickBot="1" x14ac:dyDescent="0.25">
      <c r="A62" s="2" t="s">
        <v>136</v>
      </c>
      <c r="B62" s="72" t="s">
        <v>715</v>
      </c>
      <c r="C62" s="2" t="s">
        <v>19</v>
      </c>
      <c r="D62" s="4">
        <v>2</v>
      </c>
      <c r="E62" s="4">
        <v>5</v>
      </c>
      <c r="F62" s="2" t="s">
        <v>872</v>
      </c>
      <c r="G62" s="2" t="s">
        <v>1100</v>
      </c>
      <c r="H62" s="2" t="s">
        <v>872</v>
      </c>
      <c r="I62" s="2" t="s">
        <v>1100</v>
      </c>
      <c r="J62" s="2" t="s">
        <v>872</v>
      </c>
      <c r="K62" s="2" t="s">
        <v>872</v>
      </c>
      <c r="L62" s="2" t="s">
        <v>873</v>
      </c>
      <c r="M62" s="2" t="s">
        <v>873</v>
      </c>
      <c r="N62" s="2" t="s">
        <v>872</v>
      </c>
    </row>
    <row r="63" spans="1:14" ht="13.5" thickBot="1" x14ac:dyDescent="0.25">
      <c r="A63" s="2" t="s">
        <v>138</v>
      </c>
      <c r="B63" s="72" t="s">
        <v>737</v>
      </c>
      <c r="C63" s="2" t="s">
        <v>19</v>
      </c>
      <c r="D63" s="4">
        <v>2</v>
      </c>
      <c r="E63" s="4">
        <v>6</v>
      </c>
      <c r="F63" s="2" t="s">
        <v>872</v>
      </c>
      <c r="G63" s="2" t="s">
        <v>921</v>
      </c>
      <c r="H63" s="2" t="s">
        <v>872</v>
      </c>
      <c r="I63" s="2" t="s">
        <v>921</v>
      </c>
      <c r="J63" s="2" t="s">
        <v>872</v>
      </c>
      <c r="K63" s="2" t="s">
        <v>872</v>
      </c>
      <c r="L63" s="2" t="s">
        <v>873</v>
      </c>
      <c r="M63" s="2" t="s">
        <v>873</v>
      </c>
      <c r="N63" s="2" t="s">
        <v>872</v>
      </c>
    </row>
    <row r="64" spans="1:14" ht="13.5" thickBot="1" x14ac:dyDescent="0.25">
      <c r="A64" s="2" t="s">
        <v>142</v>
      </c>
      <c r="B64" s="72" t="s">
        <v>756</v>
      </c>
      <c r="C64" s="2" t="s">
        <v>19</v>
      </c>
      <c r="D64" s="4">
        <v>2</v>
      </c>
      <c r="E64" s="4">
        <v>10</v>
      </c>
      <c r="F64" s="2" t="s">
        <v>872</v>
      </c>
      <c r="G64" s="2" t="s">
        <v>1105</v>
      </c>
      <c r="H64" s="2" t="s">
        <v>872</v>
      </c>
      <c r="I64" s="2" t="s">
        <v>948</v>
      </c>
      <c r="J64" s="2" t="s">
        <v>872</v>
      </c>
      <c r="K64" s="2" t="s">
        <v>872</v>
      </c>
      <c r="L64" s="2" t="s">
        <v>873</v>
      </c>
      <c r="M64" s="2" t="s">
        <v>873</v>
      </c>
      <c r="N64" s="2" t="s">
        <v>872</v>
      </c>
    </row>
    <row r="65" spans="1:14" ht="13.5" thickBot="1" x14ac:dyDescent="0.25">
      <c r="A65" s="2" t="s">
        <v>144</v>
      </c>
      <c r="B65" s="72" t="s">
        <v>774</v>
      </c>
      <c r="C65" s="2" t="s">
        <v>19</v>
      </c>
      <c r="D65" s="4">
        <v>2</v>
      </c>
      <c r="E65" s="4">
        <v>5</v>
      </c>
      <c r="F65" s="2" t="s">
        <v>872</v>
      </c>
      <c r="G65" s="2" t="s">
        <v>1110</v>
      </c>
      <c r="H65" s="2" t="s">
        <v>872</v>
      </c>
      <c r="I65" s="2" t="s">
        <v>1110</v>
      </c>
      <c r="J65" s="2" t="s">
        <v>873</v>
      </c>
      <c r="K65" s="2" t="s">
        <v>873</v>
      </c>
      <c r="L65" s="2" t="s">
        <v>873</v>
      </c>
      <c r="M65" s="2" t="s">
        <v>873</v>
      </c>
      <c r="N65" s="2" t="s">
        <v>872</v>
      </c>
    </row>
    <row r="66" spans="1:14" ht="13.5" thickBot="1" x14ac:dyDescent="0.25">
      <c r="A66" s="2" t="s">
        <v>146</v>
      </c>
      <c r="B66" s="72" t="s">
        <v>786</v>
      </c>
      <c r="C66" s="2" t="s">
        <v>19</v>
      </c>
      <c r="D66" s="4">
        <v>4</v>
      </c>
      <c r="E66" s="4">
        <v>10</v>
      </c>
      <c r="F66" s="2" t="s">
        <v>872</v>
      </c>
      <c r="G66" s="2" t="s">
        <v>1113</v>
      </c>
      <c r="H66" s="2" t="s">
        <v>872</v>
      </c>
      <c r="I66" s="2" t="s">
        <v>1113</v>
      </c>
      <c r="J66" s="2" t="s">
        <v>872</v>
      </c>
      <c r="K66" s="2" t="s">
        <v>872</v>
      </c>
      <c r="L66" s="2" t="s">
        <v>873</v>
      </c>
      <c r="M66" s="2" t="s">
        <v>873</v>
      </c>
      <c r="N66" s="2" t="s">
        <v>872</v>
      </c>
    </row>
    <row r="67" spans="1:14" ht="13.5" thickBot="1" x14ac:dyDescent="0.25">
      <c r="A67" s="2" t="s">
        <v>148</v>
      </c>
      <c r="B67" s="72" t="s">
        <v>792</v>
      </c>
      <c r="C67" s="2" t="s">
        <v>19</v>
      </c>
      <c r="D67" s="4">
        <v>2</v>
      </c>
      <c r="E67" s="4">
        <v>7</v>
      </c>
      <c r="F67" s="2" t="s">
        <v>872</v>
      </c>
      <c r="G67" s="2" t="s">
        <v>970</v>
      </c>
      <c r="H67" s="2" t="s">
        <v>872</v>
      </c>
      <c r="I67" s="2" t="s">
        <v>970</v>
      </c>
      <c r="J67" s="2" t="s">
        <v>872</v>
      </c>
      <c r="K67" s="2" t="s">
        <v>872</v>
      </c>
      <c r="L67" s="2" t="s">
        <v>873</v>
      </c>
      <c r="M67" s="2" t="s">
        <v>872</v>
      </c>
      <c r="N67" s="2" t="s">
        <v>872</v>
      </c>
    </row>
    <row r="68" spans="1:14" ht="13.5" thickBot="1" x14ac:dyDescent="0.25">
      <c r="A68" s="2" t="s">
        <v>150</v>
      </c>
      <c r="B68" s="72" t="s">
        <v>794</v>
      </c>
      <c r="C68" s="2" t="s">
        <v>19</v>
      </c>
      <c r="D68" s="4">
        <v>2</v>
      </c>
      <c r="E68" s="4">
        <v>11</v>
      </c>
      <c r="F68" s="2" t="s">
        <v>872</v>
      </c>
      <c r="G68" s="2" t="s">
        <v>1115</v>
      </c>
      <c r="H68" s="2" t="s">
        <v>872</v>
      </c>
      <c r="I68" s="2" t="s">
        <v>1115</v>
      </c>
      <c r="J68" s="2" t="s">
        <v>873</v>
      </c>
      <c r="K68" s="2" t="s">
        <v>873</v>
      </c>
      <c r="L68" s="2" t="s">
        <v>873</v>
      </c>
      <c r="M68" s="2" t="s">
        <v>873</v>
      </c>
      <c r="N68" s="2" t="s">
        <v>872</v>
      </c>
    </row>
    <row r="69" spans="1:14" ht="13.5" thickBot="1" x14ac:dyDescent="0.25">
      <c r="A69" s="2" t="s">
        <v>152</v>
      </c>
      <c r="B69" s="72" t="s">
        <v>798</v>
      </c>
      <c r="C69" s="2" t="s">
        <v>19</v>
      </c>
      <c r="D69" s="4">
        <v>1</v>
      </c>
      <c r="E69" s="4">
        <v>2</v>
      </c>
      <c r="F69" s="2" t="s">
        <v>872</v>
      </c>
      <c r="G69" s="2" t="s">
        <v>922</v>
      </c>
      <c r="H69" s="2" t="s">
        <v>872</v>
      </c>
      <c r="I69" s="2" t="s">
        <v>922</v>
      </c>
      <c r="J69" s="2" t="s">
        <v>873</v>
      </c>
      <c r="K69" s="2" t="s">
        <v>873</v>
      </c>
      <c r="L69" s="2" t="s">
        <v>872</v>
      </c>
      <c r="M69" s="2" t="s">
        <v>873</v>
      </c>
      <c r="N69" s="2" t="s">
        <v>872</v>
      </c>
    </row>
    <row r="70" spans="1:14" ht="13.5" thickBot="1" x14ac:dyDescent="0.25">
      <c r="A70" s="2" t="s">
        <v>154</v>
      </c>
      <c r="B70" s="72" t="s">
        <v>808</v>
      </c>
      <c r="C70" s="2" t="s">
        <v>19</v>
      </c>
      <c r="D70" s="4">
        <v>1</v>
      </c>
      <c r="E70" s="4">
        <v>2</v>
      </c>
      <c r="F70" s="135" t="s">
        <v>873</v>
      </c>
      <c r="G70" s="2" t="s">
        <v>16</v>
      </c>
      <c r="H70" s="135" t="s">
        <v>872</v>
      </c>
      <c r="I70" s="2" t="s">
        <v>16</v>
      </c>
      <c r="J70" s="2" t="s">
        <v>873</v>
      </c>
      <c r="K70" s="2" t="s">
        <v>873</v>
      </c>
      <c r="L70" s="2" t="s">
        <v>873</v>
      </c>
      <c r="M70" s="2" t="s">
        <v>873</v>
      </c>
      <c r="N70" s="2" t="s">
        <v>872</v>
      </c>
    </row>
    <row r="71" spans="1:14" ht="13.5" thickBot="1" x14ac:dyDescent="0.25">
      <c r="A71" s="2" t="s">
        <v>156</v>
      </c>
      <c r="B71" s="72" t="s">
        <v>820</v>
      </c>
      <c r="C71" s="2" t="s">
        <v>19</v>
      </c>
      <c r="D71" s="4">
        <v>2</v>
      </c>
      <c r="E71" s="4">
        <v>5</v>
      </c>
      <c r="F71" s="135" t="s">
        <v>873</v>
      </c>
      <c r="G71" s="2" t="s">
        <v>16</v>
      </c>
      <c r="H71" s="135" t="s">
        <v>873</v>
      </c>
      <c r="I71" s="2" t="s">
        <v>16</v>
      </c>
      <c r="J71" s="2" t="s">
        <v>873</v>
      </c>
      <c r="K71" s="2" t="s">
        <v>873</v>
      </c>
      <c r="L71" s="2" t="s">
        <v>873</v>
      </c>
      <c r="M71" s="2" t="s">
        <v>873</v>
      </c>
      <c r="N71" s="2" t="s">
        <v>872</v>
      </c>
    </row>
    <row r="72" spans="1:14" ht="13.5" thickBot="1" x14ac:dyDescent="0.25">
      <c r="A72" s="2" t="s">
        <v>158</v>
      </c>
      <c r="B72" s="72" t="s">
        <v>832</v>
      </c>
      <c r="C72" s="2" t="s">
        <v>19</v>
      </c>
      <c r="D72" s="4">
        <v>2</v>
      </c>
      <c r="E72" s="4">
        <v>5</v>
      </c>
      <c r="F72" s="2" t="s">
        <v>872</v>
      </c>
      <c r="G72" s="2" t="s">
        <v>932</v>
      </c>
      <c r="H72" s="2" t="s">
        <v>872</v>
      </c>
      <c r="I72" s="2" t="s">
        <v>932</v>
      </c>
      <c r="J72" s="2" t="s">
        <v>873</v>
      </c>
      <c r="K72" s="2" t="s">
        <v>872</v>
      </c>
      <c r="L72" s="2" t="s">
        <v>873</v>
      </c>
      <c r="M72" s="2" t="s">
        <v>872</v>
      </c>
      <c r="N72" s="2" t="s">
        <v>872</v>
      </c>
    </row>
    <row r="73" spans="1:14" ht="13.5" thickBot="1" x14ac:dyDescent="0.25">
      <c r="A73" s="2" t="s">
        <v>160</v>
      </c>
      <c r="B73" s="72" t="s">
        <v>840</v>
      </c>
      <c r="C73" s="2" t="s">
        <v>19</v>
      </c>
      <c r="D73" s="4">
        <v>3</v>
      </c>
      <c r="E73" s="4">
        <v>4</v>
      </c>
      <c r="F73" s="2" t="s">
        <v>872</v>
      </c>
      <c r="G73" s="2" t="s">
        <v>16</v>
      </c>
      <c r="H73" s="2" t="s">
        <v>872</v>
      </c>
      <c r="I73" s="2" t="s">
        <v>16</v>
      </c>
      <c r="J73" s="2" t="s">
        <v>873</v>
      </c>
      <c r="K73" s="2" t="s">
        <v>873</v>
      </c>
      <c r="L73" s="2" t="s">
        <v>873</v>
      </c>
      <c r="M73" s="2" t="s">
        <v>873</v>
      </c>
      <c r="N73" s="2" t="s">
        <v>873</v>
      </c>
    </row>
    <row r="74" spans="1:14" ht="13.5" thickBot="1" x14ac:dyDescent="0.25">
      <c r="A74" s="2" t="s">
        <v>162</v>
      </c>
      <c r="B74" s="72" t="s">
        <v>20</v>
      </c>
      <c r="C74" s="2" t="s">
        <v>24</v>
      </c>
      <c r="D74" s="4">
        <v>3</v>
      </c>
      <c r="E74" s="4">
        <v>6</v>
      </c>
      <c r="F74" s="2" t="s">
        <v>872</v>
      </c>
      <c r="G74" s="2" t="s">
        <v>914</v>
      </c>
      <c r="H74" s="2" t="s">
        <v>872</v>
      </c>
      <c r="I74" s="2" t="s">
        <v>914</v>
      </c>
      <c r="J74" s="2" t="s">
        <v>872</v>
      </c>
      <c r="K74" s="2" t="s">
        <v>872</v>
      </c>
      <c r="L74" s="2" t="s">
        <v>873</v>
      </c>
      <c r="M74" s="2" t="s">
        <v>872</v>
      </c>
      <c r="N74" s="2" t="s">
        <v>872</v>
      </c>
    </row>
    <row r="75" spans="1:14" ht="13.5" thickBot="1" x14ac:dyDescent="0.25">
      <c r="A75" s="2" t="s">
        <v>164</v>
      </c>
      <c r="B75" s="72" t="s">
        <v>50</v>
      </c>
      <c r="C75" s="2" t="s">
        <v>24</v>
      </c>
      <c r="D75" s="4">
        <v>8</v>
      </c>
      <c r="E75" s="4">
        <v>15</v>
      </c>
      <c r="F75" s="2" t="s">
        <v>872</v>
      </c>
      <c r="G75" s="2" t="s">
        <v>926</v>
      </c>
      <c r="H75" s="2" t="s">
        <v>872</v>
      </c>
      <c r="I75" s="2" t="s">
        <v>926</v>
      </c>
      <c r="J75" s="2" t="s">
        <v>872</v>
      </c>
      <c r="K75" s="2" t="s">
        <v>872</v>
      </c>
      <c r="L75" s="2" t="s">
        <v>873</v>
      </c>
      <c r="M75" s="2" t="s">
        <v>872</v>
      </c>
      <c r="N75" s="2" t="s">
        <v>872</v>
      </c>
    </row>
    <row r="76" spans="1:14" ht="13.5" thickBot="1" x14ac:dyDescent="0.25">
      <c r="A76" s="2" t="s">
        <v>166</v>
      </c>
      <c r="B76" s="72" t="s">
        <v>61</v>
      </c>
      <c r="C76" s="2" t="s">
        <v>24</v>
      </c>
      <c r="D76" s="4">
        <v>7</v>
      </c>
      <c r="E76" s="4">
        <v>11</v>
      </c>
      <c r="F76" s="2" t="s">
        <v>872</v>
      </c>
      <c r="G76" s="2" t="s">
        <v>932</v>
      </c>
      <c r="H76" s="2" t="s">
        <v>872</v>
      </c>
      <c r="I76" s="2" t="s">
        <v>932</v>
      </c>
      <c r="J76" s="2" t="s">
        <v>872</v>
      </c>
      <c r="K76" s="2" t="s">
        <v>872</v>
      </c>
      <c r="L76" s="2" t="s">
        <v>873</v>
      </c>
      <c r="M76" s="2" t="s">
        <v>872</v>
      </c>
      <c r="N76" s="2" t="s">
        <v>872</v>
      </c>
    </row>
    <row r="77" spans="1:14" ht="13.5" thickBot="1" x14ac:dyDescent="0.25">
      <c r="A77" s="2" t="s">
        <v>168</v>
      </c>
      <c r="B77" s="72" t="s">
        <v>65</v>
      </c>
      <c r="C77" s="2" t="s">
        <v>24</v>
      </c>
      <c r="D77" s="4">
        <v>2</v>
      </c>
      <c r="E77" s="4">
        <v>6</v>
      </c>
      <c r="F77" s="2" t="s">
        <v>872</v>
      </c>
      <c r="G77" s="2" t="s">
        <v>933</v>
      </c>
      <c r="H77" s="2" t="s">
        <v>872</v>
      </c>
      <c r="I77" s="2" t="s">
        <v>933</v>
      </c>
      <c r="J77" s="2" t="s">
        <v>872</v>
      </c>
      <c r="K77" s="2" t="s">
        <v>872</v>
      </c>
      <c r="L77" s="2" t="s">
        <v>873</v>
      </c>
      <c r="M77" s="2" t="s">
        <v>872</v>
      </c>
      <c r="N77" s="2" t="s">
        <v>872</v>
      </c>
    </row>
    <row r="78" spans="1:14" ht="13.5" thickBot="1" x14ac:dyDescent="0.25">
      <c r="A78" s="2" t="s">
        <v>170</v>
      </c>
      <c r="B78" s="72" t="s">
        <v>77</v>
      </c>
      <c r="C78" s="2" t="s">
        <v>24</v>
      </c>
      <c r="D78" s="4">
        <v>3</v>
      </c>
      <c r="E78" s="4">
        <v>13</v>
      </c>
      <c r="F78" s="2" t="s">
        <v>872</v>
      </c>
      <c r="G78" s="2" t="s">
        <v>939</v>
      </c>
      <c r="H78" s="2" t="s">
        <v>872</v>
      </c>
      <c r="I78" s="2" t="s">
        <v>939</v>
      </c>
      <c r="J78" s="2" t="s">
        <v>872</v>
      </c>
      <c r="K78" s="2" t="s">
        <v>872</v>
      </c>
      <c r="L78" s="2" t="s">
        <v>873</v>
      </c>
      <c r="M78" s="2" t="s">
        <v>873</v>
      </c>
      <c r="N78" s="2" t="s">
        <v>872</v>
      </c>
    </row>
    <row r="79" spans="1:14" ht="13.5" thickBot="1" x14ac:dyDescent="0.25">
      <c r="A79" s="2" t="s">
        <v>174</v>
      </c>
      <c r="B79" s="72" t="s">
        <v>81</v>
      </c>
      <c r="C79" s="2" t="s">
        <v>24</v>
      </c>
      <c r="D79" s="4">
        <v>5</v>
      </c>
      <c r="E79" s="4">
        <v>15</v>
      </c>
      <c r="F79" s="2" t="s">
        <v>872</v>
      </c>
      <c r="G79" s="2" t="s">
        <v>941</v>
      </c>
      <c r="H79" s="2" t="s">
        <v>872</v>
      </c>
      <c r="I79" s="2" t="s">
        <v>941</v>
      </c>
      <c r="J79" s="2" t="s">
        <v>872</v>
      </c>
      <c r="K79" s="2" t="s">
        <v>872</v>
      </c>
      <c r="L79" s="2" t="s">
        <v>873</v>
      </c>
      <c r="M79" s="2" t="s">
        <v>872</v>
      </c>
      <c r="N79" s="2" t="s">
        <v>872</v>
      </c>
    </row>
    <row r="80" spans="1:14" ht="13.5" thickBot="1" x14ac:dyDescent="0.25">
      <c r="A80" s="2" t="s">
        <v>176</v>
      </c>
      <c r="B80" s="72" t="s">
        <v>105</v>
      </c>
      <c r="C80" s="2" t="s">
        <v>24</v>
      </c>
      <c r="D80" s="4">
        <v>2</v>
      </c>
      <c r="E80" s="4">
        <v>6</v>
      </c>
      <c r="F80" s="2" t="s">
        <v>872</v>
      </c>
      <c r="G80" s="2" t="s">
        <v>927</v>
      </c>
      <c r="H80" s="2" t="s">
        <v>872</v>
      </c>
      <c r="I80" s="2" t="s">
        <v>936</v>
      </c>
      <c r="J80" s="2" t="s">
        <v>872</v>
      </c>
      <c r="K80" s="2" t="s">
        <v>872</v>
      </c>
      <c r="L80" s="2" t="s">
        <v>873</v>
      </c>
      <c r="M80" s="2" t="s">
        <v>872</v>
      </c>
      <c r="N80" s="2" t="s">
        <v>872</v>
      </c>
    </row>
    <row r="81" spans="1:14" ht="13.5" thickBot="1" x14ac:dyDescent="0.25">
      <c r="A81" s="2" t="s">
        <v>178</v>
      </c>
      <c r="B81" s="72" t="s">
        <v>125</v>
      </c>
      <c r="C81" s="2" t="s">
        <v>24</v>
      </c>
      <c r="D81" s="4">
        <v>12</v>
      </c>
      <c r="E81" s="4">
        <v>15</v>
      </c>
      <c r="F81" s="2" t="s">
        <v>872</v>
      </c>
      <c r="G81" s="2" t="s">
        <v>938</v>
      </c>
      <c r="H81" s="2" t="s">
        <v>872</v>
      </c>
      <c r="I81" s="2" t="s">
        <v>938</v>
      </c>
      <c r="J81" s="2" t="s">
        <v>872</v>
      </c>
      <c r="K81" s="2" t="s">
        <v>872</v>
      </c>
      <c r="L81" s="2" t="s">
        <v>873</v>
      </c>
      <c r="M81" s="2" t="s">
        <v>872</v>
      </c>
      <c r="N81" s="2" t="s">
        <v>872</v>
      </c>
    </row>
    <row r="82" spans="1:14" ht="13.5" thickBot="1" x14ac:dyDescent="0.25">
      <c r="A82" s="2" t="s">
        <v>180</v>
      </c>
      <c r="B82" s="72" t="s">
        <v>131</v>
      </c>
      <c r="C82" s="2" t="s">
        <v>24</v>
      </c>
      <c r="D82" s="4">
        <v>1</v>
      </c>
      <c r="E82" s="4">
        <v>3</v>
      </c>
      <c r="F82" s="135" t="s">
        <v>873</v>
      </c>
      <c r="G82" s="2" t="s">
        <v>16</v>
      </c>
      <c r="H82" s="135" t="s">
        <v>873</v>
      </c>
      <c r="I82" s="2" t="s">
        <v>16</v>
      </c>
      <c r="J82" s="2" t="s">
        <v>872</v>
      </c>
      <c r="K82" s="2" t="s">
        <v>873</v>
      </c>
      <c r="L82" s="2" t="s">
        <v>873</v>
      </c>
      <c r="M82" s="2" t="s">
        <v>873</v>
      </c>
      <c r="N82" s="2" t="s">
        <v>872</v>
      </c>
    </row>
    <row r="83" spans="1:14" ht="13.5" thickBot="1" x14ac:dyDescent="0.25">
      <c r="A83" s="2" t="s">
        <v>182</v>
      </c>
      <c r="B83" s="72" t="s">
        <v>145</v>
      </c>
      <c r="C83" s="2" t="s">
        <v>24</v>
      </c>
      <c r="D83" s="4">
        <v>2</v>
      </c>
      <c r="E83" s="4">
        <v>8</v>
      </c>
      <c r="F83" s="2" t="s">
        <v>872</v>
      </c>
      <c r="G83" s="2" t="s">
        <v>933</v>
      </c>
      <c r="H83" s="2" t="s">
        <v>872</v>
      </c>
      <c r="I83" s="2" t="s">
        <v>933</v>
      </c>
      <c r="J83" s="2" t="s">
        <v>872</v>
      </c>
      <c r="K83" s="2" t="s">
        <v>872</v>
      </c>
      <c r="L83" s="2" t="s">
        <v>873</v>
      </c>
      <c r="M83" s="2" t="s">
        <v>873</v>
      </c>
      <c r="N83" s="2" t="s">
        <v>872</v>
      </c>
    </row>
    <row r="84" spans="1:14" ht="13.5" thickBot="1" x14ac:dyDescent="0.25">
      <c r="A84" s="2" t="s">
        <v>184</v>
      </c>
      <c r="B84" s="72" t="s">
        <v>187</v>
      </c>
      <c r="C84" s="2" t="s">
        <v>24</v>
      </c>
      <c r="D84" s="4">
        <v>5</v>
      </c>
      <c r="E84" s="4">
        <v>15</v>
      </c>
      <c r="F84" s="2" t="s">
        <v>872</v>
      </c>
      <c r="G84" s="2" t="s">
        <v>925</v>
      </c>
      <c r="H84" s="2" t="s">
        <v>872</v>
      </c>
      <c r="I84" s="2" t="s">
        <v>974</v>
      </c>
      <c r="J84" s="2" t="s">
        <v>872</v>
      </c>
      <c r="K84" s="2" t="s">
        <v>872</v>
      </c>
      <c r="L84" s="2" t="s">
        <v>873</v>
      </c>
      <c r="M84" s="2" t="s">
        <v>872</v>
      </c>
      <c r="N84" s="2" t="s">
        <v>872</v>
      </c>
    </row>
    <row r="85" spans="1:14" ht="13.5" thickBot="1" x14ac:dyDescent="0.25">
      <c r="A85" s="2" t="s">
        <v>186</v>
      </c>
      <c r="B85" s="72" t="s">
        <v>201</v>
      </c>
      <c r="C85" s="2" t="s">
        <v>24</v>
      </c>
      <c r="D85" s="4">
        <v>4</v>
      </c>
      <c r="E85" s="4">
        <v>13</v>
      </c>
      <c r="F85" s="2" t="s">
        <v>872</v>
      </c>
      <c r="G85" s="2" t="s">
        <v>978</v>
      </c>
      <c r="H85" s="2" t="s">
        <v>872</v>
      </c>
      <c r="I85" s="2" t="s">
        <v>979</v>
      </c>
      <c r="J85" s="2" t="s">
        <v>872</v>
      </c>
      <c r="K85" s="2" t="s">
        <v>872</v>
      </c>
      <c r="L85" s="2" t="s">
        <v>873</v>
      </c>
      <c r="M85" s="2" t="s">
        <v>873</v>
      </c>
      <c r="N85" s="2" t="s">
        <v>872</v>
      </c>
    </row>
    <row r="86" spans="1:14" ht="13.5" thickBot="1" x14ac:dyDescent="0.25">
      <c r="A86" s="2" t="s">
        <v>188</v>
      </c>
      <c r="B86" s="72" t="s">
        <v>224</v>
      </c>
      <c r="C86" s="2" t="s">
        <v>24</v>
      </c>
      <c r="D86" s="4">
        <v>4</v>
      </c>
      <c r="E86" s="4">
        <v>4</v>
      </c>
      <c r="F86" s="2" t="s">
        <v>872</v>
      </c>
      <c r="G86" s="2" t="s">
        <v>937</v>
      </c>
      <c r="H86" s="2" t="s">
        <v>872</v>
      </c>
      <c r="I86" s="2" t="s">
        <v>984</v>
      </c>
      <c r="J86" s="2" t="s">
        <v>872</v>
      </c>
      <c r="K86" s="2" t="s">
        <v>872</v>
      </c>
      <c r="L86" s="2" t="s">
        <v>873</v>
      </c>
      <c r="M86" s="2" t="s">
        <v>873</v>
      </c>
      <c r="N86" s="2" t="s">
        <v>872</v>
      </c>
    </row>
    <row r="87" spans="1:14" ht="13.5" thickBot="1" x14ac:dyDescent="0.25">
      <c r="A87" s="2" t="s">
        <v>190</v>
      </c>
      <c r="B87" s="72" t="s">
        <v>240</v>
      </c>
      <c r="C87" s="2" t="s">
        <v>24</v>
      </c>
      <c r="D87" s="4">
        <v>2</v>
      </c>
      <c r="E87" s="4">
        <v>5</v>
      </c>
      <c r="F87" s="2" t="s">
        <v>872</v>
      </c>
      <c r="G87" s="2" t="s">
        <v>990</v>
      </c>
      <c r="H87" s="2" t="s">
        <v>872</v>
      </c>
      <c r="I87" s="2" t="s">
        <v>990</v>
      </c>
      <c r="J87" s="2" t="s">
        <v>872</v>
      </c>
      <c r="K87" s="2" t="s">
        <v>872</v>
      </c>
      <c r="L87" s="2" t="s">
        <v>873</v>
      </c>
      <c r="M87" s="2" t="s">
        <v>873</v>
      </c>
      <c r="N87" s="2" t="s">
        <v>872</v>
      </c>
    </row>
    <row r="88" spans="1:14" ht="13.5" thickBot="1" x14ac:dyDescent="0.25">
      <c r="A88" s="2" t="s">
        <v>192</v>
      </c>
      <c r="B88" s="72" t="s">
        <v>246</v>
      </c>
      <c r="C88" s="2" t="s">
        <v>24</v>
      </c>
      <c r="D88" s="4">
        <v>3</v>
      </c>
      <c r="E88" s="4">
        <v>6</v>
      </c>
      <c r="F88" s="2" t="s">
        <v>872</v>
      </c>
      <c r="G88" s="2" t="s">
        <v>992</v>
      </c>
      <c r="H88" s="2" t="s">
        <v>872</v>
      </c>
      <c r="I88" s="2" t="s">
        <v>992</v>
      </c>
      <c r="J88" s="2" t="s">
        <v>872</v>
      </c>
      <c r="K88" s="2" t="s">
        <v>872</v>
      </c>
      <c r="L88" s="2" t="s">
        <v>873</v>
      </c>
      <c r="M88" s="2" t="s">
        <v>873</v>
      </c>
      <c r="N88" s="2" t="s">
        <v>872</v>
      </c>
    </row>
    <row r="89" spans="1:14" ht="13.5" thickBot="1" x14ac:dyDescent="0.25">
      <c r="A89" s="2" t="s">
        <v>194</v>
      </c>
      <c r="B89" s="72" t="s">
        <v>248</v>
      </c>
      <c r="C89" s="2" t="s">
        <v>24</v>
      </c>
      <c r="D89" s="4">
        <v>6</v>
      </c>
      <c r="E89" s="4">
        <v>10</v>
      </c>
      <c r="F89" s="2" t="s">
        <v>872</v>
      </c>
      <c r="G89" s="2" t="s">
        <v>993</v>
      </c>
      <c r="H89" s="2" t="s">
        <v>872</v>
      </c>
      <c r="I89" s="2" t="s">
        <v>993</v>
      </c>
      <c r="J89" s="2" t="s">
        <v>872</v>
      </c>
      <c r="K89" s="2" t="s">
        <v>872</v>
      </c>
      <c r="L89" s="2" t="s">
        <v>873</v>
      </c>
      <c r="M89" s="2" t="s">
        <v>872</v>
      </c>
      <c r="N89" s="2" t="s">
        <v>872</v>
      </c>
    </row>
    <row r="90" spans="1:14" ht="13.5" thickBot="1" x14ac:dyDescent="0.25">
      <c r="A90" s="2" t="s">
        <v>196</v>
      </c>
      <c r="B90" s="72" t="s">
        <v>262</v>
      </c>
      <c r="C90" s="2" t="s">
        <v>24</v>
      </c>
      <c r="D90" s="4">
        <v>6</v>
      </c>
      <c r="E90" s="4">
        <v>10</v>
      </c>
      <c r="F90" s="2" t="s">
        <v>872</v>
      </c>
      <c r="G90" s="2" t="s">
        <v>921</v>
      </c>
      <c r="H90" s="2" t="s">
        <v>872</v>
      </c>
      <c r="I90" s="2" t="s">
        <v>921</v>
      </c>
      <c r="J90" s="2" t="s">
        <v>872</v>
      </c>
      <c r="K90" s="2" t="s">
        <v>872</v>
      </c>
      <c r="L90" s="2" t="s">
        <v>873</v>
      </c>
      <c r="M90" s="2" t="s">
        <v>873</v>
      </c>
      <c r="N90" s="2" t="s">
        <v>872</v>
      </c>
    </row>
    <row r="91" spans="1:14" ht="13.5" thickBot="1" x14ac:dyDescent="0.25">
      <c r="A91" s="2" t="s">
        <v>198</v>
      </c>
      <c r="B91" s="72" t="s">
        <v>292</v>
      </c>
      <c r="C91" s="2" t="s">
        <v>24</v>
      </c>
      <c r="D91" s="4">
        <v>4</v>
      </c>
      <c r="E91" s="4">
        <v>11</v>
      </c>
      <c r="F91" s="2" t="s">
        <v>872</v>
      </c>
      <c r="G91" s="2" t="s">
        <v>927</v>
      </c>
      <c r="H91" s="2" t="s">
        <v>872</v>
      </c>
      <c r="I91" s="2" t="s">
        <v>927</v>
      </c>
      <c r="J91" s="2" t="s">
        <v>872</v>
      </c>
      <c r="K91" s="2" t="s">
        <v>872</v>
      </c>
      <c r="L91" s="2" t="s">
        <v>873</v>
      </c>
      <c r="M91" s="2" t="s">
        <v>872</v>
      </c>
      <c r="N91" s="2" t="s">
        <v>872</v>
      </c>
    </row>
    <row r="92" spans="1:14" ht="13.5" thickBot="1" x14ac:dyDescent="0.25">
      <c r="A92" s="2" t="s">
        <v>200</v>
      </c>
      <c r="B92" s="72" t="s">
        <v>302</v>
      </c>
      <c r="C92" s="2" t="s">
        <v>24</v>
      </c>
      <c r="D92" s="4">
        <v>3</v>
      </c>
      <c r="E92" s="4">
        <v>4</v>
      </c>
      <c r="F92" s="2" t="s">
        <v>872</v>
      </c>
      <c r="G92" s="2" t="s">
        <v>1006</v>
      </c>
      <c r="H92" s="2" t="s">
        <v>872</v>
      </c>
      <c r="I92" s="2" t="s">
        <v>1007</v>
      </c>
      <c r="J92" s="2" t="s">
        <v>872</v>
      </c>
      <c r="K92" s="2" t="s">
        <v>872</v>
      </c>
      <c r="L92" s="2" t="s">
        <v>873</v>
      </c>
      <c r="M92" s="2" t="s">
        <v>872</v>
      </c>
      <c r="N92" s="2" t="s">
        <v>872</v>
      </c>
    </row>
    <row r="93" spans="1:14" ht="13.5" thickBot="1" x14ac:dyDescent="0.25">
      <c r="A93" s="2" t="s">
        <v>202</v>
      </c>
      <c r="B93" s="72" t="s">
        <v>346</v>
      </c>
      <c r="C93" s="2" t="s">
        <v>24</v>
      </c>
      <c r="D93" s="4">
        <v>1</v>
      </c>
      <c r="E93" s="4">
        <v>4</v>
      </c>
      <c r="F93" s="2" t="s">
        <v>872</v>
      </c>
      <c r="G93" s="2" t="s">
        <v>918</v>
      </c>
      <c r="H93" s="2" t="s">
        <v>872</v>
      </c>
      <c r="I93" s="2" t="s">
        <v>1022</v>
      </c>
      <c r="J93" s="2" t="s">
        <v>872</v>
      </c>
      <c r="K93" s="2" t="s">
        <v>872</v>
      </c>
      <c r="L93" s="2" t="s">
        <v>873</v>
      </c>
      <c r="M93" s="2" t="s">
        <v>872</v>
      </c>
      <c r="N93" s="2" t="s">
        <v>872</v>
      </c>
    </row>
    <row r="94" spans="1:14" ht="13.5" thickBot="1" x14ac:dyDescent="0.25">
      <c r="A94" s="2" t="s">
        <v>204</v>
      </c>
      <c r="B94" s="72" t="s">
        <v>348</v>
      </c>
      <c r="C94" s="2" t="s">
        <v>24</v>
      </c>
      <c r="D94" s="4">
        <v>3</v>
      </c>
      <c r="E94" s="4">
        <v>10</v>
      </c>
      <c r="F94" s="2" t="s">
        <v>872</v>
      </c>
      <c r="G94" s="2" t="s">
        <v>937</v>
      </c>
      <c r="H94" s="2" t="s">
        <v>872</v>
      </c>
      <c r="I94" s="2" t="s">
        <v>937</v>
      </c>
      <c r="J94" s="2" t="s">
        <v>872</v>
      </c>
      <c r="K94" s="2" t="s">
        <v>872</v>
      </c>
      <c r="L94" s="2" t="s">
        <v>873</v>
      </c>
      <c r="M94" s="2" t="s">
        <v>873</v>
      </c>
      <c r="N94" s="2" t="s">
        <v>872</v>
      </c>
    </row>
    <row r="95" spans="1:14" ht="13.5" thickBot="1" x14ac:dyDescent="0.25">
      <c r="A95" s="2" t="s">
        <v>206</v>
      </c>
      <c r="B95" s="72" t="s">
        <v>358</v>
      </c>
      <c r="C95" s="2" t="s">
        <v>24</v>
      </c>
      <c r="D95" s="4">
        <v>6</v>
      </c>
      <c r="E95" s="4">
        <v>16</v>
      </c>
      <c r="F95" s="2" t="s">
        <v>872</v>
      </c>
      <c r="G95" s="2" t="s">
        <v>1025</v>
      </c>
      <c r="H95" s="2" t="s">
        <v>872</v>
      </c>
      <c r="I95" s="2" t="s">
        <v>1026</v>
      </c>
      <c r="J95" s="2" t="s">
        <v>872</v>
      </c>
      <c r="K95" s="2" t="s">
        <v>872</v>
      </c>
      <c r="L95" s="2" t="s">
        <v>873</v>
      </c>
      <c r="M95" s="2" t="s">
        <v>873</v>
      </c>
      <c r="N95" s="2" t="s">
        <v>872</v>
      </c>
    </row>
    <row r="96" spans="1:14" ht="13.5" thickBot="1" x14ac:dyDescent="0.25">
      <c r="A96" s="2" t="s">
        <v>208</v>
      </c>
      <c r="B96" s="72" t="s">
        <v>368</v>
      </c>
      <c r="C96" s="2" t="s">
        <v>24</v>
      </c>
      <c r="D96" s="4">
        <v>7</v>
      </c>
      <c r="E96" s="4">
        <v>17</v>
      </c>
      <c r="F96" s="2" t="s">
        <v>872</v>
      </c>
      <c r="G96" s="2" t="s">
        <v>998</v>
      </c>
      <c r="H96" s="2" t="s">
        <v>872</v>
      </c>
      <c r="I96" s="2" t="s">
        <v>998</v>
      </c>
      <c r="J96" s="2" t="s">
        <v>872</v>
      </c>
      <c r="K96" s="2" t="s">
        <v>872</v>
      </c>
      <c r="L96" s="2" t="s">
        <v>872</v>
      </c>
      <c r="M96" s="2" t="s">
        <v>872</v>
      </c>
      <c r="N96" s="2" t="s">
        <v>872</v>
      </c>
    </row>
    <row r="97" spans="1:14" ht="13.5" thickBot="1" x14ac:dyDescent="0.25">
      <c r="A97" s="2" t="s">
        <v>210</v>
      </c>
      <c r="B97" s="72" t="s">
        <v>376</v>
      </c>
      <c r="C97" s="2" t="s">
        <v>24</v>
      </c>
      <c r="D97" s="4">
        <v>2</v>
      </c>
      <c r="E97" s="4">
        <v>9</v>
      </c>
      <c r="F97" s="2" t="s">
        <v>872</v>
      </c>
      <c r="G97" s="2" t="s">
        <v>928</v>
      </c>
      <c r="H97" s="2" t="s">
        <v>872</v>
      </c>
      <c r="I97" s="2" t="s">
        <v>928</v>
      </c>
      <c r="J97" s="2" t="s">
        <v>872</v>
      </c>
      <c r="K97" s="2" t="s">
        <v>872</v>
      </c>
      <c r="L97" s="2" t="s">
        <v>873</v>
      </c>
      <c r="M97" s="2" t="s">
        <v>872</v>
      </c>
      <c r="N97" s="2" t="s">
        <v>872</v>
      </c>
    </row>
    <row r="98" spans="1:14" ht="13.5" thickBot="1" x14ac:dyDescent="0.25">
      <c r="A98" s="2" t="s">
        <v>212</v>
      </c>
      <c r="B98" s="72" t="s">
        <v>380</v>
      </c>
      <c r="C98" s="2" t="s">
        <v>24</v>
      </c>
      <c r="D98" s="4">
        <v>2</v>
      </c>
      <c r="E98" s="4">
        <v>8</v>
      </c>
      <c r="F98" s="2" t="s">
        <v>872</v>
      </c>
      <c r="G98" s="2" t="s">
        <v>928</v>
      </c>
      <c r="H98" s="2" t="s">
        <v>872</v>
      </c>
      <c r="I98" s="2" t="s">
        <v>928</v>
      </c>
      <c r="J98" s="2" t="s">
        <v>872</v>
      </c>
      <c r="K98" s="2" t="s">
        <v>872</v>
      </c>
      <c r="L98" s="2" t="s">
        <v>873</v>
      </c>
      <c r="M98" s="2" t="s">
        <v>872</v>
      </c>
      <c r="N98" s="2" t="s">
        <v>872</v>
      </c>
    </row>
    <row r="99" spans="1:14" ht="13.5" thickBot="1" x14ac:dyDescent="0.25">
      <c r="A99" s="2" t="s">
        <v>214</v>
      </c>
      <c r="B99" s="72" t="s">
        <v>386</v>
      </c>
      <c r="C99" s="2" t="s">
        <v>24</v>
      </c>
      <c r="D99" s="4">
        <v>3</v>
      </c>
      <c r="E99" s="4">
        <v>7</v>
      </c>
      <c r="F99" s="2" t="s">
        <v>872</v>
      </c>
      <c r="G99" s="2" t="s">
        <v>939</v>
      </c>
      <c r="H99" s="2" t="s">
        <v>872</v>
      </c>
      <c r="I99" s="2" t="s">
        <v>939</v>
      </c>
      <c r="J99" s="2" t="s">
        <v>872</v>
      </c>
      <c r="K99" s="2" t="s">
        <v>872</v>
      </c>
      <c r="L99" s="2" t="s">
        <v>873</v>
      </c>
      <c r="M99" s="2" t="s">
        <v>872</v>
      </c>
      <c r="N99" s="2" t="s">
        <v>872</v>
      </c>
    </row>
    <row r="100" spans="1:14" ht="13.5" thickBot="1" x14ac:dyDescent="0.25">
      <c r="A100" s="2" t="s">
        <v>216</v>
      </c>
      <c r="B100" s="72" t="s">
        <v>390</v>
      </c>
      <c r="C100" s="2" t="s">
        <v>24</v>
      </c>
      <c r="D100" s="4">
        <v>3</v>
      </c>
      <c r="E100" s="4">
        <v>6</v>
      </c>
      <c r="F100" s="2" t="s">
        <v>872</v>
      </c>
      <c r="G100" s="2" t="s">
        <v>1032</v>
      </c>
      <c r="H100" s="2" t="s">
        <v>872</v>
      </c>
      <c r="I100" s="2" t="s">
        <v>1032</v>
      </c>
      <c r="J100" s="2" t="s">
        <v>872</v>
      </c>
      <c r="K100" s="2" t="s">
        <v>872</v>
      </c>
      <c r="L100" s="2" t="s">
        <v>873</v>
      </c>
      <c r="M100" s="2" t="s">
        <v>873</v>
      </c>
      <c r="N100" s="2" t="s">
        <v>872</v>
      </c>
    </row>
    <row r="101" spans="1:14" ht="13.5" thickBot="1" x14ac:dyDescent="0.25">
      <c r="A101" s="2" t="s">
        <v>219</v>
      </c>
      <c r="B101" s="72" t="s">
        <v>396</v>
      </c>
      <c r="C101" s="2" t="s">
        <v>24</v>
      </c>
      <c r="D101" s="4">
        <v>6</v>
      </c>
      <c r="E101" s="4">
        <v>11</v>
      </c>
      <c r="F101" s="2" t="s">
        <v>872</v>
      </c>
      <c r="G101" s="2" t="s">
        <v>930</v>
      </c>
      <c r="H101" s="2" t="s">
        <v>872</v>
      </c>
      <c r="I101" s="2" t="s">
        <v>930</v>
      </c>
      <c r="J101" s="2" t="s">
        <v>872</v>
      </c>
      <c r="K101" s="2" t="s">
        <v>872</v>
      </c>
      <c r="L101" s="2" t="s">
        <v>873</v>
      </c>
      <c r="M101" s="2" t="s">
        <v>872</v>
      </c>
      <c r="N101" s="2" t="s">
        <v>872</v>
      </c>
    </row>
    <row r="102" spans="1:14" ht="13.5" thickBot="1" x14ac:dyDescent="0.25">
      <c r="A102" s="2" t="s">
        <v>221</v>
      </c>
      <c r="B102" s="72" t="s">
        <v>402</v>
      </c>
      <c r="C102" s="2" t="s">
        <v>24</v>
      </c>
      <c r="D102" s="4">
        <v>3</v>
      </c>
      <c r="E102" s="4">
        <v>8</v>
      </c>
      <c r="F102" s="2" t="s">
        <v>872</v>
      </c>
      <c r="G102" s="2" t="s">
        <v>932</v>
      </c>
      <c r="H102" s="2" t="s">
        <v>872</v>
      </c>
      <c r="I102" s="2" t="s">
        <v>932</v>
      </c>
      <c r="J102" s="2" t="s">
        <v>872</v>
      </c>
      <c r="K102" s="2" t="s">
        <v>872</v>
      </c>
      <c r="L102" s="2" t="s">
        <v>873</v>
      </c>
      <c r="M102" s="2" t="s">
        <v>872</v>
      </c>
      <c r="N102" s="2" t="s">
        <v>872</v>
      </c>
    </row>
    <row r="103" spans="1:14" ht="13.5" thickBot="1" x14ac:dyDescent="0.25">
      <c r="A103" s="2" t="s">
        <v>223</v>
      </c>
      <c r="B103" s="72" t="s">
        <v>406</v>
      </c>
      <c r="C103" s="2" t="s">
        <v>24</v>
      </c>
      <c r="D103" s="4">
        <v>2</v>
      </c>
      <c r="E103" s="4">
        <v>6</v>
      </c>
      <c r="F103" s="2" t="s">
        <v>872</v>
      </c>
      <c r="G103" s="2" t="s">
        <v>1038</v>
      </c>
      <c r="H103" s="2" t="s">
        <v>872</v>
      </c>
      <c r="I103" s="2" t="s">
        <v>1038</v>
      </c>
      <c r="J103" s="2" t="s">
        <v>873</v>
      </c>
      <c r="K103" s="2" t="s">
        <v>872</v>
      </c>
      <c r="L103" s="2" t="s">
        <v>873</v>
      </c>
      <c r="M103" s="2" t="s">
        <v>873</v>
      </c>
      <c r="N103" s="2" t="s">
        <v>872</v>
      </c>
    </row>
    <row r="104" spans="1:14" ht="13.5" thickBot="1" x14ac:dyDescent="0.25">
      <c r="A104" s="2" t="s">
        <v>225</v>
      </c>
      <c r="B104" s="72" t="s">
        <v>410</v>
      </c>
      <c r="C104" s="2" t="s">
        <v>24</v>
      </c>
      <c r="D104" s="4">
        <v>2</v>
      </c>
      <c r="E104" s="4">
        <v>8</v>
      </c>
      <c r="F104" s="2" t="s">
        <v>872</v>
      </c>
      <c r="G104" s="2" t="s">
        <v>1010</v>
      </c>
      <c r="H104" s="2" t="s">
        <v>872</v>
      </c>
      <c r="I104" s="2" t="s">
        <v>1010</v>
      </c>
      <c r="J104" s="2" t="s">
        <v>872</v>
      </c>
      <c r="K104" s="2" t="s">
        <v>872</v>
      </c>
      <c r="L104" s="2" t="s">
        <v>873</v>
      </c>
      <c r="M104" s="2" t="s">
        <v>873</v>
      </c>
      <c r="N104" s="2" t="s">
        <v>872</v>
      </c>
    </row>
    <row r="105" spans="1:14" ht="13.5" thickBot="1" x14ac:dyDescent="0.25">
      <c r="A105" s="2" t="s">
        <v>227</v>
      </c>
      <c r="B105" s="72" t="s">
        <v>412</v>
      </c>
      <c r="C105" s="2" t="s">
        <v>24</v>
      </c>
      <c r="D105" s="4">
        <v>7</v>
      </c>
      <c r="E105" s="4">
        <v>8</v>
      </c>
      <c r="F105" s="2" t="s">
        <v>872</v>
      </c>
      <c r="G105" s="2" t="s">
        <v>1039</v>
      </c>
      <c r="H105" s="2" t="s">
        <v>872</v>
      </c>
      <c r="I105" s="2" t="s">
        <v>939</v>
      </c>
      <c r="J105" s="2" t="s">
        <v>872</v>
      </c>
      <c r="K105" s="2" t="s">
        <v>872</v>
      </c>
      <c r="L105" s="2" t="s">
        <v>873</v>
      </c>
      <c r="M105" s="2" t="s">
        <v>873</v>
      </c>
      <c r="N105" s="2" t="s">
        <v>872</v>
      </c>
    </row>
    <row r="106" spans="1:14" ht="13.5" thickBot="1" x14ac:dyDescent="0.25">
      <c r="A106" s="2" t="s">
        <v>229</v>
      </c>
      <c r="B106" s="72" t="s">
        <v>414</v>
      </c>
      <c r="C106" s="2" t="s">
        <v>24</v>
      </c>
      <c r="D106" s="4">
        <v>6</v>
      </c>
      <c r="E106" s="4">
        <v>32</v>
      </c>
      <c r="F106" s="2" t="s">
        <v>872</v>
      </c>
      <c r="G106" s="2" t="s">
        <v>927</v>
      </c>
      <c r="H106" s="2" t="s">
        <v>872</v>
      </c>
      <c r="I106" s="2" t="s">
        <v>1040</v>
      </c>
      <c r="J106" s="2" t="s">
        <v>872</v>
      </c>
      <c r="K106" s="2" t="s">
        <v>872</v>
      </c>
      <c r="L106" s="2" t="s">
        <v>873</v>
      </c>
      <c r="M106" s="2" t="s">
        <v>873</v>
      </c>
      <c r="N106" s="2" t="s">
        <v>872</v>
      </c>
    </row>
    <row r="107" spans="1:14" ht="13.5" thickBot="1" x14ac:dyDescent="0.25">
      <c r="A107" s="2" t="s">
        <v>231</v>
      </c>
      <c r="B107" s="72" t="s">
        <v>428</v>
      </c>
      <c r="C107" s="2" t="s">
        <v>24</v>
      </c>
      <c r="D107" s="4">
        <v>6</v>
      </c>
      <c r="E107" s="4">
        <v>25</v>
      </c>
      <c r="F107" s="2" t="s">
        <v>872</v>
      </c>
      <c r="G107" s="2" t="s">
        <v>928</v>
      </c>
      <c r="H107" s="2" t="s">
        <v>872</v>
      </c>
      <c r="I107" s="2" t="s">
        <v>1008</v>
      </c>
      <c r="J107" s="2" t="s">
        <v>872</v>
      </c>
      <c r="K107" s="2" t="s">
        <v>872</v>
      </c>
      <c r="L107" s="2" t="s">
        <v>873</v>
      </c>
      <c r="M107" s="2" t="s">
        <v>872</v>
      </c>
      <c r="N107" s="2" t="s">
        <v>872</v>
      </c>
    </row>
    <row r="108" spans="1:14" ht="13.5" thickBot="1" x14ac:dyDescent="0.25">
      <c r="A108" s="2" t="s">
        <v>233</v>
      </c>
      <c r="B108" s="72" t="s">
        <v>440</v>
      </c>
      <c r="C108" s="2" t="s">
        <v>24</v>
      </c>
      <c r="D108" s="4">
        <v>8</v>
      </c>
      <c r="E108" s="4">
        <v>12</v>
      </c>
      <c r="F108" s="2" t="s">
        <v>872</v>
      </c>
      <c r="G108" s="2" t="s">
        <v>1047</v>
      </c>
      <c r="H108" s="2" t="s">
        <v>872</v>
      </c>
      <c r="I108" s="2" t="s">
        <v>1008</v>
      </c>
      <c r="J108" s="2" t="s">
        <v>872</v>
      </c>
      <c r="K108" s="2" t="s">
        <v>872</v>
      </c>
      <c r="L108" s="2" t="s">
        <v>873</v>
      </c>
      <c r="M108" s="2" t="s">
        <v>872</v>
      </c>
      <c r="N108" s="2" t="s">
        <v>872</v>
      </c>
    </row>
    <row r="109" spans="1:14" ht="13.5" thickBot="1" x14ac:dyDescent="0.25">
      <c r="A109" s="2" t="s">
        <v>235</v>
      </c>
      <c r="B109" s="72" t="s">
        <v>442</v>
      </c>
      <c r="C109" s="2" t="s">
        <v>24</v>
      </c>
      <c r="D109" s="4">
        <v>7</v>
      </c>
      <c r="E109" s="4">
        <v>10</v>
      </c>
      <c r="F109" s="2" t="s">
        <v>872</v>
      </c>
      <c r="G109" s="2" t="s">
        <v>957</v>
      </c>
      <c r="H109" s="2" t="s">
        <v>872</v>
      </c>
      <c r="I109" s="2" t="s">
        <v>957</v>
      </c>
      <c r="J109" s="2" t="s">
        <v>872</v>
      </c>
      <c r="K109" s="2" t="s">
        <v>872</v>
      </c>
      <c r="L109" s="2" t="s">
        <v>873</v>
      </c>
      <c r="M109" s="2" t="s">
        <v>873</v>
      </c>
      <c r="N109" s="2" t="s">
        <v>872</v>
      </c>
    </row>
    <row r="110" spans="1:14" ht="13.5" thickBot="1" x14ac:dyDescent="0.25">
      <c r="A110" s="2" t="s">
        <v>237</v>
      </c>
      <c r="B110" s="72" t="s">
        <v>464</v>
      </c>
      <c r="C110" s="2" t="s">
        <v>24</v>
      </c>
      <c r="D110" s="4">
        <v>4</v>
      </c>
      <c r="E110" s="4">
        <v>13</v>
      </c>
      <c r="F110" s="2" t="s">
        <v>872</v>
      </c>
      <c r="G110" s="2" t="s">
        <v>986</v>
      </c>
      <c r="H110" s="2" t="s">
        <v>872</v>
      </c>
      <c r="I110" s="2" t="s">
        <v>986</v>
      </c>
      <c r="J110" s="2" t="s">
        <v>873</v>
      </c>
      <c r="K110" s="2" t="s">
        <v>872</v>
      </c>
      <c r="L110" s="2" t="s">
        <v>873</v>
      </c>
      <c r="M110" s="2" t="s">
        <v>873</v>
      </c>
      <c r="N110" s="2" t="s">
        <v>872</v>
      </c>
    </row>
    <row r="111" spans="1:14" ht="13.5" thickBot="1" x14ac:dyDescent="0.25">
      <c r="A111" s="2" t="s">
        <v>239</v>
      </c>
      <c r="B111" s="72" t="s">
        <v>471</v>
      </c>
      <c r="C111" s="2" t="s">
        <v>24</v>
      </c>
      <c r="D111" s="4">
        <v>4</v>
      </c>
      <c r="E111" s="4">
        <v>7</v>
      </c>
      <c r="F111" s="2" t="s">
        <v>872</v>
      </c>
      <c r="G111" s="2" t="s">
        <v>1051</v>
      </c>
      <c r="H111" s="2" t="s">
        <v>872</v>
      </c>
      <c r="I111" s="2" t="s">
        <v>1051</v>
      </c>
      <c r="J111" s="2" t="s">
        <v>872</v>
      </c>
      <c r="K111" s="2" t="s">
        <v>872</v>
      </c>
      <c r="L111" s="2" t="s">
        <v>873</v>
      </c>
      <c r="M111" s="2" t="s">
        <v>873</v>
      </c>
      <c r="N111" s="2" t="s">
        <v>872</v>
      </c>
    </row>
    <row r="112" spans="1:14" ht="13.5" thickBot="1" x14ac:dyDescent="0.25">
      <c r="A112" s="2" t="s">
        <v>241</v>
      </c>
      <c r="B112" s="72" t="s">
        <v>477</v>
      </c>
      <c r="C112" s="2" t="s">
        <v>24</v>
      </c>
      <c r="D112" s="4">
        <v>9</v>
      </c>
      <c r="E112" s="4">
        <v>8</v>
      </c>
      <c r="F112" s="2" t="s">
        <v>872</v>
      </c>
      <c r="G112" s="2" t="s">
        <v>940</v>
      </c>
      <c r="H112" s="2" t="s">
        <v>872</v>
      </c>
      <c r="I112" s="2" t="s">
        <v>969</v>
      </c>
      <c r="J112" s="2" t="s">
        <v>872</v>
      </c>
      <c r="K112" s="2" t="s">
        <v>872</v>
      </c>
      <c r="L112" s="2" t="s">
        <v>873</v>
      </c>
      <c r="M112" s="2" t="s">
        <v>872</v>
      </c>
      <c r="N112" s="2" t="s">
        <v>872</v>
      </c>
    </row>
    <row r="113" spans="1:14" ht="13.5" thickBot="1" x14ac:dyDescent="0.25">
      <c r="A113" s="2" t="s">
        <v>243</v>
      </c>
      <c r="B113" s="72" t="s">
        <v>481</v>
      </c>
      <c r="C113" s="2" t="s">
        <v>24</v>
      </c>
      <c r="D113" s="4">
        <v>3</v>
      </c>
      <c r="E113" s="4">
        <v>11</v>
      </c>
      <c r="F113" s="2" t="s">
        <v>872</v>
      </c>
      <c r="G113" s="2" t="s">
        <v>1053</v>
      </c>
      <c r="H113" s="2" t="s">
        <v>872</v>
      </c>
      <c r="I113" s="2" t="s">
        <v>1053</v>
      </c>
      <c r="J113" s="2" t="s">
        <v>872</v>
      </c>
      <c r="K113" s="2" t="s">
        <v>873</v>
      </c>
      <c r="L113" s="2" t="s">
        <v>873</v>
      </c>
      <c r="M113" s="2" t="s">
        <v>873</v>
      </c>
      <c r="N113" s="2" t="s">
        <v>872</v>
      </c>
    </row>
    <row r="114" spans="1:14" ht="13.5" thickBot="1" x14ac:dyDescent="0.25">
      <c r="A114" s="2" t="s">
        <v>245</v>
      </c>
      <c r="B114" s="72" t="s">
        <v>493</v>
      </c>
      <c r="C114" s="2" t="s">
        <v>24</v>
      </c>
      <c r="D114" s="4">
        <v>5</v>
      </c>
      <c r="E114" s="4">
        <v>7</v>
      </c>
      <c r="F114" s="2" t="s">
        <v>872</v>
      </c>
      <c r="G114" s="2" t="s">
        <v>942</v>
      </c>
      <c r="H114" s="2" t="s">
        <v>872</v>
      </c>
      <c r="I114" s="2" t="s">
        <v>942</v>
      </c>
      <c r="J114" s="2" t="s">
        <v>872</v>
      </c>
      <c r="K114" s="2" t="s">
        <v>872</v>
      </c>
      <c r="L114" s="2" t="s">
        <v>873</v>
      </c>
      <c r="M114" s="2" t="s">
        <v>872</v>
      </c>
      <c r="N114" s="2" t="s">
        <v>872</v>
      </c>
    </row>
    <row r="115" spans="1:14" ht="13.5" thickBot="1" x14ac:dyDescent="0.25">
      <c r="A115" s="2" t="s">
        <v>247</v>
      </c>
      <c r="B115" s="72" t="s">
        <v>495</v>
      </c>
      <c r="C115" s="2" t="s">
        <v>24</v>
      </c>
      <c r="D115" s="4">
        <v>3</v>
      </c>
      <c r="E115" s="4">
        <v>7</v>
      </c>
      <c r="F115" s="2" t="s">
        <v>872</v>
      </c>
      <c r="G115" s="2" t="s">
        <v>1023</v>
      </c>
      <c r="H115" s="2" t="s">
        <v>872</v>
      </c>
      <c r="I115" s="2" t="s">
        <v>1023</v>
      </c>
      <c r="J115" s="2" t="s">
        <v>872</v>
      </c>
      <c r="K115" s="2" t="s">
        <v>872</v>
      </c>
      <c r="L115" s="2" t="s">
        <v>873</v>
      </c>
      <c r="M115" s="2" t="s">
        <v>872</v>
      </c>
      <c r="N115" s="2" t="s">
        <v>872</v>
      </c>
    </row>
    <row r="116" spans="1:14" ht="13.5" thickBot="1" x14ac:dyDescent="0.25">
      <c r="A116" s="2" t="s">
        <v>249</v>
      </c>
      <c r="B116" s="72" t="s">
        <v>503</v>
      </c>
      <c r="C116" s="2" t="s">
        <v>24</v>
      </c>
      <c r="D116" s="4">
        <v>4</v>
      </c>
      <c r="E116" s="4">
        <v>11</v>
      </c>
      <c r="F116" s="2" t="s">
        <v>872</v>
      </c>
      <c r="G116" s="2" t="s">
        <v>916</v>
      </c>
      <c r="H116" s="2" t="s">
        <v>872</v>
      </c>
      <c r="I116" s="2" t="s">
        <v>916</v>
      </c>
      <c r="J116" s="2" t="s">
        <v>872</v>
      </c>
      <c r="K116" s="2" t="s">
        <v>872</v>
      </c>
      <c r="L116" s="2" t="s">
        <v>873</v>
      </c>
      <c r="M116" s="2" t="s">
        <v>873</v>
      </c>
      <c r="N116" s="2" t="s">
        <v>872</v>
      </c>
    </row>
    <row r="117" spans="1:14" ht="13.5" thickBot="1" x14ac:dyDescent="0.25">
      <c r="A117" s="2" t="s">
        <v>251</v>
      </c>
      <c r="B117" s="72" t="s">
        <v>505</v>
      </c>
      <c r="C117" s="2" t="s">
        <v>24</v>
      </c>
      <c r="D117" s="4">
        <v>3</v>
      </c>
      <c r="E117" s="4">
        <v>30</v>
      </c>
      <c r="F117" s="2" t="s">
        <v>872</v>
      </c>
      <c r="G117" s="2" t="s">
        <v>1058</v>
      </c>
      <c r="H117" s="2" t="s">
        <v>872</v>
      </c>
      <c r="I117" s="2" t="s">
        <v>1059</v>
      </c>
      <c r="J117" s="2" t="s">
        <v>872</v>
      </c>
      <c r="K117" s="2" t="s">
        <v>872</v>
      </c>
      <c r="L117" s="2" t="s">
        <v>873</v>
      </c>
      <c r="M117" s="2" t="s">
        <v>873</v>
      </c>
      <c r="N117" s="2" t="s">
        <v>872</v>
      </c>
    </row>
    <row r="118" spans="1:14" ht="13.5" thickBot="1" x14ac:dyDescent="0.25">
      <c r="A118" s="2" t="s">
        <v>253</v>
      </c>
      <c r="B118" s="72" t="s">
        <v>511</v>
      </c>
      <c r="C118" s="2" t="s">
        <v>24</v>
      </c>
      <c r="D118" s="4">
        <v>2</v>
      </c>
      <c r="E118" s="4">
        <v>6</v>
      </c>
      <c r="F118" s="2" t="s">
        <v>872</v>
      </c>
      <c r="G118" s="2" t="s">
        <v>992</v>
      </c>
      <c r="H118" s="2" t="s">
        <v>873</v>
      </c>
      <c r="I118" s="2" t="s">
        <v>992</v>
      </c>
      <c r="J118" s="2" t="s">
        <v>872</v>
      </c>
      <c r="K118" s="2" t="s">
        <v>872</v>
      </c>
      <c r="L118" s="2" t="s">
        <v>873</v>
      </c>
      <c r="M118" s="2" t="s">
        <v>873</v>
      </c>
      <c r="N118" s="2" t="s">
        <v>872</v>
      </c>
    </row>
    <row r="119" spans="1:14" ht="13.5" thickBot="1" x14ac:dyDescent="0.25">
      <c r="A119" s="2" t="s">
        <v>255</v>
      </c>
      <c r="B119" s="72" t="s">
        <v>529</v>
      </c>
      <c r="C119" s="2" t="s">
        <v>24</v>
      </c>
      <c r="D119" s="4">
        <v>3</v>
      </c>
      <c r="E119" s="4">
        <v>8</v>
      </c>
      <c r="F119" s="2" t="s">
        <v>872</v>
      </c>
      <c r="G119" s="2" t="s">
        <v>916</v>
      </c>
      <c r="H119" s="2" t="s">
        <v>872</v>
      </c>
      <c r="I119" s="2" t="s">
        <v>916</v>
      </c>
      <c r="J119" s="2" t="s">
        <v>872</v>
      </c>
      <c r="K119" s="2" t="s">
        <v>872</v>
      </c>
      <c r="L119" s="2" t="s">
        <v>873</v>
      </c>
      <c r="M119" s="2" t="s">
        <v>873</v>
      </c>
      <c r="N119" s="2" t="s">
        <v>872</v>
      </c>
    </row>
    <row r="120" spans="1:14" ht="13.5" thickBot="1" x14ac:dyDescent="0.25">
      <c r="A120" s="2" t="s">
        <v>257</v>
      </c>
      <c r="B120" s="72" t="s">
        <v>531</v>
      </c>
      <c r="C120" s="2" t="s">
        <v>24</v>
      </c>
      <c r="D120" s="4">
        <v>10</v>
      </c>
      <c r="E120" s="4">
        <v>36</v>
      </c>
      <c r="F120" s="2" t="s">
        <v>872</v>
      </c>
      <c r="G120" s="2" t="s">
        <v>939</v>
      </c>
      <c r="H120" s="2" t="s">
        <v>872</v>
      </c>
      <c r="I120" s="2" t="s">
        <v>939</v>
      </c>
      <c r="J120" s="2" t="s">
        <v>872</v>
      </c>
      <c r="K120" s="2" t="s">
        <v>872</v>
      </c>
      <c r="L120" s="2" t="s">
        <v>872</v>
      </c>
      <c r="M120" s="2" t="s">
        <v>872</v>
      </c>
      <c r="N120" s="2" t="s">
        <v>872</v>
      </c>
    </row>
    <row r="121" spans="1:14" ht="13.5" thickBot="1" x14ac:dyDescent="0.25">
      <c r="A121" s="2" t="s">
        <v>261</v>
      </c>
      <c r="B121" s="72" t="s">
        <v>543</v>
      </c>
      <c r="C121" s="2" t="s">
        <v>24</v>
      </c>
      <c r="D121" s="4">
        <v>10</v>
      </c>
      <c r="E121" s="4">
        <v>21</v>
      </c>
      <c r="F121" s="2" t="s">
        <v>872</v>
      </c>
      <c r="G121" s="2" t="s">
        <v>949</v>
      </c>
      <c r="H121" s="2" t="s">
        <v>872</v>
      </c>
      <c r="I121" s="2" t="s">
        <v>937</v>
      </c>
      <c r="J121" s="2" t="s">
        <v>872</v>
      </c>
      <c r="K121" s="2" t="s">
        <v>872</v>
      </c>
      <c r="L121" s="2" t="s">
        <v>872</v>
      </c>
      <c r="M121" s="2" t="s">
        <v>872</v>
      </c>
      <c r="N121" s="2" t="s">
        <v>872</v>
      </c>
    </row>
    <row r="122" spans="1:14" ht="13.5" thickBot="1" x14ac:dyDescent="0.25">
      <c r="A122" s="2" t="s">
        <v>263</v>
      </c>
      <c r="B122" s="72" t="s">
        <v>545</v>
      </c>
      <c r="C122" s="2" t="s">
        <v>24</v>
      </c>
      <c r="D122" s="4">
        <v>7</v>
      </c>
      <c r="E122" s="4">
        <v>13</v>
      </c>
      <c r="F122" s="2" t="s">
        <v>872</v>
      </c>
      <c r="G122" s="2" t="s">
        <v>928</v>
      </c>
      <c r="H122" s="2" t="s">
        <v>872</v>
      </c>
      <c r="I122" s="2" t="s">
        <v>928</v>
      </c>
      <c r="J122" s="2" t="s">
        <v>872</v>
      </c>
      <c r="K122" s="2" t="s">
        <v>872</v>
      </c>
      <c r="L122" s="2" t="s">
        <v>873</v>
      </c>
      <c r="M122" s="2" t="s">
        <v>872</v>
      </c>
      <c r="N122" s="2" t="s">
        <v>872</v>
      </c>
    </row>
    <row r="123" spans="1:14" ht="13.5" thickBot="1" x14ac:dyDescent="0.25">
      <c r="A123" s="2" t="s">
        <v>269</v>
      </c>
      <c r="B123" s="72" t="s">
        <v>549</v>
      </c>
      <c r="C123" s="2" t="s">
        <v>24</v>
      </c>
      <c r="D123" s="4">
        <v>2</v>
      </c>
      <c r="E123" s="4">
        <v>2</v>
      </c>
      <c r="F123" s="2" t="s">
        <v>872</v>
      </c>
      <c r="G123" s="2" t="s">
        <v>939</v>
      </c>
      <c r="H123" s="2" t="s">
        <v>872</v>
      </c>
      <c r="I123" s="2" t="s">
        <v>939</v>
      </c>
      <c r="J123" s="2" t="s">
        <v>872</v>
      </c>
      <c r="K123" s="2" t="s">
        <v>872</v>
      </c>
      <c r="L123" s="2" t="s">
        <v>873</v>
      </c>
      <c r="M123" s="2" t="s">
        <v>873</v>
      </c>
      <c r="N123" s="2" t="s">
        <v>872</v>
      </c>
    </row>
    <row r="124" spans="1:14" ht="13.5" thickBot="1" x14ac:dyDescent="0.25">
      <c r="A124" s="2" t="s">
        <v>271</v>
      </c>
      <c r="B124" s="72" t="s">
        <v>557</v>
      </c>
      <c r="C124" s="2" t="s">
        <v>24</v>
      </c>
      <c r="D124" s="4">
        <v>6</v>
      </c>
      <c r="E124" s="4">
        <v>6</v>
      </c>
      <c r="F124" s="2" t="s">
        <v>872</v>
      </c>
      <c r="G124" s="2" t="s">
        <v>933</v>
      </c>
      <c r="H124" s="2" t="s">
        <v>872</v>
      </c>
      <c r="I124" s="2" t="s">
        <v>933</v>
      </c>
      <c r="J124" s="2" t="s">
        <v>872</v>
      </c>
      <c r="K124" s="2" t="s">
        <v>872</v>
      </c>
      <c r="L124" s="2" t="s">
        <v>873</v>
      </c>
      <c r="M124" s="2" t="s">
        <v>872</v>
      </c>
      <c r="N124" s="2" t="s">
        <v>872</v>
      </c>
    </row>
    <row r="125" spans="1:14" ht="13.5" thickBot="1" x14ac:dyDescent="0.25">
      <c r="A125" s="2" t="s">
        <v>273</v>
      </c>
      <c r="B125" s="72" t="s">
        <v>577</v>
      </c>
      <c r="C125" s="2" t="s">
        <v>24</v>
      </c>
      <c r="D125" s="4">
        <v>4</v>
      </c>
      <c r="E125" s="4">
        <v>6</v>
      </c>
      <c r="F125" s="2" t="s">
        <v>872</v>
      </c>
      <c r="G125" s="2" t="s">
        <v>939</v>
      </c>
      <c r="H125" s="2" t="s">
        <v>872</v>
      </c>
      <c r="I125" s="2" t="s">
        <v>939</v>
      </c>
      <c r="J125" s="2" t="s">
        <v>872</v>
      </c>
      <c r="K125" s="2" t="s">
        <v>872</v>
      </c>
      <c r="L125" s="2" t="s">
        <v>873</v>
      </c>
      <c r="M125" s="2" t="s">
        <v>873</v>
      </c>
      <c r="N125" s="2" t="s">
        <v>872</v>
      </c>
    </row>
    <row r="126" spans="1:14" ht="13.5" thickBot="1" x14ac:dyDescent="0.25">
      <c r="A126" s="2" t="s">
        <v>275</v>
      </c>
      <c r="B126" s="72" t="s">
        <v>583</v>
      </c>
      <c r="C126" s="2" t="s">
        <v>24</v>
      </c>
      <c r="D126" s="4">
        <v>4</v>
      </c>
      <c r="E126" s="4">
        <v>14</v>
      </c>
      <c r="F126" s="2" t="s">
        <v>872</v>
      </c>
      <c r="G126" s="2" t="s">
        <v>997</v>
      </c>
      <c r="H126" s="2" t="s">
        <v>872</v>
      </c>
      <c r="I126" s="2" t="s">
        <v>997</v>
      </c>
      <c r="J126" s="2" t="s">
        <v>872</v>
      </c>
      <c r="K126" s="2" t="s">
        <v>872</v>
      </c>
      <c r="L126" s="2" t="s">
        <v>873</v>
      </c>
      <c r="M126" s="2" t="s">
        <v>872</v>
      </c>
      <c r="N126" s="2" t="s">
        <v>872</v>
      </c>
    </row>
    <row r="127" spans="1:14" ht="13.5" thickBot="1" x14ac:dyDescent="0.25">
      <c r="A127" s="2" t="s">
        <v>277</v>
      </c>
      <c r="B127" s="72" t="s">
        <v>589</v>
      </c>
      <c r="C127" s="2" t="s">
        <v>24</v>
      </c>
      <c r="D127" s="4">
        <v>4</v>
      </c>
      <c r="E127" s="4">
        <v>6</v>
      </c>
      <c r="F127" s="2" t="s">
        <v>872</v>
      </c>
      <c r="G127" s="2" t="s">
        <v>930</v>
      </c>
      <c r="H127" s="2" t="s">
        <v>872</v>
      </c>
      <c r="I127" s="2" t="s">
        <v>930</v>
      </c>
      <c r="J127" s="2" t="s">
        <v>872</v>
      </c>
      <c r="K127" s="2" t="s">
        <v>872</v>
      </c>
      <c r="L127" s="2" t="s">
        <v>873</v>
      </c>
      <c r="M127" s="2" t="s">
        <v>872</v>
      </c>
      <c r="N127" s="2" t="s">
        <v>872</v>
      </c>
    </row>
    <row r="128" spans="1:14" ht="13.5" thickBot="1" x14ac:dyDescent="0.25">
      <c r="A128" s="2" t="s">
        <v>279</v>
      </c>
      <c r="B128" s="72" t="s">
        <v>601</v>
      </c>
      <c r="C128" s="2" t="s">
        <v>24</v>
      </c>
      <c r="D128" s="4">
        <v>5</v>
      </c>
      <c r="E128" s="4">
        <v>12</v>
      </c>
      <c r="F128" s="2" t="s">
        <v>872</v>
      </c>
      <c r="G128" s="2" t="s">
        <v>1075</v>
      </c>
      <c r="H128" s="2" t="s">
        <v>872</v>
      </c>
      <c r="I128" s="2" t="s">
        <v>943</v>
      </c>
      <c r="J128" s="2" t="s">
        <v>872</v>
      </c>
      <c r="K128" s="2" t="s">
        <v>872</v>
      </c>
      <c r="L128" s="2" t="s">
        <v>873</v>
      </c>
      <c r="M128" s="2" t="s">
        <v>872</v>
      </c>
      <c r="N128" s="2" t="s">
        <v>872</v>
      </c>
    </row>
    <row r="129" spans="1:14" ht="13.5" thickBot="1" x14ac:dyDescent="0.25">
      <c r="A129" s="2" t="s">
        <v>281</v>
      </c>
      <c r="B129" s="72" t="s">
        <v>605</v>
      </c>
      <c r="C129" s="2" t="s">
        <v>24</v>
      </c>
      <c r="D129" s="4">
        <v>2</v>
      </c>
      <c r="E129" s="4">
        <v>11</v>
      </c>
      <c r="F129" s="2" t="s">
        <v>872</v>
      </c>
      <c r="G129" s="2" t="s">
        <v>992</v>
      </c>
      <c r="H129" s="2" t="s">
        <v>872</v>
      </c>
      <c r="I129" s="2" t="s">
        <v>992</v>
      </c>
      <c r="J129" s="2" t="s">
        <v>872</v>
      </c>
      <c r="K129" s="2" t="s">
        <v>872</v>
      </c>
      <c r="L129" s="2" t="s">
        <v>873</v>
      </c>
      <c r="M129" s="2" t="s">
        <v>873</v>
      </c>
      <c r="N129" s="2" t="s">
        <v>872</v>
      </c>
    </row>
    <row r="130" spans="1:14" ht="13.5" thickBot="1" x14ac:dyDescent="0.25">
      <c r="A130" s="2" t="s">
        <v>283</v>
      </c>
      <c r="B130" s="72" t="s">
        <v>619</v>
      </c>
      <c r="C130" s="2" t="s">
        <v>24</v>
      </c>
      <c r="D130" s="4">
        <v>3</v>
      </c>
      <c r="E130" s="4">
        <v>7</v>
      </c>
      <c r="F130" s="2" t="s">
        <v>872</v>
      </c>
      <c r="G130" s="2" t="s">
        <v>1079</v>
      </c>
      <c r="H130" s="2" t="s">
        <v>872</v>
      </c>
      <c r="I130" s="2" t="s">
        <v>1079</v>
      </c>
      <c r="J130" s="2" t="s">
        <v>872</v>
      </c>
      <c r="K130" s="2" t="s">
        <v>872</v>
      </c>
      <c r="L130" s="2" t="s">
        <v>873</v>
      </c>
      <c r="M130" s="2" t="s">
        <v>873</v>
      </c>
      <c r="N130" s="2" t="s">
        <v>872</v>
      </c>
    </row>
    <row r="131" spans="1:14" ht="13.5" thickBot="1" x14ac:dyDescent="0.25">
      <c r="A131" s="2" t="s">
        <v>285</v>
      </c>
      <c r="B131" s="72" t="s">
        <v>625</v>
      </c>
      <c r="C131" s="2" t="s">
        <v>24</v>
      </c>
      <c r="D131" s="4">
        <v>3</v>
      </c>
      <c r="E131" s="4">
        <v>9</v>
      </c>
      <c r="F131" s="2" t="s">
        <v>872</v>
      </c>
      <c r="G131" s="2" t="s">
        <v>937</v>
      </c>
      <c r="H131" s="2" t="s">
        <v>872</v>
      </c>
      <c r="I131" s="2" t="s">
        <v>937</v>
      </c>
      <c r="J131" s="2" t="s">
        <v>872</v>
      </c>
      <c r="K131" s="2" t="s">
        <v>872</v>
      </c>
      <c r="L131" s="2" t="s">
        <v>873</v>
      </c>
      <c r="M131" s="2" t="s">
        <v>873</v>
      </c>
      <c r="N131" s="2" t="s">
        <v>872</v>
      </c>
    </row>
    <row r="132" spans="1:14" ht="13.5" thickBot="1" x14ac:dyDescent="0.25">
      <c r="A132" s="2" t="s">
        <v>287</v>
      </c>
      <c r="B132" s="72" t="s">
        <v>627</v>
      </c>
      <c r="C132" s="2" t="s">
        <v>24</v>
      </c>
      <c r="D132" s="4">
        <v>4</v>
      </c>
      <c r="E132" s="4">
        <v>10</v>
      </c>
      <c r="F132" s="2" t="s">
        <v>872</v>
      </c>
      <c r="G132" s="2" t="s">
        <v>1010</v>
      </c>
      <c r="H132" s="2" t="s">
        <v>872</v>
      </c>
      <c r="I132" s="2" t="s">
        <v>1010</v>
      </c>
      <c r="J132" s="2" t="s">
        <v>872</v>
      </c>
      <c r="K132" s="2" t="s">
        <v>872</v>
      </c>
      <c r="L132" s="2" t="s">
        <v>873</v>
      </c>
      <c r="M132" s="2" t="s">
        <v>873</v>
      </c>
      <c r="N132" s="2" t="s">
        <v>872</v>
      </c>
    </row>
    <row r="133" spans="1:14" ht="13.5" thickBot="1" x14ac:dyDescent="0.25">
      <c r="A133" s="2" t="s">
        <v>291</v>
      </c>
      <c r="B133" s="72" t="s">
        <v>633</v>
      </c>
      <c r="C133" s="2" t="s">
        <v>24</v>
      </c>
      <c r="D133" s="4">
        <v>2</v>
      </c>
      <c r="E133" s="4">
        <v>10</v>
      </c>
      <c r="F133" s="2" t="s">
        <v>872</v>
      </c>
      <c r="G133" s="2" t="s">
        <v>960</v>
      </c>
      <c r="H133" s="2" t="s">
        <v>872</v>
      </c>
      <c r="I133" s="2" t="s">
        <v>960</v>
      </c>
      <c r="J133" s="2" t="s">
        <v>873</v>
      </c>
      <c r="K133" s="2" t="s">
        <v>872</v>
      </c>
      <c r="L133" s="2" t="s">
        <v>873</v>
      </c>
      <c r="M133" s="2" t="s">
        <v>873</v>
      </c>
      <c r="N133" s="2" t="s">
        <v>872</v>
      </c>
    </row>
    <row r="134" spans="1:14" ht="13.5" thickBot="1" x14ac:dyDescent="0.25">
      <c r="A134" s="2" t="s">
        <v>293</v>
      </c>
      <c r="B134" s="72" t="s">
        <v>639</v>
      </c>
      <c r="C134" s="2" t="s">
        <v>24</v>
      </c>
      <c r="D134" s="4">
        <v>4</v>
      </c>
      <c r="E134" s="4">
        <v>8</v>
      </c>
      <c r="F134" s="2" t="s">
        <v>872</v>
      </c>
      <c r="G134" s="2" t="s">
        <v>992</v>
      </c>
      <c r="H134" s="2" t="s">
        <v>872</v>
      </c>
      <c r="I134" s="2" t="s">
        <v>992</v>
      </c>
      <c r="J134" s="2" t="s">
        <v>872</v>
      </c>
      <c r="K134" s="2" t="s">
        <v>872</v>
      </c>
      <c r="L134" s="2" t="s">
        <v>873</v>
      </c>
      <c r="M134" s="2" t="s">
        <v>873</v>
      </c>
      <c r="N134" s="2" t="s">
        <v>872</v>
      </c>
    </row>
    <row r="135" spans="1:14" ht="13.5" thickBot="1" x14ac:dyDescent="0.25">
      <c r="A135" s="2" t="s">
        <v>295</v>
      </c>
      <c r="B135" s="72" t="s">
        <v>653</v>
      </c>
      <c r="C135" s="2" t="s">
        <v>24</v>
      </c>
      <c r="D135" s="4">
        <v>4</v>
      </c>
      <c r="E135" s="4">
        <v>17</v>
      </c>
      <c r="F135" s="2" t="s">
        <v>872</v>
      </c>
      <c r="G135" s="2" t="s">
        <v>1084</v>
      </c>
      <c r="H135" s="2" t="s">
        <v>872</v>
      </c>
      <c r="I135" s="2" t="s">
        <v>16</v>
      </c>
      <c r="J135" s="2" t="s">
        <v>872</v>
      </c>
      <c r="K135" s="2" t="s">
        <v>872</v>
      </c>
      <c r="L135" s="2" t="s">
        <v>873</v>
      </c>
      <c r="M135" s="2" t="s">
        <v>872</v>
      </c>
      <c r="N135" s="2" t="s">
        <v>872</v>
      </c>
    </row>
    <row r="136" spans="1:14" ht="13.5" thickBot="1" x14ac:dyDescent="0.25">
      <c r="A136" s="2" t="s">
        <v>297</v>
      </c>
      <c r="B136" s="72" t="s">
        <v>665</v>
      </c>
      <c r="C136" s="2" t="s">
        <v>24</v>
      </c>
      <c r="D136" s="4">
        <v>5</v>
      </c>
      <c r="E136" s="4">
        <v>30</v>
      </c>
      <c r="F136" s="2" t="s">
        <v>872</v>
      </c>
      <c r="G136" s="2" t="s">
        <v>918</v>
      </c>
      <c r="H136" s="2" t="s">
        <v>872</v>
      </c>
      <c r="I136" s="2" t="s">
        <v>918</v>
      </c>
      <c r="J136" s="2" t="s">
        <v>872</v>
      </c>
      <c r="K136" s="2" t="s">
        <v>872</v>
      </c>
      <c r="L136" s="2" t="s">
        <v>873</v>
      </c>
      <c r="M136" s="2" t="s">
        <v>872</v>
      </c>
      <c r="N136" s="2" t="s">
        <v>872</v>
      </c>
    </row>
    <row r="137" spans="1:14" ht="13.5" thickBot="1" x14ac:dyDescent="0.25">
      <c r="A137" s="2" t="s">
        <v>299</v>
      </c>
      <c r="B137" s="72" t="s">
        <v>681</v>
      </c>
      <c r="C137" s="2" t="s">
        <v>24</v>
      </c>
      <c r="D137" s="4">
        <v>3</v>
      </c>
      <c r="E137" s="4">
        <v>18</v>
      </c>
      <c r="F137" s="2" t="s">
        <v>872</v>
      </c>
      <c r="G137" s="2" t="s">
        <v>927</v>
      </c>
      <c r="H137" s="2" t="s">
        <v>872</v>
      </c>
      <c r="I137" s="2" t="s">
        <v>927</v>
      </c>
      <c r="J137" s="2" t="s">
        <v>872</v>
      </c>
      <c r="K137" s="2" t="s">
        <v>872</v>
      </c>
      <c r="L137" s="2" t="s">
        <v>873</v>
      </c>
      <c r="M137" s="2" t="s">
        <v>872</v>
      </c>
      <c r="N137" s="2" t="s">
        <v>872</v>
      </c>
    </row>
    <row r="138" spans="1:14" ht="13.5" thickBot="1" x14ac:dyDescent="0.25">
      <c r="A138" s="2" t="s">
        <v>301</v>
      </c>
      <c r="B138" s="72" t="s">
        <v>691</v>
      </c>
      <c r="C138" s="2" t="s">
        <v>24</v>
      </c>
      <c r="D138" s="4">
        <v>6</v>
      </c>
      <c r="E138" s="4">
        <v>9</v>
      </c>
      <c r="F138" s="2" t="s">
        <v>872</v>
      </c>
      <c r="G138" s="2" t="s">
        <v>1051</v>
      </c>
      <c r="H138" s="2" t="s">
        <v>872</v>
      </c>
      <c r="I138" s="2" t="s">
        <v>1051</v>
      </c>
      <c r="J138" s="2" t="s">
        <v>872</v>
      </c>
      <c r="K138" s="2" t="s">
        <v>872</v>
      </c>
      <c r="L138" s="2" t="s">
        <v>873</v>
      </c>
      <c r="M138" s="2" t="s">
        <v>872</v>
      </c>
      <c r="N138" s="2" t="s">
        <v>872</v>
      </c>
    </row>
    <row r="139" spans="1:14" ht="13.5" thickBot="1" x14ac:dyDescent="0.25">
      <c r="A139" s="2" t="s">
        <v>303</v>
      </c>
      <c r="B139" s="72" t="s">
        <v>695</v>
      </c>
      <c r="C139" s="2" t="s">
        <v>24</v>
      </c>
      <c r="D139" s="4">
        <v>6</v>
      </c>
      <c r="E139" s="4">
        <v>18</v>
      </c>
      <c r="F139" s="2" t="s">
        <v>872</v>
      </c>
      <c r="G139" s="2" t="s">
        <v>1095</v>
      </c>
      <c r="H139" s="2" t="s">
        <v>872</v>
      </c>
      <c r="I139" s="2" t="s">
        <v>1096</v>
      </c>
      <c r="J139" s="2" t="s">
        <v>872</v>
      </c>
      <c r="K139" s="2" t="s">
        <v>872</v>
      </c>
      <c r="L139" s="2" t="s">
        <v>873</v>
      </c>
      <c r="M139" s="2" t="s">
        <v>872</v>
      </c>
      <c r="N139" s="2" t="s">
        <v>872</v>
      </c>
    </row>
    <row r="140" spans="1:14" ht="13.5" thickBot="1" x14ac:dyDescent="0.25">
      <c r="A140" s="2" t="s">
        <v>305</v>
      </c>
      <c r="B140" s="72" t="s">
        <v>701</v>
      </c>
      <c r="C140" s="2" t="s">
        <v>24</v>
      </c>
      <c r="D140" s="4">
        <v>5</v>
      </c>
      <c r="E140" s="4">
        <v>7</v>
      </c>
      <c r="F140" s="2" t="s">
        <v>872</v>
      </c>
      <c r="G140" s="2" t="s">
        <v>937</v>
      </c>
      <c r="H140" s="2" t="s">
        <v>872</v>
      </c>
      <c r="I140" s="2" t="s">
        <v>937</v>
      </c>
      <c r="J140" s="2" t="s">
        <v>872</v>
      </c>
      <c r="K140" s="2" t="s">
        <v>872</v>
      </c>
      <c r="L140" s="2" t="s">
        <v>873</v>
      </c>
      <c r="M140" s="2" t="s">
        <v>873</v>
      </c>
      <c r="N140" s="2" t="s">
        <v>872</v>
      </c>
    </row>
    <row r="141" spans="1:14" ht="13.5" thickBot="1" x14ac:dyDescent="0.25">
      <c r="A141" s="2" t="s">
        <v>307</v>
      </c>
      <c r="B141" s="72" t="s">
        <v>709</v>
      </c>
      <c r="C141" s="2" t="s">
        <v>24</v>
      </c>
      <c r="D141" s="4">
        <v>2</v>
      </c>
      <c r="E141" s="4">
        <v>5</v>
      </c>
      <c r="F141" s="2" t="s">
        <v>872</v>
      </c>
      <c r="G141" s="2" t="s">
        <v>1099</v>
      </c>
      <c r="H141" s="2" t="s">
        <v>872</v>
      </c>
      <c r="I141" s="2" t="s">
        <v>1099</v>
      </c>
      <c r="J141" s="2" t="s">
        <v>872</v>
      </c>
      <c r="K141" s="2" t="s">
        <v>872</v>
      </c>
      <c r="L141" s="2" t="s">
        <v>873</v>
      </c>
      <c r="M141" s="2" t="s">
        <v>873</v>
      </c>
      <c r="N141" s="2" t="s">
        <v>872</v>
      </c>
    </row>
    <row r="142" spans="1:14" ht="13.5" thickBot="1" x14ac:dyDescent="0.25">
      <c r="A142" s="2" t="s">
        <v>309</v>
      </c>
      <c r="B142" s="72" t="s">
        <v>731</v>
      </c>
      <c r="C142" s="2" t="s">
        <v>24</v>
      </c>
      <c r="D142" s="4">
        <v>4</v>
      </c>
      <c r="E142" s="4">
        <v>19</v>
      </c>
      <c r="F142" s="2" t="s">
        <v>872</v>
      </c>
      <c r="G142" s="2" t="s">
        <v>1102</v>
      </c>
      <c r="H142" s="2" t="s">
        <v>872</v>
      </c>
      <c r="I142" s="2" t="s">
        <v>1102</v>
      </c>
      <c r="J142" s="2" t="s">
        <v>872</v>
      </c>
      <c r="K142" s="2" t="s">
        <v>872</v>
      </c>
      <c r="L142" s="2" t="s">
        <v>873</v>
      </c>
      <c r="M142" s="2" t="s">
        <v>873</v>
      </c>
      <c r="N142" s="2" t="s">
        <v>872</v>
      </c>
    </row>
    <row r="143" spans="1:14" ht="13.5" thickBot="1" x14ac:dyDescent="0.25">
      <c r="A143" s="2" t="s">
        <v>311</v>
      </c>
      <c r="B143" s="72" t="s">
        <v>743</v>
      </c>
      <c r="C143" s="2" t="s">
        <v>24</v>
      </c>
      <c r="D143" s="4">
        <v>5</v>
      </c>
      <c r="E143" s="4">
        <v>9</v>
      </c>
      <c r="F143" s="2" t="s">
        <v>872</v>
      </c>
      <c r="G143" s="2" t="s">
        <v>776</v>
      </c>
      <c r="H143" s="2" t="s">
        <v>872</v>
      </c>
      <c r="I143" s="2" t="s">
        <v>776</v>
      </c>
      <c r="J143" s="2" t="s">
        <v>872</v>
      </c>
      <c r="K143" s="2" t="s">
        <v>872</v>
      </c>
      <c r="L143" s="2" t="s">
        <v>873</v>
      </c>
      <c r="M143" s="2" t="s">
        <v>873</v>
      </c>
      <c r="N143" s="2" t="s">
        <v>872</v>
      </c>
    </row>
    <row r="144" spans="1:14" ht="13.5" thickBot="1" x14ac:dyDescent="0.25">
      <c r="A144" s="2" t="s">
        <v>313</v>
      </c>
      <c r="B144" s="72" t="s">
        <v>752</v>
      </c>
      <c r="C144" s="2" t="s">
        <v>24</v>
      </c>
      <c r="D144" s="4">
        <v>2</v>
      </c>
      <c r="E144" s="4">
        <v>6</v>
      </c>
      <c r="F144" s="2" t="s">
        <v>872</v>
      </c>
      <c r="G144" s="2" t="s">
        <v>992</v>
      </c>
      <c r="H144" s="2" t="s">
        <v>872</v>
      </c>
      <c r="I144" s="2" t="s">
        <v>992</v>
      </c>
      <c r="J144" s="2" t="s">
        <v>873</v>
      </c>
      <c r="K144" s="2" t="s">
        <v>872</v>
      </c>
      <c r="L144" s="2" t="s">
        <v>873</v>
      </c>
      <c r="M144" s="2" t="s">
        <v>872</v>
      </c>
      <c r="N144" s="2" t="s">
        <v>872</v>
      </c>
    </row>
    <row r="145" spans="1:14" ht="13.5" thickBot="1" x14ac:dyDescent="0.25">
      <c r="A145" s="2" t="s">
        <v>315</v>
      </c>
      <c r="B145" s="72" t="s">
        <v>760</v>
      </c>
      <c r="C145" s="2" t="s">
        <v>24</v>
      </c>
      <c r="D145" s="4">
        <v>2</v>
      </c>
      <c r="E145" s="4">
        <v>8</v>
      </c>
      <c r="F145" s="2" t="s">
        <v>872</v>
      </c>
      <c r="G145" s="2" t="s">
        <v>992</v>
      </c>
      <c r="H145" s="2" t="s">
        <v>872</v>
      </c>
      <c r="I145" s="2" t="s">
        <v>1106</v>
      </c>
      <c r="J145" s="2" t="s">
        <v>872</v>
      </c>
      <c r="K145" s="2" t="s">
        <v>872</v>
      </c>
      <c r="L145" s="2" t="s">
        <v>873</v>
      </c>
      <c r="M145" s="2" t="s">
        <v>872</v>
      </c>
      <c r="N145" s="2" t="s">
        <v>872</v>
      </c>
    </row>
    <row r="146" spans="1:14" ht="13.5" thickBot="1" x14ac:dyDescent="0.25">
      <c r="A146" s="2" t="s">
        <v>317</v>
      </c>
      <c r="B146" s="72" t="s">
        <v>768</v>
      </c>
      <c r="C146" s="2" t="s">
        <v>24</v>
      </c>
      <c r="D146" s="4">
        <v>3</v>
      </c>
      <c r="E146" s="4">
        <v>9</v>
      </c>
      <c r="F146" s="2" t="s">
        <v>872</v>
      </c>
      <c r="G146" s="2" t="s">
        <v>942</v>
      </c>
      <c r="H146" s="2" t="s">
        <v>872</v>
      </c>
      <c r="I146" s="2" t="s">
        <v>942</v>
      </c>
      <c r="J146" s="2" t="s">
        <v>872</v>
      </c>
      <c r="K146" s="2" t="s">
        <v>872</v>
      </c>
      <c r="L146" s="2" t="s">
        <v>873</v>
      </c>
      <c r="M146" s="2" t="s">
        <v>872</v>
      </c>
      <c r="N146" s="2" t="s">
        <v>872</v>
      </c>
    </row>
    <row r="147" spans="1:14" ht="13.5" thickBot="1" x14ac:dyDescent="0.25">
      <c r="A147" s="2" t="s">
        <v>319</v>
      </c>
      <c r="B147" s="72" t="s">
        <v>782</v>
      </c>
      <c r="C147" s="2" t="s">
        <v>24</v>
      </c>
      <c r="D147" s="4">
        <v>3</v>
      </c>
      <c r="E147" s="4">
        <v>5</v>
      </c>
      <c r="F147" s="2" t="s">
        <v>872</v>
      </c>
      <c r="G147" s="2" t="s">
        <v>940</v>
      </c>
      <c r="H147" s="2" t="s">
        <v>872</v>
      </c>
      <c r="I147" s="2" t="s">
        <v>940</v>
      </c>
      <c r="J147" s="2" t="s">
        <v>872</v>
      </c>
      <c r="K147" s="2" t="s">
        <v>872</v>
      </c>
      <c r="L147" s="2" t="s">
        <v>873</v>
      </c>
      <c r="M147" s="2" t="s">
        <v>872</v>
      </c>
      <c r="N147" s="2" t="s">
        <v>872</v>
      </c>
    </row>
    <row r="148" spans="1:14" ht="13.5" thickBot="1" x14ac:dyDescent="0.25">
      <c r="A148" s="2" t="s">
        <v>321</v>
      </c>
      <c r="B148" s="72" t="s">
        <v>788</v>
      </c>
      <c r="C148" s="2" t="s">
        <v>24</v>
      </c>
      <c r="D148" s="4">
        <v>3</v>
      </c>
      <c r="E148" s="4">
        <v>10</v>
      </c>
      <c r="F148" s="2" t="s">
        <v>872</v>
      </c>
      <c r="G148" s="2" t="s">
        <v>921</v>
      </c>
      <c r="H148" s="2" t="s">
        <v>872</v>
      </c>
      <c r="I148" s="2" t="s">
        <v>921</v>
      </c>
      <c r="J148" s="2" t="s">
        <v>872</v>
      </c>
      <c r="K148" s="2" t="s">
        <v>872</v>
      </c>
      <c r="L148" s="2" t="s">
        <v>873</v>
      </c>
      <c r="M148" s="2" t="s">
        <v>873</v>
      </c>
      <c r="N148" s="2" t="s">
        <v>872</v>
      </c>
    </row>
    <row r="149" spans="1:14" ht="13.5" thickBot="1" x14ac:dyDescent="0.25">
      <c r="A149" s="2" t="s">
        <v>323</v>
      </c>
      <c r="B149" s="72" t="s">
        <v>800</v>
      </c>
      <c r="C149" s="2" t="s">
        <v>24</v>
      </c>
      <c r="D149" s="4">
        <v>8</v>
      </c>
      <c r="E149" s="4">
        <v>13</v>
      </c>
      <c r="F149" s="2" t="s">
        <v>872</v>
      </c>
      <c r="G149" s="2" t="s">
        <v>1116</v>
      </c>
      <c r="H149" s="2" t="s">
        <v>872</v>
      </c>
      <c r="I149" s="2" t="s">
        <v>1117</v>
      </c>
      <c r="J149" s="2" t="s">
        <v>872</v>
      </c>
      <c r="K149" s="2" t="s">
        <v>872</v>
      </c>
      <c r="L149" s="2" t="s">
        <v>873</v>
      </c>
      <c r="M149" s="2" t="s">
        <v>872</v>
      </c>
      <c r="N149" s="2" t="s">
        <v>872</v>
      </c>
    </row>
    <row r="150" spans="1:14" ht="13.5" thickBot="1" x14ac:dyDescent="0.25">
      <c r="A150" s="2" t="s">
        <v>325</v>
      </c>
      <c r="B150" s="72" t="s">
        <v>810</v>
      </c>
      <c r="C150" s="2" t="s">
        <v>24</v>
      </c>
      <c r="D150" s="4">
        <v>5</v>
      </c>
      <c r="E150" s="4">
        <v>12</v>
      </c>
      <c r="F150" s="2" t="s">
        <v>872</v>
      </c>
      <c r="G150" s="2" t="s">
        <v>1118</v>
      </c>
      <c r="H150" s="2" t="s">
        <v>872</v>
      </c>
      <c r="I150" s="2" t="s">
        <v>1118</v>
      </c>
      <c r="J150" s="2" t="s">
        <v>872</v>
      </c>
      <c r="K150" s="2" t="s">
        <v>872</v>
      </c>
      <c r="L150" s="2" t="s">
        <v>873</v>
      </c>
      <c r="M150" s="2" t="s">
        <v>872</v>
      </c>
      <c r="N150" s="2" t="s">
        <v>872</v>
      </c>
    </row>
    <row r="151" spans="1:14" ht="13.5" thickBot="1" x14ac:dyDescent="0.25">
      <c r="A151" s="2" t="s">
        <v>327</v>
      </c>
      <c r="B151" s="72" t="s">
        <v>828</v>
      </c>
      <c r="C151" s="2" t="s">
        <v>24</v>
      </c>
      <c r="D151" s="4">
        <v>7</v>
      </c>
      <c r="E151" s="4">
        <v>13</v>
      </c>
      <c r="F151" s="2" t="s">
        <v>872</v>
      </c>
      <c r="G151" s="2" t="s">
        <v>1122</v>
      </c>
      <c r="H151" s="2" t="s">
        <v>872</v>
      </c>
      <c r="I151" s="2" t="s">
        <v>1122</v>
      </c>
      <c r="J151" s="2" t="s">
        <v>872</v>
      </c>
      <c r="K151" s="2" t="s">
        <v>872</v>
      </c>
      <c r="L151" s="2" t="s">
        <v>873</v>
      </c>
      <c r="M151" s="2" t="s">
        <v>873</v>
      </c>
      <c r="N151" s="2" t="s">
        <v>872</v>
      </c>
    </row>
    <row r="152" spans="1:14" ht="13.5" thickBot="1" x14ac:dyDescent="0.25">
      <c r="A152" s="2" t="s">
        <v>329</v>
      </c>
      <c r="B152" s="72" t="s">
        <v>30</v>
      </c>
      <c r="C152" s="2" t="s">
        <v>32</v>
      </c>
      <c r="D152" s="4">
        <v>5</v>
      </c>
      <c r="E152" s="4">
        <v>14</v>
      </c>
      <c r="F152" s="2" t="s">
        <v>872</v>
      </c>
      <c r="G152" s="2" t="s">
        <v>916</v>
      </c>
      <c r="H152" s="2" t="s">
        <v>872</v>
      </c>
      <c r="I152" s="2" t="s">
        <v>917</v>
      </c>
      <c r="J152" s="2" t="s">
        <v>872</v>
      </c>
      <c r="K152" s="2" t="s">
        <v>872</v>
      </c>
      <c r="L152" s="2" t="s">
        <v>873</v>
      </c>
      <c r="M152" s="2" t="s">
        <v>873</v>
      </c>
      <c r="N152" s="2" t="s">
        <v>872</v>
      </c>
    </row>
    <row r="153" spans="1:14" ht="13.5" thickBot="1" x14ac:dyDescent="0.25">
      <c r="A153" s="2" t="s">
        <v>331</v>
      </c>
      <c r="B153" s="72" t="s">
        <v>33</v>
      </c>
      <c r="C153" s="2" t="s">
        <v>32</v>
      </c>
      <c r="D153" s="4">
        <v>2</v>
      </c>
      <c r="E153" s="4">
        <v>9</v>
      </c>
      <c r="F153" s="2" t="s">
        <v>872</v>
      </c>
      <c r="G153" s="2" t="s">
        <v>918</v>
      </c>
      <c r="H153" s="2" t="s">
        <v>872</v>
      </c>
      <c r="I153" s="2" t="s">
        <v>918</v>
      </c>
      <c r="J153" s="2" t="s">
        <v>872</v>
      </c>
      <c r="K153" s="2" t="s">
        <v>872</v>
      </c>
      <c r="L153" s="2" t="s">
        <v>873</v>
      </c>
      <c r="M153" s="2" t="s">
        <v>872</v>
      </c>
      <c r="N153" s="2" t="s">
        <v>872</v>
      </c>
    </row>
    <row r="154" spans="1:14" ht="13.5" thickBot="1" x14ac:dyDescent="0.25">
      <c r="A154" s="2" t="s">
        <v>333</v>
      </c>
      <c r="B154" s="72" t="s">
        <v>35</v>
      </c>
      <c r="C154" s="2" t="s">
        <v>32</v>
      </c>
      <c r="D154" s="4">
        <v>19</v>
      </c>
      <c r="E154" s="4">
        <v>30</v>
      </c>
      <c r="F154" s="2" t="s">
        <v>872</v>
      </c>
      <c r="G154" s="2" t="s">
        <v>919</v>
      </c>
      <c r="H154" s="2" t="s">
        <v>872</v>
      </c>
      <c r="I154" s="2" t="s">
        <v>919</v>
      </c>
      <c r="J154" s="2" t="s">
        <v>872</v>
      </c>
      <c r="K154" s="2" t="s">
        <v>872</v>
      </c>
      <c r="L154" s="2" t="s">
        <v>873</v>
      </c>
      <c r="M154" s="2" t="s">
        <v>872</v>
      </c>
      <c r="N154" s="2" t="s">
        <v>872</v>
      </c>
    </row>
    <row r="155" spans="1:14" ht="13.5" thickBot="1" x14ac:dyDescent="0.25">
      <c r="A155" s="2" t="s">
        <v>335</v>
      </c>
      <c r="B155" s="72" t="s">
        <v>37</v>
      </c>
      <c r="C155" s="2" t="s">
        <v>32</v>
      </c>
      <c r="D155" s="4">
        <v>12</v>
      </c>
      <c r="E155" s="4">
        <v>45</v>
      </c>
      <c r="F155" s="2" t="s">
        <v>872</v>
      </c>
      <c r="G155" s="2" t="s">
        <v>920</v>
      </c>
      <c r="H155" s="2" t="s">
        <v>872</v>
      </c>
      <c r="I155" s="2" t="s">
        <v>920</v>
      </c>
      <c r="J155" s="2" t="s">
        <v>872</v>
      </c>
      <c r="K155" s="2" t="s">
        <v>872</v>
      </c>
      <c r="L155" s="2" t="s">
        <v>873</v>
      </c>
      <c r="M155" s="2" t="s">
        <v>872</v>
      </c>
      <c r="N155" s="2" t="s">
        <v>872</v>
      </c>
    </row>
    <row r="156" spans="1:14" ht="13.5" thickBot="1" x14ac:dyDescent="0.25">
      <c r="A156" s="2" t="s">
        <v>337</v>
      </c>
      <c r="B156" s="72" t="s">
        <v>48</v>
      </c>
      <c r="C156" s="2" t="s">
        <v>32</v>
      </c>
      <c r="D156" s="4">
        <v>10</v>
      </c>
      <c r="E156" s="4">
        <v>17</v>
      </c>
      <c r="F156" s="2" t="s">
        <v>872</v>
      </c>
      <c r="G156" s="2" t="s">
        <v>925</v>
      </c>
      <c r="H156" s="2" t="s">
        <v>872</v>
      </c>
      <c r="I156" s="2" t="s">
        <v>925</v>
      </c>
      <c r="J156" s="2" t="s">
        <v>872</v>
      </c>
      <c r="K156" s="2" t="s">
        <v>872</v>
      </c>
      <c r="L156" s="2" t="s">
        <v>873</v>
      </c>
      <c r="M156" s="2" t="s">
        <v>873</v>
      </c>
      <c r="N156" s="2" t="s">
        <v>872</v>
      </c>
    </row>
    <row r="157" spans="1:14" ht="13.5" thickBot="1" x14ac:dyDescent="0.25">
      <c r="A157" s="2" t="s">
        <v>339</v>
      </c>
      <c r="B157" s="72" t="s">
        <v>56</v>
      </c>
      <c r="C157" s="2" t="s">
        <v>32</v>
      </c>
      <c r="D157" s="4">
        <v>9</v>
      </c>
      <c r="E157" s="4">
        <v>21</v>
      </c>
      <c r="F157" s="2" t="s">
        <v>872</v>
      </c>
      <c r="G157" s="2" t="s">
        <v>928</v>
      </c>
      <c r="H157" s="2" t="s">
        <v>872</v>
      </c>
      <c r="I157" s="2" t="s">
        <v>929</v>
      </c>
      <c r="J157" s="2" t="s">
        <v>872</v>
      </c>
      <c r="K157" s="2" t="s">
        <v>872</v>
      </c>
      <c r="L157" s="2" t="s">
        <v>873</v>
      </c>
      <c r="M157" s="2" t="s">
        <v>872</v>
      </c>
      <c r="N157" s="2" t="s">
        <v>872</v>
      </c>
    </row>
    <row r="158" spans="1:14" ht="13.5" thickBot="1" x14ac:dyDescent="0.25">
      <c r="A158" s="2" t="s">
        <v>341</v>
      </c>
      <c r="B158" s="72" t="s">
        <v>73</v>
      </c>
      <c r="C158" s="2" t="s">
        <v>32</v>
      </c>
      <c r="D158" s="4">
        <v>2</v>
      </c>
      <c r="E158" s="4">
        <v>5</v>
      </c>
      <c r="F158" s="2" t="s">
        <v>872</v>
      </c>
      <c r="G158" s="2" t="s">
        <v>937</v>
      </c>
      <c r="H158" s="2" t="s">
        <v>872</v>
      </c>
      <c r="I158" s="2" t="s">
        <v>937</v>
      </c>
      <c r="J158" s="2" t="s">
        <v>872</v>
      </c>
      <c r="K158" s="2" t="s">
        <v>872</v>
      </c>
      <c r="L158" s="2" t="s">
        <v>873</v>
      </c>
      <c r="M158" s="2" t="s">
        <v>873</v>
      </c>
      <c r="N158" s="2" t="s">
        <v>872</v>
      </c>
    </row>
    <row r="159" spans="1:14" ht="13.5" thickBot="1" x14ac:dyDescent="0.25">
      <c r="A159" s="2" t="s">
        <v>343</v>
      </c>
      <c r="B159" s="72" t="s">
        <v>83</v>
      </c>
      <c r="C159" s="2" t="s">
        <v>32</v>
      </c>
      <c r="D159" s="4">
        <v>4</v>
      </c>
      <c r="E159" s="4">
        <v>8</v>
      </c>
      <c r="F159" s="2" t="s">
        <v>872</v>
      </c>
      <c r="G159" s="2" t="s">
        <v>942</v>
      </c>
      <c r="H159" s="2" t="s">
        <v>872</v>
      </c>
      <c r="I159" s="2" t="s">
        <v>942</v>
      </c>
      <c r="J159" s="2" t="s">
        <v>872</v>
      </c>
      <c r="K159" s="2" t="s">
        <v>872</v>
      </c>
      <c r="L159" s="2" t="s">
        <v>873</v>
      </c>
      <c r="M159" s="2" t="s">
        <v>873</v>
      </c>
      <c r="N159" s="2" t="s">
        <v>872</v>
      </c>
    </row>
    <row r="160" spans="1:14" ht="13.5" thickBot="1" x14ac:dyDescent="0.25">
      <c r="A160" s="2" t="s">
        <v>345</v>
      </c>
      <c r="B160" s="72" t="s">
        <v>103</v>
      </c>
      <c r="C160" s="2" t="s">
        <v>32</v>
      </c>
      <c r="D160" s="4">
        <v>11</v>
      </c>
      <c r="E160" s="4">
        <v>24</v>
      </c>
      <c r="F160" s="2" t="s">
        <v>872</v>
      </c>
      <c r="G160" s="2" t="s">
        <v>937</v>
      </c>
      <c r="H160" s="2" t="s">
        <v>872</v>
      </c>
      <c r="I160" s="2" t="s">
        <v>937</v>
      </c>
      <c r="J160" s="2" t="s">
        <v>872</v>
      </c>
      <c r="K160" s="2" t="s">
        <v>872</v>
      </c>
      <c r="L160" s="2" t="s">
        <v>873</v>
      </c>
      <c r="M160" s="2" t="s">
        <v>872</v>
      </c>
      <c r="N160" s="2" t="s">
        <v>872</v>
      </c>
    </row>
    <row r="161" spans="1:14" ht="13.5" thickBot="1" x14ac:dyDescent="0.25">
      <c r="A161" s="2" t="s">
        <v>347</v>
      </c>
      <c r="B161" s="72" t="s">
        <v>111</v>
      </c>
      <c r="C161" s="2" t="s">
        <v>32</v>
      </c>
      <c r="D161" s="4">
        <v>6</v>
      </c>
      <c r="E161" s="4">
        <v>17</v>
      </c>
      <c r="F161" s="2" t="s">
        <v>872</v>
      </c>
      <c r="G161" s="2" t="s">
        <v>953</v>
      </c>
      <c r="H161" s="2" t="s">
        <v>872</v>
      </c>
      <c r="I161" s="2" t="s">
        <v>954</v>
      </c>
      <c r="J161" s="2" t="s">
        <v>872</v>
      </c>
      <c r="K161" s="2" t="s">
        <v>872</v>
      </c>
      <c r="L161" s="2" t="s">
        <v>873</v>
      </c>
      <c r="M161" s="2" t="s">
        <v>872</v>
      </c>
      <c r="N161" s="2" t="s">
        <v>872</v>
      </c>
    </row>
    <row r="162" spans="1:14" ht="13.5" thickBot="1" x14ac:dyDescent="0.25">
      <c r="A162" s="2" t="s">
        <v>349</v>
      </c>
      <c r="B162" s="72" t="s">
        <v>115</v>
      </c>
      <c r="C162" s="2" t="s">
        <v>32</v>
      </c>
      <c r="D162" s="4">
        <v>9</v>
      </c>
      <c r="E162" s="4">
        <v>22</v>
      </c>
      <c r="F162" s="2" t="s">
        <v>872</v>
      </c>
      <c r="G162" s="2" t="s">
        <v>956</v>
      </c>
      <c r="H162" s="2" t="s">
        <v>872</v>
      </c>
      <c r="I162" s="2" t="s">
        <v>16</v>
      </c>
      <c r="J162" s="2" t="s">
        <v>872</v>
      </c>
      <c r="K162" s="2" t="s">
        <v>872</v>
      </c>
      <c r="L162" s="2" t="s">
        <v>872</v>
      </c>
      <c r="M162" s="2" t="s">
        <v>872</v>
      </c>
      <c r="N162" s="2" t="s">
        <v>872</v>
      </c>
    </row>
    <row r="163" spans="1:14" ht="13.5" thickBot="1" x14ac:dyDescent="0.25">
      <c r="A163" s="2" t="s">
        <v>351</v>
      </c>
      <c r="B163" s="72" t="s">
        <v>133</v>
      </c>
      <c r="C163" s="2" t="s">
        <v>32</v>
      </c>
      <c r="D163" s="4">
        <v>11</v>
      </c>
      <c r="E163" s="4">
        <v>18</v>
      </c>
      <c r="F163" s="2" t="s">
        <v>872</v>
      </c>
      <c r="G163" s="2" t="s">
        <v>937</v>
      </c>
      <c r="H163" s="2" t="s">
        <v>872</v>
      </c>
      <c r="I163" s="2" t="s">
        <v>937</v>
      </c>
      <c r="J163" s="2" t="s">
        <v>872</v>
      </c>
      <c r="K163" s="2" t="s">
        <v>872</v>
      </c>
      <c r="L163" s="2" t="s">
        <v>872</v>
      </c>
      <c r="M163" s="2" t="s">
        <v>872</v>
      </c>
      <c r="N163" s="2" t="s">
        <v>872</v>
      </c>
    </row>
    <row r="164" spans="1:14" ht="13.5" thickBot="1" x14ac:dyDescent="0.25">
      <c r="A164" s="2" t="s">
        <v>353</v>
      </c>
      <c r="B164" s="72" t="s">
        <v>135</v>
      </c>
      <c r="C164" s="2" t="s">
        <v>32</v>
      </c>
      <c r="D164" s="4">
        <v>6</v>
      </c>
      <c r="E164" s="4">
        <v>19</v>
      </c>
      <c r="F164" s="2" t="s">
        <v>872</v>
      </c>
      <c r="G164" s="2" t="s">
        <v>961</v>
      </c>
      <c r="H164" s="2" t="s">
        <v>872</v>
      </c>
      <c r="I164" s="2" t="s">
        <v>961</v>
      </c>
      <c r="J164" s="2" t="s">
        <v>872</v>
      </c>
      <c r="K164" s="2" t="s">
        <v>872</v>
      </c>
      <c r="L164" s="2" t="s">
        <v>873</v>
      </c>
      <c r="M164" s="2" t="s">
        <v>873</v>
      </c>
      <c r="N164" s="2" t="s">
        <v>872</v>
      </c>
    </row>
    <row r="165" spans="1:14" ht="13.5" thickBot="1" x14ac:dyDescent="0.25">
      <c r="A165" s="2" t="s">
        <v>355</v>
      </c>
      <c r="B165" s="72" t="s">
        <v>143</v>
      </c>
      <c r="C165" s="2" t="s">
        <v>32</v>
      </c>
      <c r="D165" s="4">
        <v>4</v>
      </c>
      <c r="E165" s="4">
        <v>16</v>
      </c>
      <c r="F165" s="2" t="s">
        <v>872</v>
      </c>
      <c r="G165" s="2" t="s">
        <v>918</v>
      </c>
      <c r="H165" s="2" t="s">
        <v>872</v>
      </c>
      <c r="I165" s="2" t="s">
        <v>918</v>
      </c>
      <c r="J165" s="2" t="s">
        <v>872</v>
      </c>
      <c r="K165" s="2" t="s">
        <v>872</v>
      </c>
      <c r="L165" s="2" t="s">
        <v>873</v>
      </c>
      <c r="M165" s="2" t="s">
        <v>872</v>
      </c>
      <c r="N165" s="2" t="s">
        <v>872</v>
      </c>
    </row>
    <row r="166" spans="1:14" ht="13.5" thickBot="1" x14ac:dyDescent="0.25">
      <c r="A166" s="2" t="s">
        <v>357</v>
      </c>
      <c r="B166" s="72" t="s">
        <v>151</v>
      </c>
      <c r="C166" s="2" t="s">
        <v>32</v>
      </c>
      <c r="D166" s="4">
        <v>10</v>
      </c>
      <c r="E166" s="4">
        <v>21</v>
      </c>
      <c r="F166" s="2" t="s">
        <v>872</v>
      </c>
      <c r="G166" s="2" t="s">
        <v>927</v>
      </c>
      <c r="H166" s="2" t="s">
        <v>872</v>
      </c>
      <c r="I166" s="2" t="s">
        <v>927</v>
      </c>
      <c r="J166" s="2" t="s">
        <v>872</v>
      </c>
      <c r="K166" s="2" t="s">
        <v>872</v>
      </c>
      <c r="L166" s="2" t="s">
        <v>873</v>
      </c>
      <c r="M166" s="2" t="s">
        <v>872</v>
      </c>
      <c r="N166" s="2" t="s">
        <v>872</v>
      </c>
    </row>
    <row r="167" spans="1:14" ht="13.5" thickBot="1" x14ac:dyDescent="0.25">
      <c r="A167" s="2" t="s">
        <v>359</v>
      </c>
      <c r="B167" s="72" t="s">
        <v>155</v>
      </c>
      <c r="C167" s="2" t="s">
        <v>32</v>
      </c>
      <c r="D167" s="4">
        <v>6</v>
      </c>
      <c r="E167" s="4">
        <v>19</v>
      </c>
      <c r="F167" s="2" t="s">
        <v>872</v>
      </c>
      <c r="G167" s="2" t="s">
        <v>924</v>
      </c>
      <c r="H167" s="2" t="s">
        <v>872</v>
      </c>
      <c r="I167" s="2" t="s">
        <v>924</v>
      </c>
      <c r="J167" s="2" t="s">
        <v>872</v>
      </c>
      <c r="K167" s="2" t="s">
        <v>872</v>
      </c>
      <c r="L167" s="2" t="s">
        <v>873</v>
      </c>
      <c r="M167" s="2" t="s">
        <v>872</v>
      </c>
      <c r="N167" s="2" t="s">
        <v>872</v>
      </c>
    </row>
    <row r="168" spans="1:14" ht="13.5" thickBot="1" x14ac:dyDescent="0.25">
      <c r="A168" s="2" t="s">
        <v>361</v>
      </c>
      <c r="B168" s="72" t="s">
        <v>159</v>
      </c>
      <c r="C168" s="2" t="s">
        <v>32</v>
      </c>
      <c r="D168" s="4">
        <v>5</v>
      </c>
      <c r="E168" s="4">
        <v>14</v>
      </c>
      <c r="F168" s="2" t="s">
        <v>872</v>
      </c>
      <c r="G168" s="2" t="s">
        <v>928</v>
      </c>
      <c r="H168" s="2" t="s">
        <v>872</v>
      </c>
      <c r="I168" s="2" t="s">
        <v>928</v>
      </c>
      <c r="J168" s="2" t="s">
        <v>872</v>
      </c>
      <c r="K168" s="2" t="s">
        <v>872</v>
      </c>
      <c r="L168" s="2" t="s">
        <v>873</v>
      </c>
      <c r="M168" s="2" t="s">
        <v>872</v>
      </c>
      <c r="N168" s="2" t="s">
        <v>872</v>
      </c>
    </row>
    <row r="169" spans="1:14" ht="13.5" thickBot="1" x14ac:dyDescent="0.25">
      <c r="A169" s="2" t="s">
        <v>363</v>
      </c>
      <c r="B169" s="72" t="s">
        <v>161</v>
      </c>
      <c r="C169" s="2" t="s">
        <v>32</v>
      </c>
      <c r="D169" s="4">
        <v>6</v>
      </c>
      <c r="E169" s="4">
        <v>10</v>
      </c>
      <c r="F169" s="2" t="s">
        <v>872</v>
      </c>
      <c r="G169" s="2" t="s">
        <v>927</v>
      </c>
      <c r="H169" s="2" t="s">
        <v>872</v>
      </c>
      <c r="I169" s="2" t="s">
        <v>966</v>
      </c>
      <c r="J169" s="2" t="s">
        <v>872</v>
      </c>
      <c r="K169" s="2" t="s">
        <v>872</v>
      </c>
      <c r="L169" s="2" t="s">
        <v>873</v>
      </c>
      <c r="M169" s="2" t="s">
        <v>872</v>
      </c>
      <c r="N169" s="2" t="s">
        <v>872</v>
      </c>
    </row>
    <row r="170" spans="1:14" ht="13.5" thickBot="1" x14ac:dyDescent="0.25">
      <c r="A170" s="2" t="s">
        <v>365</v>
      </c>
      <c r="B170" s="72" t="s">
        <v>167</v>
      </c>
      <c r="C170" s="2" t="s">
        <v>32</v>
      </c>
      <c r="D170" s="4">
        <v>20</v>
      </c>
      <c r="E170" s="4">
        <v>40</v>
      </c>
      <c r="F170" s="2" t="s">
        <v>872</v>
      </c>
      <c r="G170" s="2" t="s">
        <v>927</v>
      </c>
      <c r="H170" s="2" t="s">
        <v>872</v>
      </c>
      <c r="I170" s="2" t="s">
        <v>969</v>
      </c>
      <c r="J170" s="2" t="s">
        <v>872</v>
      </c>
      <c r="K170" s="2" t="s">
        <v>872</v>
      </c>
      <c r="L170" s="2" t="s">
        <v>872</v>
      </c>
      <c r="M170" s="2" t="s">
        <v>872</v>
      </c>
      <c r="N170" s="2" t="s">
        <v>872</v>
      </c>
    </row>
    <row r="171" spans="1:14" ht="13.5" thickBot="1" x14ac:dyDescent="0.25">
      <c r="A171" s="2" t="s">
        <v>367</v>
      </c>
      <c r="B171" s="72" t="s">
        <v>203</v>
      </c>
      <c r="C171" s="2" t="s">
        <v>32</v>
      </c>
      <c r="D171" s="4">
        <v>6</v>
      </c>
      <c r="E171" s="4">
        <v>18</v>
      </c>
      <c r="F171" s="2" t="s">
        <v>872</v>
      </c>
      <c r="G171" s="2" t="s">
        <v>928</v>
      </c>
      <c r="H171" s="2" t="s">
        <v>872</v>
      </c>
      <c r="I171" s="2" t="s">
        <v>924</v>
      </c>
      <c r="J171" s="2" t="s">
        <v>872</v>
      </c>
      <c r="K171" s="2" t="s">
        <v>872</v>
      </c>
      <c r="L171" s="2" t="s">
        <v>873</v>
      </c>
      <c r="M171" s="2" t="s">
        <v>872</v>
      </c>
      <c r="N171" s="2" t="s">
        <v>872</v>
      </c>
    </row>
    <row r="172" spans="1:14" ht="13.5" thickBot="1" x14ac:dyDescent="0.25">
      <c r="A172" s="2" t="s">
        <v>369</v>
      </c>
      <c r="B172" s="72" t="s">
        <v>228</v>
      </c>
      <c r="C172" s="2" t="s">
        <v>32</v>
      </c>
      <c r="D172" s="4">
        <v>5</v>
      </c>
      <c r="E172" s="4">
        <v>12</v>
      </c>
      <c r="F172" s="2" t="s">
        <v>872</v>
      </c>
      <c r="G172" s="2" t="s">
        <v>985</v>
      </c>
      <c r="H172" s="2" t="s">
        <v>872</v>
      </c>
      <c r="I172" s="2" t="s">
        <v>986</v>
      </c>
      <c r="J172" s="2" t="s">
        <v>872</v>
      </c>
      <c r="K172" s="2" t="s">
        <v>872</v>
      </c>
      <c r="L172" s="2" t="s">
        <v>873</v>
      </c>
      <c r="M172" s="2" t="s">
        <v>872</v>
      </c>
      <c r="N172" s="2" t="s">
        <v>872</v>
      </c>
    </row>
    <row r="173" spans="1:14" ht="13.5" thickBot="1" x14ac:dyDescent="0.25">
      <c r="A173" s="2" t="s">
        <v>371</v>
      </c>
      <c r="B173" s="72" t="s">
        <v>242</v>
      </c>
      <c r="C173" s="2" t="s">
        <v>32</v>
      </c>
      <c r="D173" s="4">
        <v>5</v>
      </c>
      <c r="E173" s="4">
        <v>8</v>
      </c>
      <c r="F173" s="2" t="s">
        <v>872</v>
      </c>
      <c r="G173" s="2" t="s">
        <v>928</v>
      </c>
      <c r="H173" s="2" t="s">
        <v>872</v>
      </c>
      <c r="I173" s="2" t="s">
        <v>928</v>
      </c>
      <c r="J173" s="2" t="s">
        <v>872</v>
      </c>
      <c r="K173" s="2" t="s">
        <v>872</v>
      </c>
      <c r="L173" s="2" t="s">
        <v>873</v>
      </c>
      <c r="M173" s="2" t="s">
        <v>872</v>
      </c>
      <c r="N173" s="2" t="s">
        <v>872</v>
      </c>
    </row>
    <row r="174" spans="1:14" ht="13.5" thickBot="1" x14ac:dyDescent="0.25">
      <c r="A174" s="2" t="s">
        <v>373</v>
      </c>
      <c r="B174" s="72" t="s">
        <v>256</v>
      </c>
      <c r="C174" s="2" t="s">
        <v>32</v>
      </c>
      <c r="D174" s="4">
        <v>6</v>
      </c>
      <c r="E174" s="4">
        <v>14</v>
      </c>
      <c r="F174" s="2" t="s">
        <v>872</v>
      </c>
      <c r="G174" s="2" t="s">
        <v>942</v>
      </c>
      <c r="H174" s="2" t="s">
        <v>872</v>
      </c>
      <c r="I174" s="2" t="s">
        <v>942</v>
      </c>
      <c r="J174" s="2" t="s">
        <v>872</v>
      </c>
      <c r="K174" s="2" t="s">
        <v>872</v>
      </c>
      <c r="L174" s="2" t="s">
        <v>873</v>
      </c>
      <c r="M174" s="2" t="s">
        <v>872</v>
      </c>
      <c r="N174" s="2" t="s">
        <v>872</v>
      </c>
    </row>
    <row r="175" spans="1:14" ht="13.5" thickBot="1" x14ac:dyDescent="0.25">
      <c r="A175" s="2" t="s">
        <v>375</v>
      </c>
      <c r="B175" s="72" t="s">
        <v>260</v>
      </c>
      <c r="C175" s="2" t="s">
        <v>32</v>
      </c>
      <c r="D175" s="4">
        <v>3</v>
      </c>
      <c r="E175" s="4">
        <v>13</v>
      </c>
      <c r="F175" s="2" t="s">
        <v>872</v>
      </c>
      <c r="G175" s="2" t="s">
        <v>914</v>
      </c>
      <c r="H175" s="2" t="s">
        <v>872</v>
      </c>
      <c r="I175" s="2" t="s">
        <v>914</v>
      </c>
      <c r="J175" s="2" t="s">
        <v>872</v>
      </c>
      <c r="K175" s="2" t="s">
        <v>872</v>
      </c>
      <c r="L175" s="2" t="s">
        <v>873</v>
      </c>
      <c r="M175" s="2" t="s">
        <v>872</v>
      </c>
      <c r="N175" s="2" t="s">
        <v>872</v>
      </c>
    </row>
    <row r="176" spans="1:14" ht="13.5" thickBot="1" x14ac:dyDescent="0.25">
      <c r="A176" s="2" t="s">
        <v>377</v>
      </c>
      <c r="B176" s="72" t="s">
        <v>272</v>
      </c>
      <c r="C176" s="2" t="s">
        <v>32</v>
      </c>
      <c r="D176" s="4">
        <v>4</v>
      </c>
      <c r="E176" s="4">
        <v>12</v>
      </c>
      <c r="F176" s="2" t="s">
        <v>872</v>
      </c>
      <c r="G176" s="2" t="s">
        <v>997</v>
      </c>
      <c r="H176" s="2" t="s">
        <v>872</v>
      </c>
      <c r="I176" s="2" t="s">
        <v>997</v>
      </c>
      <c r="J176" s="2" t="s">
        <v>873</v>
      </c>
      <c r="K176" s="2" t="s">
        <v>872</v>
      </c>
      <c r="L176" s="2" t="s">
        <v>873</v>
      </c>
      <c r="M176" s="2" t="s">
        <v>872</v>
      </c>
      <c r="N176" s="2" t="s">
        <v>872</v>
      </c>
    </row>
    <row r="177" spans="1:14" ht="13.5" thickBot="1" x14ac:dyDescent="0.25">
      <c r="A177" s="2" t="s">
        <v>379</v>
      </c>
      <c r="B177" s="72" t="s">
        <v>296</v>
      </c>
      <c r="C177" s="2" t="s">
        <v>32</v>
      </c>
      <c r="D177" s="4">
        <v>9</v>
      </c>
      <c r="E177" s="4">
        <v>18</v>
      </c>
      <c r="F177" s="2" t="s">
        <v>872</v>
      </c>
      <c r="G177" s="2" t="s">
        <v>939</v>
      </c>
      <c r="H177" s="2" t="s">
        <v>872</v>
      </c>
      <c r="I177" s="2" t="s">
        <v>939</v>
      </c>
      <c r="J177" s="2" t="s">
        <v>872</v>
      </c>
      <c r="K177" s="2" t="s">
        <v>872</v>
      </c>
      <c r="L177" s="2" t="s">
        <v>873</v>
      </c>
      <c r="M177" s="2" t="s">
        <v>873</v>
      </c>
      <c r="N177" s="2" t="s">
        <v>872</v>
      </c>
    </row>
    <row r="178" spans="1:14" ht="13.5" thickBot="1" x14ac:dyDescent="0.25">
      <c r="A178" s="2" t="s">
        <v>381</v>
      </c>
      <c r="B178" s="72" t="s">
        <v>308</v>
      </c>
      <c r="C178" s="2" t="s">
        <v>32</v>
      </c>
      <c r="D178" s="4">
        <v>4</v>
      </c>
      <c r="E178" s="4">
        <v>5</v>
      </c>
      <c r="F178" s="2" t="s">
        <v>872</v>
      </c>
      <c r="G178" s="2" t="s">
        <v>937</v>
      </c>
      <c r="H178" s="2" t="s">
        <v>872</v>
      </c>
      <c r="I178" s="2" t="s">
        <v>937</v>
      </c>
      <c r="J178" s="2" t="s">
        <v>872</v>
      </c>
      <c r="K178" s="2" t="s">
        <v>872</v>
      </c>
      <c r="L178" s="2" t="s">
        <v>873</v>
      </c>
      <c r="M178" s="2" t="s">
        <v>873</v>
      </c>
      <c r="N178" s="2" t="s">
        <v>872</v>
      </c>
    </row>
    <row r="179" spans="1:14" ht="13.5" thickBot="1" x14ac:dyDescent="0.25">
      <c r="A179" s="2" t="s">
        <v>383</v>
      </c>
      <c r="B179" s="72" t="s">
        <v>314</v>
      </c>
      <c r="C179" s="2" t="s">
        <v>32</v>
      </c>
      <c r="D179" s="4">
        <v>12</v>
      </c>
      <c r="E179" s="4">
        <v>20</v>
      </c>
      <c r="F179" s="2" t="s">
        <v>872</v>
      </c>
      <c r="G179" s="2" t="s">
        <v>973</v>
      </c>
      <c r="H179" s="2" t="s">
        <v>872</v>
      </c>
      <c r="I179" s="2" t="s">
        <v>973</v>
      </c>
      <c r="J179" s="2" t="s">
        <v>872</v>
      </c>
      <c r="K179" s="2" t="s">
        <v>872</v>
      </c>
      <c r="L179" s="2" t="s">
        <v>872</v>
      </c>
      <c r="M179" s="2" t="s">
        <v>872</v>
      </c>
      <c r="N179" s="2" t="s">
        <v>872</v>
      </c>
    </row>
    <row r="180" spans="1:14" ht="13.5" thickBot="1" x14ac:dyDescent="0.25">
      <c r="A180" s="2" t="s">
        <v>385</v>
      </c>
      <c r="B180" s="72" t="s">
        <v>322</v>
      </c>
      <c r="C180" s="2" t="s">
        <v>32</v>
      </c>
      <c r="D180" s="4">
        <v>4</v>
      </c>
      <c r="E180" s="4">
        <v>23</v>
      </c>
      <c r="F180" s="2" t="s">
        <v>872</v>
      </c>
      <c r="G180" s="2" t="s">
        <v>940</v>
      </c>
      <c r="H180" s="2" t="s">
        <v>872</v>
      </c>
      <c r="I180" s="2" t="s">
        <v>1013</v>
      </c>
      <c r="J180" s="2" t="s">
        <v>872</v>
      </c>
      <c r="K180" s="2" t="s">
        <v>872</v>
      </c>
      <c r="L180" s="2" t="s">
        <v>873</v>
      </c>
      <c r="M180" s="2" t="s">
        <v>872</v>
      </c>
      <c r="N180" s="2" t="s">
        <v>872</v>
      </c>
    </row>
    <row r="181" spans="1:14" ht="13.5" thickBot="1" x14ac:dyDescent="0.25">
      <c r="A181" s="2" t="s">
        <v>387</v>
      </c>
      <c r="B181" s="72" t="s">
        <v>336</v>
      </c>
      <c r="C181" s="2" t="s">
        <v>32</v>
      </c>
      <c r="D181" s="4">
        <v>7</v>
      </c>
      <c r="E181" s="4">
        <v>13</v>
      </c>
      <c r="F181" s="2" t="s">
        <v>872</v>
      </c>
      <c r="G181" s="2" t="s">
        <v>1017</v>
      </c>
      <c r="H181" s="2" t="s">
        <v>872</v>
      </c>
      <c r="I181" s="2" t="s">
        <v>1018</v>
      </c>
      <c r="J181" s="2" t="s">
        <v>872</v>
      </c>
      <c r="K181" s="2" t="s">
        <v>872</v>
      </c>
      <c r="L181" s="2" t="s">
        <v>873</v>
      </c>
      <c r="M181" s="2" t="s">
        <v>872</v>
      </c>
      <c r="N181" s="2" t="s">
        <v>872</v>
      </c>
    </row>
    <row r="182" spans="1:14" ht="13.5" thickBot="1" x14ac:dyDescent="0.25">
      <c r="A182" s="2" t="s">
        <v>389</v>
      </c>
      <c r="B182" s="72" t="s">
        <v>356</v>
      </c>
      <c r="C182" s="2" t="s">
        <v>32</v>
      </c>
      <c r="D182" s="4">
        <v>6</v>
      </c>
      <c r="E182" s="4">
        <v>19</v>
      </c>
      <c r="F182" s="2" t="s">
        <v>872</v>
      </c>
      <c r="G182" s="2" t="s">
        <v>1024</v>
      </c>
      <c r="H182" s="2" t="s">
        <v>872</v>
      </c>
      <c r="I182" s="2" t="s">
        <v>1024</v>
      </c>
      <c r="J182" s="2" t="s">
        <v>872</v>
      </c>
      <c r="K182" s="2" t="s">
        <v>872</v>
      </c>
      <c r="L182" s="2" t="s">
        <v>873</v>
      </c>
      <c r="M182" s="2" t="s">
        <v>873</v>
      </c>
      <c r="N182" s="2" t="s">
        <v>872</v>
      </c>
    </row>
    <row r="183" spans="1:14" ht="13.5" thickBot="1" x14ac:dyDescent="0.25">
      <c r="A183" s="2" t="s">
        <v>391</v>
      </c>
      <c r="B183" s="72" t="s">
        <v>364</v>
      </c>
      <c r="C183" s="2" t="s">
        <v>32</v>
      </c>
      <c r="D183" s="4">
        <v>4</v>
      </c>
      <c r="E183" s="4">
        <v>16</v>
      </c>
      <c r="F183" s="2" t="s">
        <v>872</v>
      </c>
      <c r="G183" s="2" t="s">
        <v>928</v>
      </c>
      <c r="H183" s="2" t="s">
        <v>872</v>
      </c>
      <c r="I183" s="2" t="s">
        <v>928</v>
      </c>
      <c r="J183" s="2" t="s">
        <v>872</v>
      </c>
      <c r="K183" s="2" t="s">
        <v>872</v>
      </c>
      <c r="L183" s="2" t="s">
        <v>873</v>
      </c>
      <c r="M183" s="2" t="s">
        <v>872</v>
      </c>
      <c r="N183" s="2" t="s">
        <v>872</v>
      </c>
    </row>
    <row r="184" spans="1:14" ht="13.5" thickBot="1" x14ac:dyDescent="0.25">
      <c r="A184" s="2" t="s">
        <v>393</v>
      </c>
      <c r="B184" s="72" t="s">
        <v>372</v>
      </c>
      <c r="C184" s="2" t="s">
        <v>32</v>
      </c>
      <c r="D184" s="4">
        <v>6</v>
      </c>
      <c r="E184" s="4">
        <v>16</v>
      </c>
      <c r="F184" s="2" t="s">
        <v>872</v>
      </c>
      <c r="G184" s="2" t="s">
        <v>985</v>
      </c>
      <c r="H184" s="2" t="s">
        <v>872</v>
      </c>
      <c r="I184" s="2" t="s">
        <v>985</v>
      </c>
      <c r="J184" s="2" t="s">
        <v>873</v>
      </c>
      <c r="K184" s="2" t="s">
        <v>872</v>
      </c>
      <c r="L184" s="2" t="s">
        <v>873</v>
      </c>
      <c r="M184" s="2" t="s">
        <v>873</v>
      </c>
      <c r="N184" s="2" t="s">
        <v>872</v>
      </c>
    </row>
    <row r="185" spans="1:14" ht="13.5" thickBot="1" x14ac:dyDescent="0.25">
      <c r="A185" s="2" t="s">
        <v>395</v>
      </c>
      <c r="B185" s="72" t="s">
        <v>392</v>
      </c>
      <c r="C185" s="2" t="s">
        <v>32</v>
      </c>
      <c r="D185" s="4">
        <v>6</v>
      </c>
      <c r="E185" s="4">
        <v>10</v>
      </c>
      <c r="F185" s="2" t="s">
        <v>872</v>
      </c>
      <c r="G185" s="2" t="s">
        <v>1033</v>
      </c>
      <c r="H185" s="2" t="s">
        <v>872</v>
      </c>
      <c r="I185" s="2" t="s">
        <v>1033</v>
      </c>
      <c r="J185" s="2" t="s">
        <v>872</v>
      </c>
      <c r="K185" s="2" t="s">
        <v>872</v>
      </c>
      <c r="L185" s="2" t="s">
        <v>872</v>
      </c>
      <c r="M185" s="2" t="s">
        <v>872</v>
      </c>
      <c r="N185" s="2" t="s">
        <v>872</v>
      </c>
    </row>
    <row r="186" spans="1:14" ht="13.5" thickBot="1" x14ac:dyDescent="0.25">
      <c r="A186" s="2" t="s">
        <v>397</v>
      </c>
      <c r="B186" s="72" t="s">
        <v>424</v>
      </c>
      <c r="C186" s="2" t="s">
        <v>32</v>
      </c>
      <c r="D186" s="4">
        <v>3</v>
      </c>
      <c r="E186" s="4">
        <v>8</v>
      </c>
      <c r="F186" s="2" t="s">
        <v>872</v>
      </c>
      <c r="G186" s="2" t="s">
        <v>941</v>
      </c>
      <c r="H186" s="2" t="s">
        <v>872</v>
      </c>
      <c r="I186" s="2" t="s">
        <v>941</v>
      </c>
      <c r="J186" s="2" t="s">
        <v>872</v>
      </c>
      <c r="K186" s="2" t="s">
        <v>872</v>
      </c>
      <c r="L186" s="2" t="s">
        <v>873</v>
      </c>
      <c r="M186" s="2" t="s">
        <v>872</v>
      </c>
      <c r="N186" s="2" t="s">
        <v>872</v>
      </c>
    </row>
    <row r="187" spans="1:14" ht="13.5" thickBot="1" x14ac:dyDescent="0.25">
      <c r="A187" s="2" t="s">
        <v>399</v>
      </c>
      <c r="B187" s="72" t="s">
        <v>422</v>
      </c>
      <c r="C187" s="2" t="s">
        <v>32</v>
      </c>
      <c r="D187" s="4">
        <v>2</v>
      </c>
      <c r="E187" s="4">
        <v>20</v>
      </c>
      <c r="F187" s="2" t="s">
        <v>872</v>
      </c>
      <c r="G187" s="2" t="s">
        <v>1042</v>
      </c>
      <c r="H187" s="2" t="s">
        <v>872</v>
      </c>
      <c r="I187" s="2" t="s">
        <v>1043</v>
      </c>
      <c r="J187" s="2" t="s">
        <v>872</v>
      </c>
      <c r="K187" s="2" t="s">
        <v>872</v>
      </c>
      <c r="L187" s="2" t="s">
        <v>873</v>
      </c>
      <c r="M187" s="2" t="s">
        <v>872</v>
      </c>
      <c r="N187" s="2" t="s">
        <v>872</v>
      </c>
    </row>
    <row r="188" spans="1:14" ht="13.5" thickBot="1" x14ac:dyDescent="0.25">
      <c r="A188" s="2" t="s">
        <v>401</v>
      </c>
      <c r="B188" s="72" t="s">
        <v>446</v>
      </c>
      <c r="C188" s="2" t="s">
        <v>32</v>
      </c>
      <c r="D188" s="4">
        <v>7</v>
      </c>
      <c r="E188" s="4">
        <v>14</v>
      </c>
      <c r="F188" s="2" t="s">
        <v>872</v>
      </c>
      <c r="G188" s="2" t="s">
        <v>932</v>
      </c>
      <c r="H188" s="2" t="s">
        <v>872</v>
      </c>
      <c r="I188" s="2" t="s">
        <v>932</v>
      </c>
      <c r="J188" s="2" t="s">
        <v>872</v>
      </c>
      <c r="K188" s="2" t="s">
        <v>872</v>
      </c>
      <c r="L188" s="2" t="s">
        <v>873</v>
      </c>
      <c r="M188" s="2" t="s">
        <v>872</v>
      </c>
      <c r="N188" s="2" t="s">
        <v>872</v>
      </c>
    </row>
    <row r="189" spans="1:14" ht="13.5" thickBot="1" x14ac:dyDescent="0.25">
      <c r="A189" s="2" t="s">
        <v>403</v>
      </c>
      <c r="B189" s="72" t="s">
        <v>460</v>
      </c>
      <c r="C189" s="2" t="s">
        <v>32</v>
      </c>
      <c r="D189" s="4">
        <v>7</v>
      </c>
      <c r="E189" s="4">
        <v>13</v>
      </c>
      <c r="F189" s="2" t="s">
        <v>872</v>
      </c>
      <c r="G189" s="2" t="s">
        <v>1050</v>
      </c>
      <c r="H189" s="2" t="s">
        <v>872</v>
      </c>
      <c r="I189" s="2" t="s">
        <v>1050</v>
      </c>
      <c r="J189" s="2" t="s">
        <v>872</v>
      </c>
      <c r="K189" s="2" t="s">
        <v>872</v>
      </c>
      <c r="L189" s="2" t="s">
        <v>873</v>
      </c>
      <c r="M189" s="2" t="s">
        <v>872</v>
      </c>
      <c r="N189" s="2" t="s">
        <v>872</v>
      </c>
    </row>
    <row r="190" spans="1:14" ht="13.5" thickBot="1" x14ac:dyDescent="0.25">
      <c r="A190" s="2" t="s">
        <v>405</v>
      </c>
      <c r="B190" s="72" t="s">
        <v>483</v>
      </c>
      <c r="C190" s="2" t="s">
        <v>32</v>
      </c>
      <c r="D190" s="4">
        <v>9</v>
      </c>
      <c r="E190" s="4">
        <v>11</v>
      </c>
      <c r="F190" s="2" t="s">
        <v>872</v>
      </c>
      <c r="G190" s="2" t="s">
        <v>1054</v>
      </c>
      <c r="H190" s="2" t="s">
        <v>872</v>
      </c>
      <c r="I190" s="2" t="s">
        <v>996</v>
      </c>
      <c r="J190" s="2" t="s">
        <v>872</v>
      </c>
      <c r="K190" s="2" t="s">
        <v>872</v>
      </c>
      <c r="L190" s="2" t="s">
        <v>873</v>
      </c>
      <c r="M190" s="2" t="s">
        <v>872</v>
      </c>
      <c r="N190" s="2" t="s">
        <v>872</v>
      </c>
    </row>
    <row r="191" spans="1:14" ht="13.5" thickBot="1" x14ac:dyDescent="0.25">
      <c r="A191" s="2" t="s">
        <v>407</v>
      </c>
      <c r="B191" s="72" t="s">
        <v>489</v>
      </c>
      <c r="C191" s="2" t="s">
        <v>32</v>
      </c>
      <c r="D191" s="4">
        <v>3</v>
      </c>
      <c r="E191" s="4">
        <v>38</v>
      </c>
      <c r="F191" s="2" t="s">
        <v>872</v>
      </c>
      <c r="G191" s="2" t="s">
        <v>940</v>
      </c>
      <c r="H191" s="2" t="s">
        <v>872</v>
      </c>
      <c r="I191" s="2" t="s">
        <v>940</v>
      </c>
      <c r="J191" s="2" t="s">
        <v>872</v>
      </c>
      <c r="K191" s="2" t="s">
        <v>872</v>
      </c>
      <c r="L191" s="2" t="s">
        <v>872</v>
      </c>
      <c r="M191" s="2" t="s">
        <v>872</v>
      </c>
      <c r="N191" s="2" t="s">
        <v>872</v>
      </c>
    </row>
    <row r="192" spans="1:14" ht="13.5" thickBot="1" x14ac:dyDescent="0.25">
      <c r="A192" s="2" t="s">
        <v>409</v>
      </c>
      <c r="B192" s="72" t="s">
        <v>509</v>
      </c>
      <c r="C192" s="2" t="s">
        <v>32</v>
      </c>
      <c r="D192" s="4">
        <v>2</v>
      </c>
      <c r="E192" s="4">
        <v>17</v>
      </c>
      <c r="F192" s="2" t="s">
        <v>872</v>
      </c>
      <c r="G192" s="2" t="s">
        <v>914</v>
      </c>
      <c r="H192" s="2" t="s">
        <v>872</v>
      </c>
      <c r="I192" s="2" t="s">
        <v>1061</v>
      </c>
      <c r="J192" s="2" t="s">
        <v>872</v>
      </c>
      <c r="K192" s="2" t="s">
        <v>872</v>
      </c>
      <c r="L192" s="2" t="s">
        <v>873</v>
      </c>
      <c r="M192" s="2" t="s">
        <v>872</v>
      </c>
      <c r="N192" s="2" t="s">
        <v>872</v>
      </c>
    </row>
    <row r="193" spans="1:14" ht="13.5" thickBot="1" x14ac:dyDescent="0.25">
      <c r="A193" s="2" t="s">
        <v>411</v>
      </c>
      <c r="B193" s="72" t="s">
        <v>521</v>
      </c>
      <c r="C193" s="2" t="s">
        <v>32</v>
      </c>
      <c r="D193" s="4">
        <v>4</v>
      </c>
      <c r="E193" s="4">
        <v>6</v>
      </c>
      <c r="F193" s="2" t="s">
        <v>872</v>
      </c>
      <c r="G193" s="2" t="s">
        <v>937</v>
      </c>
      <c r="H193" s="2" t="s">
        <v>872</v>
      </c>
      <c r="I193" s="2" t="s">
        <v>942</v>
      </c>
      <c r="J193" s="2" t="s">
        <v>872</v>
      </c>
      <c r="K193" s="2" t="s">
        <v>872</v>
      </c>
      <c r="L193" s="2" t="s">
        <v>873</v>
      </c>
      <c r="M193" s="2" t="s">
        <v>873</v>
      </c>
      <c r="N193" s="2" t="s">
        <v>872</v>
      </c>
    </row>
    <row r="194" spans="1:14" ht="13.5" thickBot="1" x14ac:dyDescent="0.25">
      <c r="A194" s="2" t="s">
        <v>413</v>
      </c>
      <c r="B194" s="72" t="s">
        <v>527</v>
      </c>
      <c r="C194" s="2" t="s">
        <v>32</v>
      </c>
      <c r="D194" s="4">
        <v>8</v>
      </c>
      <c r="E194" s="4">
        <v>30</v>
      </c>
      <c r="F194" s="2" t="s">
        <v>872</v>
      </c>
      <c r="G194" s="2" t="s">
        <v>932</v>
      </c>
      <c r="H194" s="2" t="s">
        <v>872</v>
      </c>
      <c r="I194" s="2" t="s">
        <v>932</v>
      </c>
      <c r="J194" s="2" t="s">
        <v>872</v>
      </c>
      <c r="K194" s="2" t="s">
        <v>872</v>
      </c>
      <c r="L194" s="2" t="s">
        <v>873</v>
      </c>
      <c r="M194" s="2" t="s">
        <v>872</v>
      </c>
      <c r="N194" s="2" t="s">
        <v>872</v>
      </c>
    </row>
    <row r="195" spans="1:14" ht="13.5" thickBot="1" x14ac:dyDescent="0.25">
      <c r="A195" s="2" t="s">
        <v>415</v>
      </c>
      <c r="B195" s="72" t="s">
        <v>537</v>
      </c>
      <c r="C195" s="2" t="s">
        <v>32</v>
      </c>
      <c r="D195" s="4">
        <v>6</v>
      </c>
      <c r="E195" s="4">
        <v>24</v>
      </c>
      <c r="F195" s="2" t="s">
        <v>872</v>
      </c>
      <c r="G195" s="2" t="s">
        <v>1066</v>
      </c>
      <c r="H195" s="2" t="s">
        <v>872</v>
      </c>
      <c r="I195" s="2" t="s">
        <v>936</v>
      </c>
      <c r="J195" s="2" t="s">
        <v>872</v>
      </c>
      <c r="K195" s="2" t="s">
        <v>872</v>
      </c>
      <c r="L195" s="2" t="s">
        <v>873</v>
      </c>
      <c r="M195" s="2" t="s">
        <v>872</v>
      </c>
      <c r="N195" s="2" t="s">
        <v>872</v>
      </c>
    </row>
    <row r="196" spans="1:14" ht="13.5" thickBot="1" x14ac:dyDescent="0.25">
      <c r="A196" s="2" t="s">
        <v>417</v>
      </c>
      <c r="B196" s="72" t="s">
        <v>541</v>
      </c>
      <c r="C196" s="2" t="s">
        <v>32</v>
      </c>
      <c r="D196" s="4">
        <v>3</v>
      </c>
      <c r="E196" s="4">
        <v>12</v>
      </c>
      <c r="F196" s="2" t="s">
        <v>872</v>
      </c>
      <c r="G196" s="2" t="s">
        <v>932</v>
      </c>
      <c r="H196" s="2" t="s">
        <v>872</v>
      </c>
      <c r="I196" s="2" t="s">
        <v>932</v>
      </c>
      <c r="J196" s="2" t="s">
        <v>872</v>
      </c>
      <c r="K196" s="2" t="s">
        <v>872</v>
      </c>
      <c r="L196" s="2" t="s">
        <v>873</v>
      </c>
      <c r="M196" s="2" t="s">
        <v>872</v>
      </c>
      <c r="N196" s="2" t="s">
        <v>872</v>
      </c>
    </row>
    <row r="197" spans="1:14" ht="13.5" thickBot="1" x14ac:dyDescent="0.25">
      <c r="A197" s="2" t="s">
        <v>419</v>
      </c>
      <c r="B197" s="72" t="s">
        <v>553</v>
      </c>
      <c r="C197" s="2" t="s">
        <v>32</v>
      </c>
      <c r="D197" s="4">
        <v>12</v>
      </c>
      <c r="E197" s="4">
        <v>18</v>
      </c>
      <c r="F197" s="2" t="s">
        <v>872</v>
      </c>
      <c r="G197" s="2" t="s">
        <v>1067</v>
      </c>
      <c r="H197" s="2" t="s">
        <v>872</v>
      </c>
      <c r="I197" s="2" t="s">
        <v>1067</v>
      </c>
      <c r="J197" s="2" t="s">
        <v>873</v>
      </c>
      <c r="K197" s="2" t="s">
        <v>872</v>
      </c>
      <c r="L197" s="2" t="s">
        <v>873</v>
      </c>
      <c r="M197" s="2" t="s">
        <v>873</v>
      </c>
      <c r="N197" s="2" t="s">
        <v>872</v>
      </c>
    </row>
    <row r="198" spans="1:14" ht="13.5" thickBot="1" x14ac:dyDescent="0.25">
      <c r="A198" s="2" t="s">
        <v>421</v>
      </c>
      <c r="B198" s="72" t="s">
        <v>571</v>
      </c>
      <c r="C198" s="2" t="s">
        <v>32</v>
      </c>
      <c r="D198" s="4">
        <v>5</v>
      </c>
      <c r="E198" s="4">
        <v>8</v>
      </c>
      <c r="F198" s="2" t="s">
        <v>872</v>
      </c>
      <c r="G198" s="2" t="s">
        <v>930</v>
      </c>
      <c r="H198" s="2" t="s">
        <v>872</v>
      </c>
      <c r="I198" s="2" t="s">
        <v>930</v>
      </c>
      <c r="J198" s="2" t="s">
        <v>873</v>
      </c>
      <c r="K198" s="2" t="s">
        <v>872</v>
      </c>
      <c r="L198" s="2" t="s">
        <v>873</v>
      </c>
      <c r="M198" s="2" t="s">
        <v>872</v>
      </c>
      <c r="N198" s="2" t="s">
        <v>872</v>
      </c>
    </row>
    <row r="199" spans="1:14" ht="13.5" thickBot="1" x14ac:dyDescent="0.25">
      <c r="A199" s="2" t="s">
        <v>423</v>
      </c>
      <c r="B199" s="72" t="s">
        <v>581</v>
      </c>
      <c r="C199" s="2" t="s">
        <v>32</v>
      </c>
      <c r="D199" s="4">
        <v>12</v>
      </c>
      <c r="E199" s="4">
        <v>13</v>
      </c>
      <c r="F199" s="2" t="s">
        <v>872</v>
      </c>
      <c r="G199" s="2" t="s">
        <v>1073</v>
      </c>
      <c r="H199" s="2" t="s">
        <v>872</v>
      </c>
      <c r="I199" s="2" t="s">
        <v>939</v>
      </c>
      <c r="J199" s="2" t="s">
        <v>872</v>
      </c>
      <c r="K199" s="2" t="s">
        <v>872</v>
      </c>
      <c r="L199" s="2" t="s">
        <v>873</v>
      </c>
      <c r="M199" s="2" t="s">
        <v>873</v>
      </c>
      <c r="N199" s="2" t="s">
        <v>872</v>
      </c>
    </row>
    <row r="200" spans="1:14" ht="13.5" thickBot="1" x14ac:dyDescent="0.25">
      <c r="A200" s="2" t="s">
        <v>425</v>
      </c>
      <c r="B200" s="72" t="s">
        <v>585</v>
      </c>
      <c r="C200" s="2" t="s">
        <v>32</v>
      </c>
      <c r="D200" s="4">
        <v>6</v>
      </c>
      <c r="E200" s="4">
        <v>7</v>
      </c>
      <c r="F200" s="2" t="s">
        <v>872</v>
      </c>
      <c r="G200" s="2" t="s">
        <v>928</v>
      </c>
      <c r="H200" s="2" t="s">
        <v>872</v>
      </c>
      <c r="I200" s="2" t="s">
        <v>928</v>
      </c>
      <c r="J200" s="2" t="s">
        <v>872</v>
      </c>
      <c r="K200" s="2" t="s">
        <v>872</v>
      </c>
      <c r="L200" s="2" t="s">
        <v>873</v>
      </c>
      <c r="M200" s="2" t="s">
        <v>872</v>
      </c>
      <c r="N200" s="2" t="s">
        <v>872</v>
      </c>
    </row>
    <row r="201" spans="1:14" ht="13.5" thickBot="1" x14ac:dyDescent="0.25">
      <c r="A201" s="2" t="s">
        <v>427</v>
      </c>
      <c r="B201" s="72" t="s">
        <v>595</v>
      </c>
      <c r="C201" s="2" t="s">
        <v>32</v>
      </c>
      <c r="D201" s="4">
        <v>8</v>
      </c>
      <c r="E201" s="4">
        <v>27</v>
      </c>
      <c r="F201" s="2" t="s">
        <v>872</v>
      </c>
      <c r="G201" s="2" t="s">
        <v>1074</v>
      </c>
      <c r="H201" s="2" t="s">
        <v>872</v>
      </c>
      <c r="I201" s="2" t="s">
        <v>1074</v>
      </c>
      <c r="J201" s="2" t="s">
        <v>872</v>
      </c>
      <c r="K201" s="2" t="s">
        <v>872</v>
      </c>
      <c r="L201" s="2" t="s">
        <v>873</v>
      </c>
      <c r="M201" s="2" t="s">
        <v>872</v>
      </c>
      <c r="N201" s="2" t="s">
        <v>872</v>
      </c>
    </row>
    <row r="202" spans="1:14" ht="13.5" thickBot="1" x14ac:dyDescent="0.25">
      <c r="A202" s="2" t="s">
        <v>429</v>
      </c>
      <c r="B202" s="72" t="s">
        <v>603</v>
      </c>
      <c r="C202" s="2" t="s">
        <v>32</v>
      </c>
      <c r="D202" s="4">
        <v>9</v>
      </c>
      <c r="E202" s="4">
        <v>25</v>
      </c>
      <c r="F202" s="2" t="s">
        <v>872</v>
      </c>
      <c r="G202" s="2" t="s">
        <v>1051</v>
      </c>
      <c r="H202" s="2" t="s">
        <v>872</v>
      </c>
      <c r="I202" s="2" t="s">
        <v>1051</v>
      </c>
      <c r="J202" s="2" t="s">
        <v>872</v>
      </c>
      <c r="K202" s="2" t="s">
        <v>872</v>
      </c>
      <c r="L202" s="2" t="s">
        <v>873</v>
      </c>
      <c r="M202" s="2" t="s">
        <v>873</v>
      </c>
      <c r="N202" s="2" t="s">
        <v>872</v>
      </c>
    </row>
    <row r="203" spans="1:14" ht="13.5" thickBot="1" x14ac:dyDescent="0.25">
      <c r="A203" s="2" t="s">
        <v>431</v>
      </c>
      <c r="B203" s="72" t="s">
        <v>629</v>
      </c>
      <c r="C203" s="2" t="s">
        <v>32</v>
      </c>
      <c r="D203" s="4">
        <v>9</v>
      </c>
      <c r="E203" s="4">
        <v>10</v>
      </c>
      <c r="F203" s="2" t="s">
        <v>872</v>
      </c>
      <c r="G203" s="2" t="s">
        <v>939</v>
      </c>
      <c r="H203" s="2" t="s">
        <v>872</v>
      </c>
      <c r="I203" s="2" t="s">
        <v>939</v>
      </c>
      <c r="J203" s="2" t="s">
        <v>872</v>
      </c>
      <c r="K203" s="2" t="s">
        <v>872</v>
      </c>
      <c r="L203" s="2" t="s">
        <v>873</v>
      </c>
      <c r="M203" s="2" t="s">
        <v>873</v>
      </c>
      <c r="N203" s="2" t="s">
        <v>872</v>
      </c>
    </row>
    <row r="204" spans="1:14" ht="13.5" thickBot="1" x14ac:dyDescent="0.25">
      <c r="A204" s="2" t="s">
        <v>433</v>
      </c>
      <c r="B204" s="72" t="s">
        <v>637</v>
      </c>
      <c r="C204" s="2" t="s">
        <v>32</v>
      </c>
      <c r="D204" s="4">
        <v>5</v>
      </c>
      <c r="E204" s="4">
        <v>13</v>
      </c>
      <c r="F204" s="2" t="s">
        <v>872</v>
      </c>
      <c r="G204" s="2" t="s">
        <v>937</v>
      </c>
      <c r="H204" s="2" t="s">
        <v>872</v>
      </c>
      <c r="I204" s="2" t="s">
        <v>937</v>
      </c>
      <c r="J204" s="2" t="s">
        <v>872</v>
      </c>
      <c r="K204" s="2" t="s">
        <v>872</v>
      </c>
      <c r="L204" s="2" t="s">
        <v>873</v>
      </c>
      <c r="M204" s="2" t="s">
        <v>872</v>
      </c>
      <c r="N204" s="2" t="s">
        <v>872</v>
      </c>
    </row>
    <row r="205" spans="1:14" ht="13.5" thickBot="1" x14ac:dyDescent="0.25">
      <c r="A205" s="2" t="s">
        <v>435</v>
      </c>
      <c r="B205" s="72" t="s">
        <v>645</v>
      </c>
      <c r="C205" s="2" t="s">
        <v>32</v>
      </c>
      <c r="D205" s="4">
        <v>10</v>
      </c>
      <c r="E205" s="4">
        <v>9</v>
      </c>
      <c r="F205" s="2" t="s">
        <v>872</v>
      </c>
      <c r="G205" s="2" t="s">
        <v>962</v>
      </c>
      <c r="H205" s="2" t="s">
        <v>872</v>
      </c>
      <c r="I205" s="2" t="s">
        <v>962</v>
      </c>
      <c r="J205" s="2" t="s">
        <v>872</v>
      </c>
      <c r="K205" s="2" t="s">
        <v>872</v>
      </c>
      <c r="L205" s="2" t="s">
        <v>873</v>
      </c>
      <c r="M205" s="2" t="s">
        <v>873</v>
      </c>
      <c r="N205" s="2" t="s">
        <v>872</v>
      </c>
    </row>
    <row r="206" spans="1:14" ht="13.5" thickBot="1" x14ac:dyDescent="0.25">
      <c r="A206" s="2" t="s">
        <v>437</v>
      </c>
      <c r="B206" s="72" t="s">
        <v>655</v>
      </c>
      <c r="C206" s="2" t="s">
        <v>32</v>
      </c>
      <c r="D206" s="77">
        <v>3</v>
      </c>
      <c r="E206" s="77">
        <v>15</v>
      </c>
      <c r="F206" s="2" t="s">
        <v>872</v>
      </c>
      <c r="G206" s="2" t="s">
        <v>958</v>
      </c>
      <c r="H206" s="2" t="s">
        <v>872</v>
      </c>
      <c r="I206" s="2" t="s">
        <v>958</v>
      </c>
      <c r="J206" s="2" t="s">
        <v>872</v>
      </c>
      <c r="K206" s="2" t="s">
        <v>872</v>
      </c>
      <c r="L206" s="2" t="s">
        <v>873</v>
      </c>
      <c r="M206" s="2" t="s">
        <v>872</v>
      </c>
      <c r="N206" s="2" t="s">
        <v>872</v>
      </c>
    </row>
    <row r="207" spans="1:14" ht="13.5" thickBot="1" x14ac:dyDescent="0.25">
      <c r="A207" s="2" t="s">
        <v>439</v>
      </c>
      <c r="B207" s="72" t="s">
        <v>673</v>
      </c>
      <c r="C207" s="2" t="s">
        <v>32</v>
      </c>
      <c r="D207" s="4">
        <v>7</v>
      </c>
      <c r="E207" s="4">
        <v>19</v>
      </c>
      <c r="F207" s="2" t="s">
        <v>872</v>
      </c>
      <c r="G207" s="2" t="s">
        <v>927</v>
      </c>
      <c r="H207" s="2" t="s">
        <v>872</v>
      </c>
      <c r="I207" s="2" t="s">
        <v>927</v>
      </c>
      <c r="J207" s="2" t="s">
        <v>872</v>
      </c>
      <c r="K207" s="2" t="s">
        <v>872</v>
      </c>
      <c r="L207" s="2" t="s">
        <v>873</v>
      </c>
      <c r="M207" s="2" t="s">
        <v>872</v>
      </c>
      <c r="N207" s="2" t="s">
        <v>872</v>
      </c>
    </row>
    <row r="208" spans="1:14" ht="13.5" thickBot="1" x14ac:dyDescent="0.25">
      <c r="A208" s="2" t="s">
        <v>441</v>
      </c>
      <c r="B208" s="72" t="s">
        <v>675</v>
      </c>
      <c r="C208" s="2" t="s">
        <v>32</v>
      </c>
      <c r="D208" s="4">
        <v>6</v>
      </c>
      <c r="E208" s="4">
        <v>7</v>
      </c>
      <c r="F208" s="2" t="s">
        <v>872</v>
      </c>
      <c r="G208" s="2" t="s">
        <v>1090</v>
      </c>
      <c r="H208" s="2" t="s">
        <v>872</v>
      </c>
      <c r="I208" s="2" t="s">
        <v>1091</v>
      </c>
      <c r="J208" s="2" t="s">
        <v>872</v>
      </c>
      <c r="K208" s="2" t="s">
        <v>872</v>
      </c>
      <c r="L208" s="2" t="s">
        <v>873</v>
      </c>
      <c r="M208" s="2" t="s">
        <v>872</v>
      </c>
      <c r="N208" s="2" t="s">
        <v>872</v>
      </c>
    </row>
    <row r="209" spans="1:14" ht="13.5" thickBot="1" x14ac:dyDescent="0.25">
      <c r="A209" s="2" t="s">
        <v>443</v>
      </c>
      <c r="B209" s="72" t="s">
        <v>683</v>
      </c>
      <c r="C209" s="2" t="s">
        <v>32</v>
      </c>
      <c r="D209" s="4">
        <v>4</v>
      </c>
      <c r="E209" s="4">
        <v>12</v>
      </c>
      <c r="F209" s="2" t="s">
        <v>872</v>
      </c>
      <c r="G209" s="2" t="s">
        <v>928</v>
      </c>
      <c r="H209" s="2" t="s">
        <v>872</v>
      </c>
      <c r="I209" s="2" t="s">
        <v>928</v>
      </c>
      <c r="J209" s="2" t="s">
        <v>872</v>
      </c>
      <c r="K209" s="2" t="s">
        <v>872</v>
      </c>
      <c r="L209" s="2" t="s">
        <v>873</v>
      </c>
      <c r="M209" s="2" t="s">
        <v>872</v>
      </c>
      <c r="N209" s="2" t="s">
        <v>872</v>
      </c>
    </row>
    <row r="210" spans="1:14" ht="13.5" thickBot="1" x14ac:dyDescent="0.25">
      <c r="A210" s="2" t="s">
        <v>445</v>
      </c>
      <c r="B210" s="72" t="s">
        <v>689</v>
      </c>
      <c r="C210" s="2" t="s">
        <v>32</v>
      </c>
      <c r="D210" s="4">
        <v>8</v>
      </c>
      <c r="E210" s="4">
        <v>7</v>
      </c>
      <c r="F210" s="2" t="s">
        <v>872</v>
      </c>
      <c r="G210" s="2" t="s">
        <v>1093</v>
      </c>
      <c r="H210" s="2" t="s">
        <v>872</v>
      </c>
      <c r="I210" s="2" t="s">
        <v>1093</v>
      </c>
      <c r="J210" s="2" t="s">
        <v>872</v>
      </c>
      <c r="K210" s="2" t="s">
        <v>872</v>
      </c>
      <c r="L210" s="2" t="s">
        <v>873</v>
      </c>
      <c r="M210" s="2" t="s">
        <v>872</v>
      </c>
      <c r="N210" s="2" t="s">
        <v>872</v>
      </c>
    </row>
    <row r="211" spans="1:14" ht="13.5" thickBot="1" x14ac:dyDescent="0.25">
      <c r="A211" s="2" t="s">
        <v>447</v>
      </c>
      <c r="B211" s="72" t="s">
        <v>693</v>
      </c>
      <c r="C211" s="2" t="s">
        <v>32</v>
      </c>
      <c r="D211" s="4">
        <v>8</v>
      </c>
      <c r="E211" s="4">
        <v>14</v>
      </c>
      <c r="F211" s="2" t="s">
        <v>872</v>
      </c>
      <c r="G211" s="2" t="s">
        <v>1094</v>
      </c>
      <c r="H211" s="2" t="s">
        <v>872</v>
      </c>
      <c r="I211" s="2" t="s">
        <v>1094</v>
      </c>
      <c r="J211" s="2" t="s">
        <v>872</v>
      </c>
      <c r="K211" s="2" t="s">
        <v>872</v>
      </c>
      <c r="L211" s="2" t="s">
        <v>873</v>
      </c>
      <c r="M211" s="2" t="s">
        <v>872</v>
      </c>
      <c r="N211" s="2" t="s">
        <v>872</v>
      </c>
    </row>
    <row r="212" spans="1:14" ht="13.5" thickBot="1" x14ac:dyDescent="0.25">
      <c r="A212" s="2" t="s">
        <v>451</v>
      </c>
      <c r="B212" s="72" t="s">
        <v>699</v>
      </c>
      <c r="C212" s="2" t="s">
        <v>32</v>
      </c>
      <c r="D212" s="4">
        <v>8</v>
      </c>
      <c r="E212" s="4">
        <v>25</v>
      </c>
      <c r="F212" s="2" t="s">
        <v>872</v>
      </c>
      <c r="G212" s="2" t="s">
        <v>939</v>
      </c>
      <c r="H212" s="2" t="s">
        <v>872</v>
      </c>
      <c r="I212" s="2" t="s">
        <v>939</v>
      </c>
      <c r="J212" s="2" t="s">
        <v>873</v>
      </c>
      <c r="K212" s="2" t="s">
        <v>872</v>
      </c>
      <c r="L212" s="2" t="s">
        <v>873</v>
      </c>
      <c r="M212" s="2" t="s">
        <v>873</v>
      </c>
      <c r="N212" s="2" t="s">
        <v>872</v>
      </c>
    </row>
    <row r="213" spans="1:14" ht="13.5" thickBot="1" x14ac:dyDescent="0.25">
      <c r="A213" s="2" t="s">
        <v>453</v>
      </c>
      <c r="B213" s="72" t="s">
        <v>705</v>
      </c>
      <c r="C213" s="2" t="s">
        <v>32</v>
      </c>
      <c r="D213" s="4">
        <v>9</v>
      </c>
      <c r="E213" s="4">
        <v>12</v>
      </c>
      <c r="F213" s="2" t="s">
        <v>872</v>
      </c>
      <c r="G213" s="2" t="s">
        <v>1098</v>
      </c>
      <c r="H213" s="2" t="s">
        <v>872</v>
      </c>
      <c r="I213" s="2" t="s">
        <v>1098</v>
      </c>
      <c r="J213" s="2" t="s">
        <v>872</v>
      </c>
      <c r="K213" s="2" t="s">
        <v>872</v>
      </c>
      <c r="L213" s="2" t="s">
        <v>873</v>
      </c>
      <c r="M213" s="2" t="s">
        <v>873</v>
      </c>
      <c r="N213" s="2" t="s">
        <v>872</v>
      </c>
    </row>
    <row r="214" spans="1:14" ht="13.5" thickBot="1" x14ac:dyDescent="0.25">
      <c r="A214" s="2" t="s">
        <v>455</v>
      </c>
      <c r="B214" s="72" t="s">
        <v>717</v>
      </c>
      <c r="C214" s="2" t="s">
        <v>32</v>
      </c>
      <c r="D214" s="4">
        <v>10</v>
      </c>
      <c r="E214" s="4">
        <v>22</v>
      </c>
      <c r="F214" s="2" t="s">
        <v>872</v>
      </c>
      <c r="G214" s="2" t="s">
        <v>933</v>
      </c>
      <c r="H214" s="2" t="s">
        <v>872</v>
      </c>
      <c r="I214" s="2" t="s">
        <v>933</v>
      </c>
      <c r="J214" s="2" t="s">
        <v>872</v>
      </c>
      <c r="K214" s="2" t="s">
        <v>872</v>
      </c>
      <c r="L214" s="2" t="s">
        <v>873</v>
      </c>
      <c r="M214" s="2" t="s">
        <v>873</v>
      </c>
      <c r="N214" s="2" t="s">
        <v>872</v>
      </c>
    </row>
    <row r="215" spans="1:14" ht="13.5" thickBot="1" x14ac:dyDescent="0.25">
      <c r="A215" s="2" t="s">
        <v>459</v>
      </c>
      <c r="B215" s="72" t="s">
        <v>723</v>
      </c>
      <c r="C215" s="2" t="s">
        <v>32</v>
      </c>
      <c r="D215" s="4">
        <v>4</v>
      </c>
      <c r="E215" s="4">
        <v>11</v>
      </c>
      <c r="F215" s="2" t="s">
        <v>872</v>
      </c>
      <c r="G215" s="2" t="s">
        <v>1007</v>
      </c>
      <c r="H215" s="2" t="s">
        <v>872</v>
      </c>
      <c r="I215" s="2" t="s">
        <v>1101</v>
      </c>
      <c r="J215" s="2" t="s">
        <v>872</v>
      </c>
      <c r="K215" s="2" t="s">
        <v>872</v>
      </c>
      <c r="L215" s="2" t="s">
        <v>873</v>
      </c>
      <c r="M215" s="2" t="s">
        <v>872</v>
      </c>
      <c r="N215" s="2" t="s">
        <v>872</v>
      </c>
    </row>
    <row r="216" spans="1:14" ht="13.5" thickBot="1" x14ac:dyDescent="0.25">
      <c r="A216" s="2" t="s">
        <v>461</v>
      </c>
      <c r="B216" s="72" t="s">
        <v>725</v>
      </c>
      <c r="C216" s="2" t="s">
        <v>32</v>
      </c>
      <c r="D216" s="4">
        <v>8</v>
      </c>
      <c r="E216" s="4">
        <v>20</v>
      </c>
      <c r="F216" s="2" t="s">
        <v>872</v>
      </c>
      <c r="G216" s="2" t="s">
        <v>932</v>
      </c>
      <c r="H216" s="2" t="s">
        <v>872</v>
      </c>
      <c r="I216" s="2" t="s">
        <v>932</v>
      </c>
      <c r="J216" s="2" t="s">
        <v>872</v>
      </c>
      <c r="K216" s="2" t="s">
        <v>872</v>
      </c>
      <c r="L216" s="2" t="s">
        <v>873</v>
      </c>
      <c r="M216" s="2" t="s">
        <v>872</v>
      </c>
      <c r="N216" s="2" t="s">
        <v>872</v>
      </c>
    </row>
    <row r="217" spans="1:14" ht="13.5" thickBot="1" x14ac:dyDescent="0.25">
      <c r="A217" s="2" t="s">
        <v>463</v>
      </c>
      <c r="B217" s="72" t="s">
        <v>741</v>
      </c>
      <c r="C217" s="2" t="s">
        <v>32</v>
      </c>
      <c r="D217" s="4">
        <v>5</v>
      </c>
      <c r="E217" s="4">
        <v>14</v>
      </c>
      <c r="F217" s="2" t="s">
        <v>872</v>
      </c>
      <c r="G217" s="2" t="s">
        <v>938</v>
      </c>
      <c r="H217" s="2" t="s">
        <v>872</v>
      </c>
      <c r="I217" s="2" t="s">
        <v>938</v>
      </c>
      <c r="J217" s="2" t="s">
        <v>872</v>
      </c>
      <c r="K217" s="2" t="s">
        <v>872</v>
      </c>
      <c r="L217" s="2" t="s">
        <v>873</v>
      </c>
      <c r="M217" s="2" t="s">
        <v>872</v>
      </c>
      <c r="N217" s="2" t="s">
        <v>872</v>
      </c>
    </row>
    <row r="218" spans="1:14" ht="13.5" thickBot="1" x14ac:dyDescent="0.25">
      <c r="A218" s="2" t="s">
        <v>465</v>
      </c>
      <c r="B218" s="72" t="s">
        <v>746</v>
      </c>
      <c r="C218" s="2" t="s">
        <v>32</v>
      </c>
      <c r="D218" s="4">
        <v>4</v>
      </c>
      <c r="E218" s="4">
        <v>18</v>
      </c>
      <c r="F218" s="2" t="s">
        <v>872</v>
      </c>
      <c r="G218" s="2" t="s">
        <v>1103</v>
      </c>
      <c r="H218" s="2" t="s">
        <v>872</v>
      </c>
      <c r="I218" s="2" t="s">
        <v>1103</v>
      </c>
      <c r="J218" s="2" t="s">
        <v>872</v>
      </c>
      <c r="K218" s="2" t="s">
        <v>872</v>
      </c>
      <c r="L218" s="2" t="s">
        <v>873</v>
      </c>
      <c r="M218" s="2" t="s">
        <v>872</v>
      </c>
      <c r="N218" s="2" t="s">
        <v>872</v>
      </c>
    </row>
    <row r="219" spans="1:14" ht="13.5" thickBot="1" x14ac:dyDescent="0.25">
      <c r="A219" s="2" t="s">
        <v>467</v>
      </c>
      <c r="B219" s="72" t="s">
        <v>748</v>
      </c>
      <c r="C219" s="2" t="s">
        <v>32</v>
      </c>
      <c r="D219" s="4">
        <v>8</v>
      </c>
      <c r="E219" s="4">
        <v>16</v>
      </c>
      <c r="F219" s="2" t="s">
        <v>872</v>
      </c>
      <c r="G219" s="2" t="s">
        <v>1104</v>
      </c>
      <c r="H219" s="2" t="s">
        <v>872</v>
      </c>
      <c r="I219" s="2" t="s">
        <v>924</v>
      </c>
      <c r="J219" s="2" t="s">
        <v>872</v>
      </c>
      <c r="K219" s="2" t="s">
        <v>872</v>
      </c>
      <c r="L219" s="2" t="s">
        <v>872</v>
      </c>
      <c r="M219" s="2" t="s">
        <v>872</v>
      </c>
      <c r="N219" s="2" t="s">
        <v>872</v>
      </c>
    </row>
    <row r="220" spans="1:14" ht="13.5" thickBot="1" x14ac:dyDescent="0.25">
      <c r="A220" s="2" t="s">
        <v>469</v>
      </c>
      <c r="B220" s="72" t="s">
        <v>758</v>
      </c>
      <c r="C220" s="2" t="s">
        <v>32</v>
      </c>
      <c r="D220" s="4">
        <v>7</v>
      </c>
      <c r="E220" s="4">
        <v>14</v>
      </c>
      <c r="F220" s="2" t="s">
        <v>872</v>
      </c>
      <c r="G220" s="2" t="s">
        <v>939</v>
      </c>
      <c r="H220" s="2" t="s">
        <v>872</v>
      </c>
      <c r="I220" s="2" t="s">
        <v>939</v>
      </c>
      <c r="J220" s="2" t="s">
        <v>872</v>
      </c>
      <c r="K220" s="2" t="s">
        <v>872</v>
      </c>
      <c r="L220" s="2" t="s">
        <v>873</v>
      </c>
      <c r="M220" s="2" t="s">
        <v>873</v>
      </c>
      <c r="N220" s="2" t="s">
        <v>872</v>
      </c>
    </row>
    <row r="221" spans="1:14" ht="13.5" thickBot="1" x14ac:dyDescent="0.25">
      <c r="A221" s="2" t="s">
        <v>472</v>
      </c>
      <c r="B221" s="72" t="s">
        <v>762</v>
      </c>
      <c r="C221" s="2" t="s">
        <v>32</v>
      </c>
      <c r="D221" s="4">
        <v>6</v>
      </c>
      <c r="E221" s="4">
        <v>15</v>
      </c>
      <c r="F221" s="2" t="s">
        <v>872</v>
      </c>
      <c r="G221" s="2" t="s">
        <v>1107</v>
      </c>
      <c r="H221" s="2" t="s">
        <v>872</v>
      </c>
      <c r="I221" s="2" t="s">
        <v>1107</v>
      </c>
      <c r="J221" s="2" t="s">
        <v>872</v>
      </c>
      <c r="K221" s="2" t="s">
        <v>872</v>
      </c>
      <c r="L221" s="2" t="s">
        <v>873</v>
      </c>
      <c r="M221" s="2" t="s">
        <v>873</v>
      </c>
      <c r="N221" s="2" t="s">
        <v>872</v>
      </c>
    </row>
    <row r="222" spans="1:14" ht="13.5" thickBot="1" x14ac:dyDescent="0.25">
      <c r="A222" s="2" t="s">
        <v>474</v>
      </c>
      <c r="B222" s="72" t="s">
        <v>764</v>
      </c>
      <c r="C222" s="2" t="s">
        <v>32</v>
      </c>
      <c r="D222" s="4">
        <v>5</v>
      </c>
      <c r="E222" s="4">
        <v>10</v>
      </c>
      <c r="F222" s="2" t="s">
        <v>872</v>
      </c>
      <c r="G222" s="2" t="s">
        <v>1051</v>
      </c>
      <c r="H222" s="2" t="s">
        <v>872</v>
      </c>
      <c r="I222" s="2" t="s">
        <v>1051</v>
      </c>
      <c r="J222" s="2" t="s">
        <v>872</v>
      </c>
      <c r="K222" s="2" t="s">
        <v>872</v>
      </c>
      <c r="L222" s="2" t="s">
        <v>873</v>
      </c>
      <c r="M222" s="2" t="s">
        <v>873</v>
      </c>
      <c r="N222" s="2" t="s">
        <v>872</v>
      </c>
    </row>
    <row r="223" spans="1:14" ht="13.5" thickBot="1" x14ac:dyDescent="0.25">
      <c r="A223" s="2" t="s">
        <v>476</v>
      </c>
      <c r="B223" s="72" t="s">
        <v>772</v>
      </c>
      <c r="C223" s="2" t="s">
        <v>32</v>
      </c>
      <c r="D223" s="4">
        <v>10</v>
      </c>
      <c r="E223" s="4">
        <v>17</v>
      </c>
      <c r="F223" s="2" t="s">
        <v>872</v>
      </c>
      <c r="G223" s="2" t="s">
        <v>1108</v>
      </c>
      <c r="H223" s="2" t="s">
        <v>872</v>
      </c>
      <c r="I223" s="2" t="s">
        <v>1109</v>
      </c>
      <c r="J223" s="2" t="s">
        <v>872</v>
      </c>
      <c r="K223" s="2" t="s">
        <v>872</v>
      </c>
      <c r="L223" s="2" t="s">
        <v>873</v>
      </c>
      <c r="M223" s="2" t="s">
        <v>872</v>
      </c>
      <c r="N223" s="2" t="s">
        <v>872</v>
      </c>
    </row>
    <row r="224" spans="1:14" ht="13.5" thickBot="1" x14ac:dyDescent="0.25">
      <c r="A224" s="2" t="s">
        <v>478</v>
      </c>
      <c r="B224" s="72" t="s">
        <v>802</v>
      </c>
      <c r="C224" s="2" t="s">
        <v>32</v>
      </c>
      <c r="D224" s="4">
        <v>2</v>
      </c>
      <c r="E224" s="4">
        <v>6</v>
      </c>
      <c r="F224" s="135" t="s">
        <v>873</v>
      </c>
      <c r="G224" s="2" t="s">
        <v>16</v>
      </c>
      <c r="H224" s="135" t="s">
        <v>873</v>
      </c>
      <c r="I224" s="2" t="s">
        <v>16</v>
      </c>
      <c r="J224" s="2" t="s">
        <v>873</v>
      </c>
      <c r="K224" s="2" t="s">
        <v>873</v>
      </c>
      <c r="L224" s="2" t="s">
        <v>873</v>
      </c>
      <c r="M224" s="2" t="s">
        <v>872</v>
      </c>
      <c r="N224" s="2" t="s">
        <v>872</v>
      </c>
    </row>
    <row r="225" spans="1:14" ht="13.5" thickBot="1" x14ac:dyDescent="0.25">
      <c r="A225" s="2" t="s">
        <v>480</v>
      </c>
      <c r="B225" s="72" t="s">
        <v>816</v>
      </c>
      <c r="C225" s="2" t="s">
        <v>32</v>
      </c>
      <c r="D225" s="4">
        <v>4</v>
      </c>
      <c r="E225" s="4">
        <v>14</v>
      </c>
      <c r="F225" s="2" t="s">
        <v>872</v>
      </c>
      <c r="G225" s="2" t="s">
        <v>958</v>
      </c>
      <c r="H225" s="2" t="s">
        <v>872</v>
      </c>
      <c r="I225" s="2" t="s">
        <v>1119</v>
      </c>
      <c r="J225" s="2" t="s">
        <v>872</v>
      </c>
      <c r="K225" s="2" t="s">
        <v>872</v>
      </c>
      <c r="L225" s="2" t="s">
        <v>873</v>
      </c>
      <c r="M225" s="2" t="s">
        <v>872</v>
      </c>
      <c r="N225" s="2" t="s">
        <v>872</v>
      </c>
    </row>
    <row r="226" spans="1:14" ht="13.5" thickBot="1" x14ac:dyDescent="0.25">
      <c r="A226" s="2" t="s">
        <v>482</v>
      </c>
      <c r="B226" s="72" t="s">
        <v>818</v>
      </c>
      <c r="C226" s="2" t="s">
        <v>32</v>
      </c>
      <c r="D226" s="4">
        <v>10</v>
      </c>
      <c r="E226" s="4">
        <v>34</v>
      </c>
      <c r="F226" s="2" t="s">
        <v>872</v>
      </c>
      <c r="G226" s="2" t="s">
        <v>980</v>
      </c>
      <c r="H226" s="2" t="s">
        <v>872</v>
      </c>
      <c r="I226" s="2" t="s">
        <v>980</v>
      </c>
      <c r="J226" s="2" t="s">
        <v>872</v>
      </c>
      <c r="K226" s="2" t="s">
        <v>872</v>
      </c>
      <c r="L226" s="2" t="s">
        <v>873</v>
      </c>
      <c r="M226" s="2" t="s">
        <v>872</v>
      </c>
      <c r="N226" s="2" t="s">
        <v>872</v>
      </c>
    </row>
    <row r="227" spans="1:14" ht="13.5" thickBot="1" x14ac:dyDescent="0.25">
      <c r="A227" s="2" t="s">
        <v>484</v>
      </c>
      <c r="B227" s="72" t="s">
        <v>822</v>
      </c>
      <c r="C227" s="2" t="s">
        <v>32</v>
      </c>
      <c r="D227" s="4">
        <v>7</v>
      </c>
      <c r="E227" s="4">
        <v>12</v>
      </c>
      <c r="F227" s="2" t="s">
        <v>872</v>
      </c>
      <c r="G227" s="2" t="s">
        <v>1120</v>
      </c>
      <c r="H227" s="2" t="s">
        <v>872</v>
      </c>
      <c r="I227" s="2" t="s">
        <v>1120</v>
      </c>
      <c r="J227" s="2" t="s">
        <v>872</v>
      </c>
      <c r="K227" s="2" t="s">
        <v>872</v>
      </c>
      <c r="L227" s="2" t="s">
        <v>873</v>
      </c>
      <c r="M227" s="2" t="s">
        <v>872</v>
      </c>
      <c r="N227" s="2" t="s">
        <v>872</v>
      </c>
    </row>
    <row r="228" spans="1:14" ht="13.5" thickBot="1" x14ac:dyDescent="0.25">
      <c r="A228" s="2" t="s">
        <v>488</v>
      </c>
      <c r="B228" s="72" t="s">
        <v>824</v>
      </c>
      <c r="C228" s="2" t="s">
        <v>32</v>
      </c>
      <c r="D228" s="4">
        <v>13</v>
      </c>
      <c r="E228" s="4">
        <v>24</v>
      </c>
      <c r="F228" s="2" t="s">
        <v>872</v>
      </c>
      <c r="G228" s="2" t="s">
        <v>1008</v>
      </c>
      <c r="H228" s="2" t="s">
        <v>872</v>
      </c>
      <c r="I228" s="2" t="s">
        <v>1008</v>
      </c>
      <c r="J228" s="2" t="s">
        <v>872</v>
      </c>
      <c r="K228" s="2" t="s">
        <v>872</v>
      </c>
      <c r="L228" s="2" t="s">
        <v>873</v>
      </c>
      <c r="M228" s="2" t="s">
        <v>872</v>
      </c>
      <c r="N228" s="2" t="s">
        <v>872</v>
      </c>
    </row>
    <row r="229" spans="1:14" ht="13.5" thickBot="1" x14ac:dyDescent="0.25">
      <c r="A229" s="2" t="s">
        <v>490</v>
      </c>
      <c r="B229" s="72" t="s">
        <v>830</v>
      </c>
      <c r="C229" s="2" t="s">
        <v>32</v>
      </c>
      <c r="D229" s="4">
        <v>5</v>
      </c>
      <c r="E229" s="4">
        <v>11</v>
      </c>
      <c r="F229" s="2" t="s">
        <v>872</v>
      </c>
      <c r="G229" s="2" t="s">
        <v>933</v>
      </c>
      <c r="H229" s="2" t="s">
        <v>872</v>
      </c>
      <c r="I229" s="2" t="s">
        <v>933</v>
      </c>
      <c r="J229" s="2" t="s">
        <v>872</v>
      </c>
      <c r="K229" s="2" t="s">
        <v>872</v>
      </c>
      <c r="L229" s="2" t="s">
        <v>873</v>
      </c>
      <c r="M229" s="2" t="s">
        <v>873</v>
      </c>
      <c r="N229" s="2" t="s">
        <v>872</v>
      </c>
    </row>
    <row r="230" spans="1:14" ht="13.5" thickBot="1" x14ac:dyDescent="0.25">
      <c r="A230" s="2" t="s">
        <v>492</v>
      </c>
      <c r="B230" s="72" t="s">
        <v>25</v>
      </c>
      <c r="C230" s="2" t="s">
        <v>29</v>
      </c>
      <c r="D230" s="4">
        <v>15</v>
      </c>
      <c r="E230" s="4">
        <v>37</v>
      </c>
      <c r="F230" s="2" t="s">
        <v>872</v>
      </c>
      <c r="G230" s="2" t="s">
        <v>915</v>
      </c>
      <c r="H230" s="2" t="s">
        <v>872</v>
      </c>
      <c r="I230" s="2" t="s">
        <v>915</v>
      </c>
      <c r="J230" s="2" t="s">
        <v>872</v>
      </c>
      <c r="K230" s="2" t="s">
        <v>872</v>
      </c>
      <c r="L230" s="2" t="s">
        <v>873</v>
      </c>
      <c r="M230" s="2" t="s">
        <v>873</v>
      </c>
      <c r="N230" s="2" t="s">
        <v>872</v>
      </c>
    </row>
    <row r="231" spans="1:14" ht="13.5" thickBot="1" x14ac:dyDescent="0.25">
      <c r="A231" s="2" t="s">
        <v>494</v>
      </c>
      <c r="B231" s="72" t="s">
        <v>41</v>
      </c>
      <c r="C231" s="2" t="s">
        <v>29</v>
      </c>
      <c r="D231" s="4">
        <v>10</v>
      </c>
      <c r="E231" s="4">
        <v>22</v>
      </c>
      <c r="F231" s="2" t="s">
        <v>872</v>
      </c>
      <c r="G231" s="2" t="s">
        <v>922</v>
      </c>
      <c r="H231" s="2" t="s">
        <v>872</v>
      </c>
      <c r="I231" s="2" t="s">
        <v>922</v>
      </c>
      <c r="J231" s="2" t="s">
        <v>872</v>
      </c>
      <c r="K231" s="2" t="s">
        <v>872</v>
      </c>
      <c r="L231" s="2" t="s">
        <v>873</v>
      </c>
      <c r="M231" s="2" t="s">
        <v>873</v>
      </c>
      <c r="N231" s="2" t="s">
        <v>872</v>
      </c>
    </row>
    <row r="232" spans="1:14" ht="13.5" thickBot="1" x14ac:dyDescent="0.25">
      <c r="A232" s="2" t="s">
        <v>496</v>
      </c>
      <c r="B232" s="72" t="s">
        <v>69</v>
      </c>
      <c r="C232" s="2" t="s">
        <v>29</v>
      </c>
      <c r="D232" s="4">
        <v>19</v>
      </c>
      <c r="E232" s="4">
        <v>35</v>
      </c>
      <c r="F232" s="2" t="s">
        <v>872</v>
      </c>
      <c r="G232" s="2" t="s">
        <v>935</v>
      </c>
      <c r="H232" s="2" t="s">
        <v>872</v>
      </c>
      <c r="I232" s="2" t="s">
        <v>936</v>
      </c>
      <c r="J232" s="2" t="s">
        <v>872</v>
      </c>
      <c r="K232" s="2" t="s">
        <v>872</v>
      </c>
      <c r="L232" s="2" t="s">
        <v>872</v>
      </c>
      <c r="M232" s="2" t="s">
        <v>872</v>
      </c>
      <c r="N232" s="2" t="s">
        <v>872</v>
      </c>
    </row>
    <row r="233" spans="1:14" ht="13.5" thickBot="1" x14ac:dyDescent="0.25">
      <c r="A233" s="2" t="s">
        <v>498</v>
      </c>
      <c r="B233" s="72" t="s">
        <v>75</v>
      </c>
      <c r="C233" s="2" t="s">
        <v>29</v>
      </c>
      <c r="D233" s="4">
        <v>15</v>
      </c>
      <c r="E233" s="4">
        <v>25</v>
      </c>
      <c r="F233" s="2" t="s">
        <v>872</v>
      </c>
      <c r="G233" s="2" t="s">
        <v>938</v>
      </c>
      <c r="H233" s="2" t="s">
        <v>872</v>
      </c>
      <c r="I233" s="2" t="s">
        <v>938</v>
      </c>
      <c r="J233" s="2" t="s">
        <v>872</v>
      </c>
      <c r="K233" s="2" t="s">
        <v>872</v>
      </c>
      <c r="L233" s="2" t="s">
        <v>872</v>
      </c>
      <c r="M233" s="2" t="s">
        <v>872</v>
      </c>
      <c r="N233" s="2" t="s">
        <v>872</v>
      </c>
    </row>
    <row r="234" spans="1:14" ht="13.5" thickBot="1" x14ac:dyDescent="0.25">
      <c r="A234" s="2" t="s">
        <v>500</v>
      </c>
      <c r="B234" s="72" t="s">
        <v>95</v>
      </c>
      <c r="C234" s="2" t="s">
        <v>29</v>
      </c>
      <c r="D234" s="4">
        <v>14</v>
      </c>
      <c r="E234" s="4">
        <v>29</v>
      </c>
      <c r="F234" s="2" t="s">
        <v>872</v>
      </c>
      <c r="G234" s="2" t="s">
        <v>948</v>
      </c>
      <c r="H234" s="2" t="s">
        <v>872</v>
      </c>
      <c r="I234" s="2" t="s">
        <v>948</v>
      </c>
      <c r="J234" s="2" t="s">
        <v>873</v>
      </c>
      <c r="K234" s="2" t="s">
        <v>872</v>
      </c>
      <c r="L234" s="2" t="s">
        <v>873</v>
      </c>
      <c r="M234" s="2" t="s">
        <v>873</v>
      </c>
      <c r="N234" s="2" t="s">
        <v>872</v>
      </c>
    </row>
    <row r="235" spans="1:14" ht="13.5" thickBot="1" x14ac:dyDescent="0.25">
      <c r="A235" s="2" t="s">
        <v>502</v>
      </c>
      <c r="B235" s="72" t="s">
        <v>101</v>
      </c>
      <c r="C235" s="2" t="s">
        <v>29</v>
      </c>
      <c r="D235" s="4">
        <v>12</v>
      </c>
      <c r="E235" s="4">
        <v>22</v>
      </c>
      <c r="F235" s="2" t="s">
        <v>872</v>
      </c>
      <c r="G235" s="2" t="s">
        <v>950</v>
      </c>
      <c r="H235" s="2" t="s">
        <v>872</v>
      </c>
      <c r="I235" s="2" t="s">
        <v>950</v>
      </c>
      <c r="J235" s="2" t="s">
        <v>872</v>
      </c>
      <c r="K235" s="2" t="s">
        <v>872</v>
      </c>
      <c r="L235" s="2" t="s">
        <v>873</v>
      </c>
      <c r="M235" s="2" t="s">
        <v>872</v>
      </c>
      <c r="N235" s="2" t="s">
        <v>872</v>
      </c>
    </row>
    <row r="236" spans="1:14" ht="13.5" thickBot="1" x14ac:dyDescent="0.25">
      <c r="A236" s="2" t="s">
        <v>504</v>
      </c>
      <c r="B236" s="72" t="s">
        <v>109</v>
      </c>
      <c r="C236" s="2" t="s">
        <v>29</v>
      </c>
      <c r="D236" s="4">
        <v>10</v>
      </c>
      <c r="E236" s="4">
        <v>23</v>
      </c>
      <c r="F236" s="2" t="s">
        <v>872</v>
      </c>
      <c r="G236" s="2" t="s">
        <v>952</v>
      </c>
      <c r="H236" s="2" t="s">
        <v>872</v>
      </c>
      <c r="I236" s="2" t="s">
        <v>952</v>
      </c>
      <c r="J236" s="2" t="s">
        <v>873</v>
      </c>
      <c r="K236" s="2" t="s">
        <v>872</v>
      </c>
      <c r="L236" s="2" t="s">
        <v>873</v>
      </c>
      <c r="M236" s="2" t="s">
        <v>872</v>
      </c>
      <c r="N236" s="2" t="s">
        <v>872</v>
      </c>
    </row>
    <row r="237" spans="1:14" ht="13.5" thickBot="1" x14ac:dyDescent="0.25">
      <c r="A237" s="2" t="s">
        <v>506</v>
      </c>
      <c r="B237" s="72" t="s">
        <v>121</v>
      </c>
      <c r="C237" s="2" t="s">
        <v>29</v>
      </c>
      <c r="D237" s="4">
        <v>20</v>
      </c>
      <c r="E237" s="4">
        <v>31</v>
      </c>
      <c r="F237" s="2" t="s">
        <v>872</v>
      </c>
      <c r="G237" s="2" t="s">
        <v>957</v>
      </c>
      <c r="H237" s="2" t="s">
        <v>872</v>
      </c>
      <c r="I237" s="2" t="s">
        <v>957</v>
      </c>
      <c r="J237" s="2" t="s">
        <v>872</v>
      </c>
      <c r="K237" s="2" t="s">
        <v>872</v>
      </c>
      <c r="L237" s="2" t="s">
        <v>873</v>
      </c>
      <c r="M237" s="2" t="s">
        <v>873</v>
      </c>
      <c r="N237" s="2" t="s">
        <v>872</v>
      </c>
    </row>
    <row r="238" spans="1:14" ht="13.5" thickBot="1" x14ac:dyDescent="0.25">
      <c r="A238" s="2" t="s">
        <v>508</v>
      </c>
      <c r="B238" s="72" t="s">
        <v>123</v>
      </c>
      <c r="C238" s="2" t="s">
        <v>29</v>
      </c>
      <c r="D238" s="4">
        <v>5</v>
      </c>
      <c r="E238" s="4">
        <v>30</v>
      </c>
      <c r="F238" s="2" t="s">
        <v>872</v>
      </c>
      <c r="G238" s="2" t="s">
        <v>958</v>
      </c>
      <c r="H238" s="2" t="s">
        <v>872</v>
      </c>
      <c r="I238" s="2" t="s">
        <v>959</v>
      </c>
      <c r="J238" s="2" t="s">
        <v>872</v>
      </c>
      <c r="K238" s="2" t="s">
        <v>872</v>
      </c>
      <c r="L238" s="2" t="s">
        <v>873</v>
      </c>
      <c r="M238" s="2" t="s">
        <v>872</v>
      </c>
      <c r="N238" s="2" t="s">
        <v>872</v>
      </c>
    </row>
    <row r="239" spans="1:14" ht="13.5" thickBot="1" x14ac:dyDescent="0.25">
      <c r="A239" s="2" t="s">
        <v>510</v>
      </c>
      <c r="B239" s="72" t="s">
        <v>127</v>
      </c>
      <c r="C239" s="2" t="s">
        <v>29</v>
      </c>
      <c r="D239" s="4">
        <v>9</v>
      </c>
      <c r="E239" s="4">
        <v>12</v>
      </c>
      <c r="F239" s="2" t="s">
        <v>872</v>
      </c>
      <c r="G239" s="2" t="s">
        <v>960</v>
      </c>
      <c r="H239" s="2" t="s">
        <v>872</v>
      </c>
      <c r="I239" s="2" t="s">
        <v>960</v>
      </c>
      <c r="J239" s="2" t="s">
        <v>872</v>
      </c>
      <c r="K239" s="2" t="s">
        <v>872</v>
      </c>
      <c r="L239" s="2" t="s">
        <v>873</v>
      </c>
      <c r="M239" s="2" t="s">
        <v>873</v>
      </c>
      <c r="N239" s="2" t="s">
        <v>872</v>
      </c>
    </row>
    <row r="240" spans="1:14" ht="13.5" thickBot="1" x14ac:dyDescent="0.25">
      <c r="A240" s="2" t="s">
        <v>512</v>
      </c>
      <c r="B240" s="72" t="s">
        <v>165</v>
      </c>
      <c r="C240" s="2" t="s">
        <v>29</v>
      </c>
      <c r="D240" s="4">
        <v>9</v>
      </c>
      <c r="E240" s="4">
        <v>20</v>
      </c>
      <c r="F240" s="2" t="s">
        <v>872</v>
      </c>
      <c r="G240" s="2" t="s">
        <v>939</v>
      </c>
      <c r="H240" s="2" t="s">
        <v>872</v>
      </c>
      <c r="I240" s="2" t="s">
        <v>939</v>
      </c>
      <c r="J240" s="2" t="s">
        <v>872</v>
      </c>
      <c r="K240" s="2" t="s">
        <v>872</v>
      </c>
      <c r="L240" s="2" t="s">
        <v>873</v>
      </c>
      <c r="M240" s="2" t="s">
        <v>873</v>
      </c>
      <c r="N240" s="2" t="s">
        <v>872</v>
      </c>
    </row>
    <row r="241" spans="1:14" ht="13.5" thickBot="1" x14ac:dyDescent="0.25">
      <c r="A241" s="2" t="s">
        <v>514</v>
      </c>
      <c r="B241" s="72" t="s">
        <v>169</v>
      </c>
      <c r="C241" s="2" t="s">
        <v>29</v>
      </c>
      <c r="D241" s="4">
        <v>16</v>
      </c>
      <c r="E241" s="4">
        <v>20</v>
      </c>
      <c r="F241" s="2" t="s">
        <v>872</v>
      </c>
      <c r="G241" s="2" t="s">
        <v>939</v>
      </c>
      <c r="H241" s="2" t="s">
        <v>872</v>
      </c>
      <c r="I241" s="2" t="s">
        <v>939</v>
      </c>
      <c r="J241" s="2" t="s">
        <v>872</v>
      </c>
      <c r="K241" s="2" t="s">
        <v>872</v>
      </c>
      <c r="L241" s="2" t="s">
        <v>873</v>
      </c>
      <c r="M241" s="2" t="s">
        <v>873</v>
      </c>
      <c r="N241" s="2" t="s">
        <v>872</v>
      </c>
    </row>
    <row r="242" spans="1:14" ht="13.5" thickBot="1" x14ac:dyDescent="0.25">
      <c r="A242" s="2" t="s">
        <v>516</v>
      </c>
      <c r="B242" s="72" t="s">
        <v>173</v>
      </c>
      <c r="C242" s="2" t="s">
        <v>29</v>
      </c>
      <c r="D242" s="4">
        <v>12</v>
      </c>
      <c r="E242" s="4">
        <v>21</v>
      </c>
      <c r="F242" s="2" t="s">
        <v>872</v>
      </c>
      <c r="G242" s="2" t="s">
        <v>940</v>
      </c>
      <c r="H242" s="2" t="s">
        <v>872</v>
      </c>
      <c r="I242" s="2" t="s">
        <v>940</v>
      </c>
      <c r="J242" s="2" t="s">
        <v>872</v>
      </c>
      <c r="K242" s="2" t="s">
        <v>872</v>
      </c>
      <c r="L242" s="2" t="s">
        <v>872</v>
      </c>
      <c r="M242" s="2" t="s">
        <v>872</v>
      </c>
      <c r="N242" s="2" t="s">
        <v>872</v>
      </c>
    </row>
    <row r="243" spans="1:14" ht="13.5" thickBot="1" x14ac:dyDescent="0.25">
      <c r="A243" s="2" t="s">
        <v>518</v>
      </c>
      <c r="B243" s="72" t="s">
        <v>175</v>
      </c>
      <c r="C243" s="2" t="s">
        <v>29</v>
      </c>
      <c r="D243" s="4">
        <v>27</v>
      </c>
      <c r="E243" s="4">
        <v>56</v>
      </c>
      <c r="F243" s="2" t="s">
        <v>872</v>
      </c>
      <c r="G243" s="2" t="s">
        <v>958</v>
      </c>
      <c r="H243" s="2" t="s">
        <v>872</v>
      </c>
      <c r="I243" s="2" t="s">
        <v>958</v>
      </c>
      <c r="J243" s="2" t="s">
        <v>872</v>
      </c>
      <c r="K243" s="2" t="s">
        <v>872</v>
      </c>
      <c r="L243" s="2" t="s">
        <v>872</v>
      </c>
      <c r="M243" s="2" t="s">
        <v>872</v>
      </c>
      <c r="N243" s="2" t="s">
        <v>872</v>
      </c>
    </row>
    <row r="244" spans="1:14" ht="13.5" thickBot="1" x14ac:dyDescent="0.25">
      <c r="A244" s="2" t="s">
        <v>520</v>
      </c>
      <c r="B244" s="72" t="s">
        <v>189</v>
      </c>
      <c r="C244" s="2" t="s">
        <v>29</v>
      </c>
      <c r="D244" s="4">
        <v>6</v>
      </c>
      <c r="E244" s="4">
        <v>17</v>
      </c>
      <c r="F244" s="2" t="s">
        <v>872</v>
      </c>
      <c r="G244" s="2" t="s">
        <v>975</v>
      </c>
      <c r="H244" s="2" t="s">
        <v>872</v>
      </c>
      <c r="I244" s="2" t="s">
        <v>975</v>
      </c>
      <c r="J244" s="2" t="s">
        <v>872</v>
      </c>
      <c r="K244" s="2" t="s">
        <v>872</v>
      </c>
      <c r="L244" s="2" t="s">
        <v>873</v>
      </c>
      <c r="M244" s="2" t="s">
        <v>873</v>
      </c>
      <c r="N244" s="2" t="s">
        <v>872</v>
      </c>
    </row>
    <row r="245" spans="1:14" ht="13.5" thickBot="1" x14ac:dyDescent="0.25">
      <c r="A245" s="2" t="s">
        <v>522</v>
      </c>
      <c r="B245" s="72" t="s">
        <v>199</v>
      </c>
      <c r="C245" s="2" t="s">
        <v>29</v>
      </c>
      <c r="D245" s="4">
        <v>22</v>
      </c>
      <c r="E245" s="4">
        <v>15</v>
      </c>
      <c r="F245" s="2" t="s">
        <v>872</v>
      </c>
      <c r="G245" s="2" t="s">
        <v>925</v>
      </c>
      <c r="H245" s="2" t="s">
        <v>872</v>
      </c>
      <c r="I245" s="2" t="s">
        <v>925</v>
      </c>
      <c r="J245" s="2" t="s">
        <v>872</v>
      </c>
      <c r="K245" s="2" t="s">
        <v>872</v>
      </c>
      <c r="L245" s="2" t="s">
        <v>872</v>
      </c>
      <c r="M245" s="2" t="s">
        <v>873</v>
      </c>
      <c r="N245" s="2" t="s">
        <v>872</v>
      </c>
    </row>
    <row r="246" spans="1:14" ht="13.5" thickBot="1" x14ac:dyDescent="0.25">
      <c r="A246" s="2" t="s">
        <v>524</v>
      </c>
      <c r="B246" s="72" t="s">
        <v>205</v>
      </c>
      <c r="C246" s="2" t="s">
        <v>29</v>
      </c>
      <c r="D246" s="4">
        <v>13</v>
      </c>
      <c r="E246" s="4">
        <v>51</v>
      </c>
      <c r="F246" s="2" t="s">
        <v>872</v>
      </c>
      <c r="G246" s="2" t="s">
        <v>980</v>
      </c>
      <c r="H246" s="2" t="s">
        <v>872</v>
      </c>
      <c r="I246" s="2" t="s">
        <v>980</v>
      </c>
      <c r="J246" s="2" t="s">
        <v>872</v>
      </c>
      <c r="K246" s="2" t="s">
        <v>872</v>
      </c>
      <c r="L246" s="2" t="s">
        <v>873</v>
      </c>
      <c r="M246" s="2" t="s">
        <v>872</v>
      </c>
      <c r="N246" s="2" t="s">
        <v>872</v>
      </c>
    </row>
    <row r="247" spans="1:14" ht="13.5" thickBot="1" x14ac:dyDescent="0.25">
      <c r="A247" s="2" t="s">
        <v>526</v>
      </c>
      <c r="B247" s="72" t="s">
        <v>234</v>
      </c>
      <c r="C247" s="2" t="s">
        <v>29</v>
      </c>
      <c r="D247" s="4">
        <v>24</v>
      </c>
      <c r="E247" s="4">
        <v>21</v>
      </c>
      <c r="F247" s="2" t="s">
        <v>872</v>
      </c>
      <c r="G247" s="2" t="s">
        <v>988</v>
      </c>
      <c r="H247" s="2" t="s">
        <v>872</v>
      </c>
      <c r="I247" s="2" t="s">
        <v>988</v>
      </c>
      <c r="J247" s="2" t="s">
        <v>872</v>
      </c>
      <c r="K247" s="2" t="s">
        <v>872</v>
      </c>
      <c r="L247" s="2" t="s">
        <v>872</v>
      </c>
      <c r="M247" s="2" t="s">
        <v>873</v>
      </c>
      <c r="N247" s="2" t="s">
        <v>872</v>
      </c>
    </row>
    <row r="248" spans="1:14" ht="13.5" thickBot="1" x14ac:dyDescent="0.25">
      <c r="A248" s="2" t="s">
        <v>528</v>
      </c>
      <c r="B248" s="72" t="s">
        <v>236</v>
      </c>
      <c r="C248" s="2" t="s">
        <v>29</v>
      </c>
      <c r="D248" s="4">
        <v>18</v>
      </c>
      <c r="E248" s="4">
        <v>24</v>
      </c>
      <c r="F248" s="2" t="s">
        <v>872</v>
      </c>
      <c r="G248" s="2" t="s">
        <v>925</v>
      </c>
      <c r="H248" s="2" t="s">
        <v>872</v>
      </c>
      <c r="I248" s="2" t="s">
        <v>989</v>
      </c>
      <c r="J248" s="2" t="s">
        <v>872</v>
      </c>
      <c r="K248" s="2" t="s">
        <v>872</v>
      </c>
      <c r="L248" s="2" t="s">
        <v>873</v>
      </c>
      <c r="M248" s="2" t="s">
        <v>872</v>
      </c>
      <c r="N248" s="2" t="s">
        <v>872</v>
      </c>
    </row>
    <row r="249" spans="1:14" ht="13.5" thickBot="1" x14ac:dyDescent="0.25">
      <c r="A249" s="2" t="s">
        <v>530</v>
      </c>
      <c r="B249" s="72" t="s">
        <v>244</v>
      </c>
      <c r="C249" s="2" t="s">
        <v>29</v>
      </c>
      <c r="D249" s="4">
        <v>6</v>
      </c>
      <c r="E249" s="4">
        <v>18</v>
      </c>
      <c r="F249" s="2" t="s">
        <v>872</v>
      </c>
      <c r="G249" s="2" t="s">
        <v>991</v>
      </c>
      <c r="H249" s="2" t="s">
        <v>872</v>
      </c>
      <c r="I249" s="2" t="s">
        <v>991</v>
      </c>
      <c r="J249" s="2" t="s">
        <v>872</v>
      </c>
      <c r="K249" s="2" t="s">
        <v>872</v>
      </c>
      <c r="L249" s="2" t="s">
        <v>873</v>
      </c>
      <c r="M249" s="2" t="s">
        <v>873</v>
      </c>
      <c r="N249" s="2" t="s">
        <v>872</v>
      </c>
    </row>
    <row r="250" spans="1:14" ht="13.5" thickBot="1" x14ac:dyDescent="0.25">
      <c r="A250" s="2" t="s">
        <v>532</v>
      </c>
      <c r="B250" s="72" t="s">
        <v>254</v>
      </c>
      <c r="C250" s="2" t="s">
        <v>29</v>
      </c>
      <c r="D250" s="4">
        <v>6</v>
      </c>
      <c r="E250" s="4">
        <v>11</v>
      </c>
      <c r="F250" s="2" t="s">
        <v>872</v>
      </c>
      <c r="G250" s="2" t="s">
        <v>939</v>
      </c>
      <c r="H250" s="2" t="s">
        <v>872</v>
      </c>
      <c r="I250" s="2" t="s">
        <v>939</v>
      </c>
      <c r="J250" s="2" t="s">
        <v>872</v>
      </c>
      <c r="K250" s="2" t="s">
        <v>872</v>
      </c>
      <c r="L250" s="2" t="s">
        <v>873</v>
      </c>
      <c r="M250" s="2" t="s">
        <v>873</v>
      </c>
      <c r="N250" s="2" t="s">
        <v>872</v>
      </c>
    </row>
    <row r="251" spans="1:14" ht="13.5" thickBot="1" x14ac:dyDescent="0.25">
      <c r="A251" s="2" t="s">
        <v>534</v>
      </c>
      <c r="B251" s="72" t="s">
        <v>270</v>
      </c>
      <c r="C251" s="2" t="s">
        <v>29</v>
      </c>
      <c r="D251" s="4">
        <v>14</v>
      </c>
      <c r="E251" s="4">
        <v>32</v>
      </c>
      <c r="F251" s="2" t="s">
        <v>872</v>
      </c>
      <c r="G251" s="2" t="s">
        <v>918</v>
      </c>
      <c r="H251" s="2" t="s">
        <v>872</v>
      </c>
      <c r="I251" s="2" t="s">
        <v>918</v>
      </c>
      <c r="J251" s="2" t="s">
        <v>872</v>
      </c>
      <c r="K251" s="2" t="s">
        <v>872</v>
      </c>
      <c r="L251" s="2" t="s">
        <v>873</v>
      </c>
      <c r="M251" s="2" t="s">
        <v>872</v>
      </c>
      <c r="N251" s="2" t="s">
        <v>872</v>
      </c>
    </row>
    <row r="252" spans="1:14" ht="13.5" thickBot="1" x14ac:dyDescent="0.25">
      <c r="A252" s="2" t="s">
        <v>536</v>
      </c>
      <c r="B252" s="72" t="s">
        <v>278</v>
      </c>
      <c r="C252" s="2" t="s">
        <v>29</v>
      </c>
      <c r="D252" s="4">
        <v>6</v>
      </c>
      <c r="E252" s="4">
        <v>12</v>
      </c>
      <c r="F252" s="2" t="s">
        <v>872</v>
      </c>
      <c r="G252" s="2" t="s">
        <v>924</v>
      </c>
      <c r="H252" s="2" t="s">
        <v>872</v>
      </c>
      <c r="I252" s="2" t="s">
        <v>924</v>
      </c>
      <c r="J252" s="2" t="s">
        <v>872</v>
      </c>
      <c r="K252" s="2" t="s">
        <v>872</v>
      </c>
      <c r="L252" s="2" t="s">
        <v>873</v>
      </c>
      <c r="M252" s="2" t="s">
        <v>872</v>
      </c>
      <c r="N252" s="2" t="s">
        <v>872</v>
      </c>
    </row>
    <row r="253" spans="1:14" ht="13.5" thickBot="1" x14ac:dyDescent="0.25">
      <c r="A253" s="2" t="s">
        <v>538</v>
      </c>
      <c r="B253" s="72" t="s">
        <v>280</v>
      </c>
      <c r="C253" s="2" t="s">
        <v>29</v>
      </c>
      <c r="D253" s="4">
        <v>17</v>
      </c>
      <c r="E253" s="4">
        <v>40</v>
      </c>
      <c r="F253" s="2" t="s">
        <v>872</v>
      </c>
      <c r="G253" s="2" t="s">
        <v>983</v>
      </c>
      <c r="H253" s="2" t="s">
        <v>872</v>
      </c>
      <c r="I253" s="2" t="s">
        <v>983</v>
      </c>
      <c r="J253" s="2" t="s">
        <v>872</v>
      </c>
      <c r="K253" s="2" t="s">
        <v>872</v>
      </c>
      <c r="L253" s="2" t="s">
        <v>872</v>
      </c>
      <c r="M253" s="2" t="s">
        <v>872</v>
      </c>
      <c r="N253" s="2" t="s">
        <v>872</v>
      </c>
    </row>
    <row r="254" spans="1:14" ht="13.5" thickBot="1" x14ac:dyDescent="0.25">
      <c r="A254" s="2" t="s">
        <v>540</v>
      </c>
      <c r="B254" s="72" t="s">
        <v>284</v>
      </c>
      <c r="C254" s="2" t="s">
        <v>29</v>
      </c>
      <c r="D254" s="4">
        <v>13</v>
      </c>
      <c r="E254" s="4">
        <v>26</v>
      </c>
      <c r="F254" s="2" t="s">
        <v>872</v>
      </c>
      <c r="G254" s="2" t="s">
        <v>1000</v>
      </c>
      <c r="H254" s="2" t="s">
        <v>872</v>
      </c>
      <c r="I254" s="2" t="s">
        <v>1001</v>
      </c>
      <c r="J254" s="2" t="s">
        <v>872</v>
      </c>
      <c r="K254" s="2" t="s">
        <v>872</v>
      </c>
      <c r="L254" s="2" t="s">
        <v>872</v>
      </c>
      <c r="M254" s="2" t="s">
        <v>872</v>
      </c>
      <c r="N254" s="2" t="s">
        <v>872</v>
      </c>
    </row>
    <row r="255" spans="1:14" ht="13.5" thickBot="1" x14ac:dyDescent="0.25">
      <c r="A255" s="2" t="s">
        <v>542</v>
      </c>
      <c r="B255" s="72" t="s">
        <v>286</v>
      </c>
      <c r="C255" s="2" t="s">
        <v>29</v>
      </c>
      <c r="D255" s="4">
        <v>8</v>
      </c>
      <c r="E255" s="4">
        <v>15</v>
      </c>
      <c r="F255" s="2" t="s">
        <v>872</v>
      </c>
      <c r="G255" s="2" t="s">
        <v>1002</v>
      </c>
      <c r="H255" s="2" t="s">
        <v>872</v>
      </c>
      <c r="I255" s="2" t="s">
        <v>1003</v>
      </c>
      <c r="J255" s="2" t="s">
        <v>872</v>
      </c>
      <c r="K255" s="2" t="s">
        <v>872</v>
      </c>
      <c r="L255" s="2" t="s">
        <v>873</v>
      </c>
      <c r="M255" s="2" t="s">
        <v>872</v>
      </c>
      <c r="N255" s="2" t="s">
        <v>872</v>
      </c>
    </row>
    <row r="256" spans="1:14" ht="13.5" thickBot="1" x14ac:dyDescent="0.25">
      <c r="A256" s="2" t="s">
        <v>544</v>
      </c>
      <c r="B256" s="72" t="s">
        <v>294</v>
      </c>
      <c r="C256" s="2" t="s">
        <v>29</v>
      </c>
      <c r="D256" s="4">
        <v>10</v>
      </c>
      <c r="E256" s="4">
        <v>14</v>
      </c>
      <c r="F256" s="2" t="s">
        <v>872</v>
      </c>
      <c r="G256" s="2" t="s">
        <v>1004</v>
      </c>
      <c r="H256" s="2" t="s">
        <v>872</v>
      </c>
      <c r="I256" s="2" t="s">
        <v>1004</v>
      </c>
      <c r="J256" s="2" t="s">
        <v>872</v>
      </c>
      <c r="K256" s="2" t="s">
        <v>872</v>
      </c>
      <c r="L256" s="2" t="s">
        <v>873</v>
      </c>
      <c r="M256" s="2" t="s">
        <v>872</v>
      </c>
      <c r="N256" s="2" t="s">
        <v>872</v>
      </c>
    </row>
    <row r="257" spans="1:14" ht="13.5" thickBot="1" x14ac:dyDescent="0.25">
      <c r="A257" s="2" t="s">
        <v>546</v>
      </c>
      <c r="B257" s="72" t="s">
        <v>300</v>
      </c>
      <c r="C257" s="2" t="s">
        <v>29</v>
      </c>
      <c r="D257" s="4">
        <v>10</v>
      </c>
      <c r="E257" s="4">
        <v>10</v>
      </c>
      <c r="F257" s="2" t="s">
        <v>872</v>
      </c>
      <c r="G257" s="2" t="s">
        <v>932</v>
      </c>
      <c r="H257" s="2" t="s">
        <v>872</v>
      </c>
      <c r="I257" s="2" t="s">
        <v>932</v>
      </c>
      <c r="J257" s="2" t="s">
        <v>872</v>
      </c>
      <c r="K257" s="2" t="s">
        <v>872</v>
      </c>
      <c r="L257" s="2" t="s">
        <v>873</v>
      </c>
      <c r="M257" s="2" t="s">
        <v>872</v>
      </c>
      <c r="N257" s="2" t="s">
        <v>872</v>
      </c>
    </row>
    <row r="258" spans="1:14" ht="13.5" thickBot="1" x14ac:dyDescent="0.25">
      <c r="A258" s="2" t="s">
        <v>548</v>
      </c>
      <c r="B258" s="72" t="s">
        <v>304</v>
      </c>
      <c r="C258" s="2" t="s">
        <v>29</v>
      </c>
      <c r="D258" s="4">
        <v>19</v>
      </c>
      <c r="E258" s="4">
        <v>38</v>
      </c>
      <c r="F258" s="2" t="s">
        <v>872</v>
      </c>
      <c r="G258" s="2" t="s">
        <v>1008</v>
      </c>
      <c r="H258" s="2" t="s">
        <v>872</v>
      </c>
      <c r="I258" s="2" t="s">
        <v>1008</v>
      </c>
      <c r="J258" s="2" t="s">
        <v>872</v>
      </c>
      <c r="K258" s="2" t="s">
        <v>872</v>
      </c>
      <c r="L258" s="2" t="s">
        <v>873</v>
      </c>
      <c r="M258" s="2" t="s">
        <v>872</v>
      </c>
      <c r="N258" s="2" t="s">
        <v>872</v>
      </c>
    </row>
    <row r="259" spans="1:14" ht="13.5" thickBot="1" x14ac:dyDescent="0.25">
      <c r="A259" s="2" t="s">
        <v>550</v>
      </c>
      <c r="B259" s="72" t="s">
        <v>306</v>
      </c>
      <c r="C259" s="2" t="s">
        <v>29</v>
      </c>
      <c r="D259" s="4">
        <v>3</v>
      </c>
      <c r="E259" s="4">
        <v>2</v>
      </c>
      <c r="F259" s="2" t="s">
        <v>872</v>
      </c>
      <c r="G259" s="2" t="s">
        <v>1009</v>
      </c>
      <c r="H259" s="2" t="s">
        <v>872</v>
      </c>
      <c r="I259" s="2" t="s">
        <v>1009</v>
      </c>
      <c r="J259" s="2" t="s">
        <v>872</v>
      </c>
      <c r="K259" s="2" t="s">
        <v>872</v>
      </c>
      <c r="L259" s="2" t="s">
        <v>873</v>
      </c>
      <c r="M259" s="2" t="s">
        <v>872</v>
      </c>
      <c r="N259" s="2" t="s">
        <v>872</v>
      </c>
    </row>
    <row r="260" spans="1:14" ht="13.5" thickBot="1" x14ac:dyDescent="0.25">
      <c r="A260" s="2" t="s">
        <v>552</v>
      </c>
      <c r="B260" s="72" t="s">
        <v>324</v>
      </c>
      <c r="C260" s="2" t="s">
        <v>29</v>
      </c>
      <c r="D260" s="4">
        <v>12</v>
      </c>
      <c r="E260" s="4">
        <v>45</v>
      </c>
      <c r="F260" s="2" t="s">
        <v>872</v>
      </c>
      <c r="G260" s="2" t="s">
        <v>940</v>
      </c>
      <c r="H260" s="2" t="s">
        <v>872</v>
      </c>
      <c r="I260" s="2" t="s">
        <v>940</v>
      </c>
      <c r="J260" s="2" t="s">
        <v>872</v>
      </c>
      <c r="K260" s="2" t="s">
        <v>872</v>
      </c>
      <c r="L260" s="2" t="s">
        <v>873</v>
      </c>
      <c r="M260" s="2" t="s">
        <v>872</v>
      </c>
      <c r="N260" s="2" t="s">
        <v>872</v>
      </c>
    </row>
    <row r="261" spans="1:14" ht="13.5" thickBot="1" x14ac:dyDescent="0.25">
      <c r="A261" s="2" t="s">
        <v>554</v>
      </c>
      <c r="B261" s="72" t="s">
        <v>332</v>
      </c>
      <c r="C261" s="2" t="s">
        <v>29</v>
      </c>
      <c r="D261" s="4">
        <v>17</v>
      </c>
      <c r="E261" s="4">
        <v>24</v>
      </c>
      <c r="F261" s="2" t="s">
        <v>872</v>
      </c>
      <c r="G261" s="2" t="s">
        <v>1016</v>
      </c>
      <c r="H261" s="2" t="s">
        <v>872</v>
      </c>
      <c r="I261" s="2" t="s">
        <v>938</v>
      </c>
      <c r="J261" s="2" t="s">
        <v>872</v>
      </c>
      <c r="K261" s="2" t="s">
        <v>872</v>
      </c>
      <c r="L261" s="2" t="s">
        <v>873</v>
      </c>
      <c r="M261" s="2" t="s">
        <v>873</v>
      </c>
      <c r="N261" s="2" t="s">
        <v>872</v>
      </c>
    </row>
    <row r="262" spans="1:14" ht="13.5" thickBot="1" x14ac:dyDescent="0.25">
      <c r="A262" s="2" t="s">
        <v>556</v>
      </c>
      <c r="B262" s="72" t="s">
        <v>342</v>
      </c>
      <c r="C262" s="2" t="s">
        <v>29</v>
      </c>
      <c r="D262" s="4">
        <v>10</v>
      </c>
      <c r="E262" s="4">
        <v>16</v>
      </c>
      <c r="F262" s="2" t="s">
        <v>872</v>
      </c>
      <c r="G262" s="2" t="s">
        <v>1020</v>
      </c>
      <c r="H262" s="2" t="s">
        <v>872</v>
      </c>
      <c r="I262" s="2" t="s">
        <v>1020</v>
      </c>
      <c r="J262" s="2" t="s">
        <v>872</v>
      </c>
      <c r="K262" s="2" t="s">
        <v>872</v>
      </c>
      <c r="L262" s="2" t="s">
        <v>873</v>
      </c>
      <c r="M262" s="2" t="s">
        <v>873</v>
      </c>
      <c r="N262" s="2" t="s">
        <v>872</v>
      </c>
    </row>
    <row r="263" spans="1:14" ht="13.5" thickBot="1" x14ac:dyDescent="0.25">
      <c r="A263" s="2" t="s">
        <v>558</v>
      </c>
      <c r="B263" s="72" t="s">
        <v>344</v>
      </c>
      <c r="C263" s="2" t="s">
        <v>29</v>
      </c>
      <c r="D263" s="4">
        <v>10</v>
      </c>
      <c r="E263" s="4">
        <v>36</v>
      </c>
      <c r="F263" s="2" t="s">
        <v>872</v>
      </c>
      <c r="G263" s="2" t="s">
        <v>1021</v>
      </c>
      <c r="H263" s="2" t="s">
        <v>872</v>
      </c>
      <c r="I263" s="2" t="s">
        <v>1021</v>
      </c>
      <c r="J263" s="2" t="s">
        <v>872</v>
      </c>
      <c r="K263" s="2" t="s">
        <v>872</v>
      </c>
      <c r="L263" s="2" t="s">
        <v>873</v>
      </c>
      <c r="M263" s="2" t="s">
        <v>872</v>
      </c>
      <c r="N263" s="2" t="s">
        <v>872</v>
      </c>
    </row>
    <row r="264" spans="1:14" ht="13.5" thickBot="1" x14ac:dyDescent="0.25">
      <c r="A264" s="2" t="s">
        <v>560</v>
      </c>
      <c r="B264" s="72" t="s">
        <v>350</v>
      </c>
      <c r="C264" s="2" t="s">
        <v>29</v>
      </c>
      <c r="D264" s="4">
        <v>13</v>
      </c>
      <c r="E264" s="4">
        <v>30</v>
      </c>
      <c r="F264" s="2" t="s">
        <v>872</v>
      </c>
      <c r="G264" s="2" t="s">
        <v>927</v>
      </c>
      <c r="H264" s="2" t="s">
        <v>872</v>
      </c>
      <c r="I264" s="2" t="s">
        <v>936</v>
      </c>
      <c r="J264" s="2" t="s">
        <v>872</v>
      </c>
      <c r="K264" s="2" t="s">
        <v>872</v>
      </c>
      <c r="L264" s="2" t="s">
        <v>873</v>
      </c>
      <c r="M264" s="2" t="s">
        <v>872</v>
      </c>
      <c r="N264" s="2" t="s">
        <v>872</v>
      </c>
    </row>
    <row r="265" spans="1:14" ht="13.5" thickBot="1" x14ac:dyDescent="0.25">
      <c r="A265" s="2" t="s">
        <v>562</v>
      </c>
      <c r="B265" s="72" t="s">
        <v>352</v>
      </c>
      <c r="C265" s="2" t="s">
        <v>29</v>
      </c>
      <c r="D265" s="4">
        <v>8</v>
      </c>
      <c r="E265" s="4">
        <v>25</v>
      </c>
      <c r="F265" s="2" t="s">
        <v>872</v>
      </c>
      <c r="G265" s="2" t="s">
        <v>1023</v>
      </c>
      <c r="H265" s="2" t="s">
        <v>872</v>
      </c>
      <c r="I265" s="2" t="s">
        <v>1023</v>
      </c>
      <c r="J265" s="2" t="s">
        <v>872</v>
      </c>
      <c r="K265" s="2" t="s">
        <v>872</v>
      </c>
      <c r="L265" s="2" t="s">
        <v>873</v>
      </c>
      <c r="M265" s="2" t="s">
        <v>872</v>
      </c>
      <c r="N265" s="2" t="s">
        <v>872</v>
      </c>
    </row>
    <row r="266" spans="1:14" ht="13.5" thickBot="1" x14ac:dyDescent="0.25">
      <c r="A266" s="2" t="s">
        <v>566</v>
      </c>
      <c r="B266" s="72" t="s">
        <v>354</v>
      </c>
      <c r="C266" s="2" t="s">
        <v>29</v>
      </c>
      <c r="D266" s="4">
        <v>5</v>
      </c>
      <c r="E266" s="4">
        <v>7</v>
      </c>
      <c r="F266" s="2" t="s">
        <v>872</v>
      </c>
      <c r="G266" s="2" t="s">
        <v>937</v>
      </c>
      <c r="H266" s="2" t="s">
        <v>872</v>
      </c>
      <c r="I266" s="2" t="s">
        <v>937</v>
      </c>
      <c r="J266" s="2" t="s">
        <v>872</v>
      </c>
      <c r="K266" s="2" t="s">
        <v>872</v>
      </c>
      <c r="L266" s="2" t="s">
        <v>873</v>
      </c>
      <c r="M266" s="2" t="s">
        <v>873</v>
      </c>
      <c r="N266" s="2" t="s">
        <v>872</v>
      </c>
    </row>
    <row r="267" spans="1:14" ht="13.5" thickBot="1" x14ac:dyDescent="0.25">
      <c r="A267" s="2" t="s">
        <v>568</v>
      </c>
      <c r="B267" s="72" t="s">
        <v>360</v>
      </c>
      <c r="C267" s="2" t="s">
        <v>29</v>
      </c>
      <c r="D267" s="4">
        <v>10</v>
      </c>
      <c r="E267" s="4">
        <v>20</v>
      </c>
      <c r="F267" s="2" t="s">
        <v>872</v>
      </c>
      <c r="G267" s="2" t="s">
        <v>973</v>
      </c>
      <c r="H267" s="2" t="s">
        <v>872</v>
      </c>
      <c r="I267" s="2" t="s">
        <v>973</v>
      </c>
      <c r="J267" s="2" t="s">
        <v>872</v>
      </c>
      <c r="K267" s="2" t="s">
        <v>872</v>
      </c>
      <c r="L267" s="2" t="s">
        <v>872</v>
      </c>
      <c r="M267" s="2" t="s">
        <v>872</v>
      </c>
      <c r="N267" s="2" t="s">
        <v>872</v>
      </c>
    </row>
    <row r="268" spans="1:14" ht="13.5" thickBot="1" x14ac:dyDescent="0.25">
      <c r="A268" s="2" t="s">
        <v>570</v>
      </c>
      <c r="B268" s="72" t="s">
        <v>362</v>
      </c>
      <c r="C268" s="2" t="s">
        <v>29</v>
      </c>
      <c r="D268" s="4">
        <v>9</v>
      </c>
      <c r="E268" s="4">
        <v>21</v>
      </c>
      <c r="F268" s="2" t="s">
        <v>872</v>
      </c>
      <c r="G268" s="2" t="s">
        <v>1027</v>
      </c>
      <c r="H268" s="2" t="s">
        <v>872</v>
      </c>
      <c r="I268" s="2" t="s">
        <v>1028</v>
      </c>
      <c r="J268" s="2" t="s">
        <v>872</v>
      </c>
      <c r="K268" s="2" t="s">
        <v>872</v>
      </c>
      <c r="L268" s="2" t="s">
        <v>873</v>
      </c>
      <c r="M268" s="2" t="s">
        <v>872</v>
      </c>
      <c r="N268" s="2" t="s">
        <v>872</v>
      </c>
    </row>
    <row r="269" spans="1:14" ht="13.5" thickBot="1" x14ac:dyDescent="0.25">
      <c r="A269" s="2" t="s">
        <v>572</v>
      </c>
      <c r="B269" s="72" t="s">
        <v>370</v>
      </c>
      <c r="C269" s="2" t="s">
        <v>29</v>
      </c>
      <c r="D269" s="4">
        <v>21</v>
      </c>
      <c r="E269" s="4">
        <v>38</v>
      </c>
      <c r="F269" s="2" t="s">
        <v>872</v>
      </c>
      <c r="G269" s="2" t="s">
        <v>983</v>
      </c>
      <c r="H269" s="2" t="s">
        <v>872</v>
      </c>
      <c r="I269" s="2" t="s">
        <v>983</v>
      </c>
      <c r="J269" s="2" t="s">
        <v>872</v>
      </c>
      <c r="K269" s="2" t="s">
        <v>872</v>
      </c>
      <c r="L269" s="2" t="s">
        <v>873</v>
      </c>
      <c r="M269" s="2" t="s">
        <v>872</v>
      </c>
      <c r="N269" s="2" t="s">
        <v>872</v>
      </c>
    </row>
    <row r="270" spans="1:14" ht="13.5" thickBot="1" x14ac:dyDescent="0.25">
      <c r="A270" s="2" t="s">
        <v>574</v>
      </c>
      <c r="B270" s="72" t="s">
        <v>374</v>
      </c>
      <c r="C270" s="2" t="s">
        <v>29</v>
      </c>
      <c r="D270" s="4">
        <v>7</v>
      </c>
      <c r="E270" s="4">
        <v>16</v>
      </c>
      <c r="F270" s="2" t="s">
        <v>872</v>
      </c>
      <c r="G270" s="2" t="s">
        <v>937</v>
      </c>
      <c r="H270" s="2" t="s">
        <v>872</v>
      </c>
      <c r="I270" s="2" t="s">
        <v>937</v>
      </c>
      <c r="J270" s="2" t="s">
        <v>872</v>
      </c>
      <c r="K270" s="2" t="s">
        <v>872</v>
      </c>
      <c r="L270" s="2" t="s">
        <v>873</v>
      </c>
      <c r="M270" s="2" t="s">
        <v>873</v>
      </c>
      <c r="N270" s="2" t="s">
        <v>872</v>
      </c>
    </row>
    <row r="271" spans="1:14" ht="13.5" thickBot="1" x14ac:dyDescent="0.25">
      <c r="A271" s="2" t="s">
        <v>576</v>
      </c>
      <c r="B271" s="72" t="s">
        <v>382</v>
      </c>
      <c r="C271" s="2" t="s">
        <v>29</v>
      </c>
      <c r="D271" s="4">
        <v>11</v>
      </c>
      <c r="E271" s="4">
        <v>24</v>
      </c>
      <c r="F271" s="2" t="s">
        <v>872</v>
      </c>
      <c r="G271" s="2" t="s">
        <v>1030</v>
      </c>
      <c r="H271" s="2" t="s">
        <v>872</v>
      </c>
      <c r="I271" s="2" t="s">
        <v>1030</v>
      </c>
      <c r="J271" s="2" t="s">
        <v>872</v>
      </c>
      <c r="K271" s="2" t="s">
        <v>872</v>
      </c>
      <c r="L271" s="2" t="s">
        <v>873</v>
      </c>
      <c r="M271" s="2" t="s">
        <v>873</v>
      </c>
      <c r="N271" s="2" t="s">
        <v>872</v>
      </c>
    </row>
    <row r="272" spans="1:14" ht="13.5" thickBot="1" x14ac:dyDescent="0.25">
      <c r="A272" s="2" t="s">
        <v>578</v>
      </c>
      <c r="B272" s="72" t="s">
        <v>384</v>
      </c>
      <c r="C272" s="2" t="s">
        <v>29</v>
      </c>
      <c r="D272" s="4">
        <v>16</v>
      </c>
      <c r="E272" s="4">
        <v>24</v>
      </c>
      <c r="F272" s="2" t="s">
        <v>872</v>
      </c>
      <c r="G272" s="2" t="s">
        <v>1031</v>
      </c>
      <c r="H272" s="2" t="s">
        <v>872</v>
      </c>
      <c r="I272" s="2" t="s">
        <v>1031</v>
      </c>
      <c r="J272" s="2" t="s">
        <v>872</v>
      </c>
      <c r="K272" s="2" t="s">
        <v>872</v>
      </c>
      <c r="L272" s="2" t="s">
        <v>872</v>
      </c>
      <c r="M272" s="2" t="s">
        <v>872</v>
      </c>
      <c r="N272" s="2" t="s">
        <v>872</v>
      </c>
    </row>
    <row r="273" spans="1:14" ht="13.5" thickBot="1" x14ac:dyDescent="0.25">
      <c r="A273" s="2" t="s">
        <v>580</v>
      </c>
      <c r="B273" s="72" t="s">
        <v>398</v>
      </c>
      <c r="C273" s="2" t="s">
        <v>29</v>
      </c>
      <c r="D273" s="4">
        <v>9</v>
      </c>
      <c r="E273" s="4">
        <v>10</v>
      </c>
      <c r="F273" s="2" t="s">
        <v>872</v>
      </c>
      <c r="G273" s="2" t="s">
        <v>1035</v>
      </c>
      <c r="H273" s="2" t="s">
        <v>872</v>
      </c>
      <c r="I273" s="2" t="s">
        <v>1035</v>
      </c>
      <c r="J273" s="2" t="s">
        <v>872</v>
      </c>
      <c r="K273" s="2" t="s">
        <v>872</v>
      </c>
      <c r="L273" s="2" t="s">
        <v>873</v>
      </c>
      <c r="M273" s="2" t="s">
        <v>872</v>
      </c>
      <c r="N273" s="2" t="s">
        <v>872</v>
      </c>
    </row>
    <row r="274" spans="1:14" ht="13.5" thickBot="1" x14ac:dyDescent="0.25">
      <c r="A274" s="2" t="s">
        <v>582</v>
      </c>
      <c r="B274" s="72" t="s">
        <v>404</v>
      </c>
      <c r="C274" s="2" t="s">
        <v>29</v>
      </c>
      <c r="D274" s="4">
        <v>4</v>
      </c>
      <c r="E274" s="4">
        <v>22</v>
      </c>
      <c r="F274" s="2" t="s">
        <v>872</v>
      </c>
      <c r="G274" s="2" t="s">
        <v>927</v>
      </c>
      <c r="H274" s="2" t="s">
        <v>872</v>
      </c>
      <c r="I274" s="2" t="s">
        <v>927</v>
      </c>
      <c r="J274" s="2" t="s">
        <v>872</v>
      </c>
      <c r="K274" s="2" t="s">
        <v>872</v>
      </c>
      <c r="L274" s="2" t="s">
        <v>873</v>
      </c>
      <c r="M274" s="2" t="s">
        <v>872</v>
      </c>
      <c r="N274" s="2" t="s">
        <v>872</v>
      </c>
    </row>
    <row r="275" spans="1:14" ht="13.5" thickBot="1" x14ac:dyDescent="0.25">
      <c r="A275" s="2" t="s">
        <v>584</v>
      </c>
      <c r="B275" s="72" t="s">
        <v>418</v>
      </c>
      <c r="C275" s="2" t="s">
        <v>29</v>
      </c>
      <c r="D275" s="4">
        <v>7</v>
      </c>
      <c r="E275" s="4">
        <v>15</v>
      </c>
      <c r="F275" s="2" t="s">
        <v>872</v>
      </c>
      <c r="G275" s="2" t="s">
        <v>1041</v>
      </c>
      <c r="H275" s="2" t="s">
        <v>872</v>
      </c>
      <c r="I275" s="2" t="s">
        <v>1041</v>
      </c>
      <c r="J275" s="2" t="s">
        <v>872</v>
      </c>
      <c r="K275" s="2" t="s">
        <v>872</v>
      </c>
      <c r="L275" s="2" t="s">
        <v>873</v>
      </c>
      <c r="M275" s="2" t="s">
        <v>872</v>
      </c>
      <c r="N275" s="2" t="s">
        <v>872</v>
      </c>
    </row>
    <row r="276" spans="1:14" ht="13.5" thickBot="1" x14ac:dyDescent="0.25">
      <c r="A276" s="2" t="s">
        <v>586</v>
      </c>
      <c r="B276" s="72" t="s">
        <v>436</v>
      </c>
      <c r="C276" s="2" t="s">
        <v>29</v>
      </c>
      <c r="D276" s="78" t="s">
        <v>16</v>
      </c>
      <c r="E276" s="78" t="s">
        <v>16</v>
      </c>
      <c r="F276" s="2" t="s">
        <v>872</v>
      </c>
      <c r="G276" s="2" t="s">
        <v>16</v>
      </c>
      <c r="H276" s="2" t="s">
        <v>872</v>
      </c>
      <c r="I276" s="2" t="s">
        <v>16</v>
      </c>
      <c r="J276" s="2" t="s">
        <v>872</v>
      </c>
      <c r="K276" s="2" t="s">
        <v>872</v>
      </c>
      <c r="L276" s="2" t="s">
        <v>873</v>
      </c>
      <c r="M276" s="2" t="s">
        <v>872</v>
      </c>
      <c r="N276" s="2" t="s">
        <v>872</v>
      </c>
    </row>
    <row r="277" spans="1:14" ht="13.5" thickBot="1" x14ac:dyDescent="0.25">
      <c r="A277" s="2" t="s">
        <v>588</v>
      </c>
      <c r="B277" s="72" t="s">
        <v>452</v>
      </c>
      <c r="C277" s="2" t="s">
        <v>29</v>
      </c>
      <c r="D277" s="4">
        <v>20</v>
      </c>
      <c r="E277" s="4">
        <v>38</v>
      </c>
      <c r="F277" s="2" t="s">
        <v>872</v>
      </c>
      <c r="G277" s="2" t="s">
        <v>1049</v>
      </c>
      <c r="H277" s="2" t="s">
        <v>872</v>
      </c>
      <c r="I277" s="2" t="s">
        <v>1049</v>
      </c>
      <c r="J277" s="2" t="s">
        <v>872</v>
      </c>
      <c r="K277" s="2" t="s">
        <v>872</v>
      </c>
      <c r="L277" s="2" t="s">
        <v>873</v>
      </c>
      <c r="M277" s="2" t="s">
        <v>872</v>
      </c>
      <c r="N277" s="2" t="s">
        <v>872</v>
      </c>
    </row>
    <row r="278" spans="1:14" ht="13.5" thickBot="1" x14ac:dyDescent="0.25">
      <c r="A278" s="2" t="s">
        <v>590</v>
      </c>
      <c r="B278" s="72" t="s">
        <v>466</v>
      </c>
      <c r="C278" s="2" t="s">
        <v>29</v>
      </c>
      <c r="D278" s="4">
        <v>10</v>
      </c>
      <c r="E278" s="4">
        <v>24</v>
      </c>
      <c r="F278" s="2" t="s">
        <v>872</v>
      </c>
      <c r="G278" s="2" t="s">
        <v>983</v>
      </c>
      <c r="H278" s="2" t="s">
        <v>872</v>
      </c>
      <c r="I278" s="2" t="s">
        <v>983</v>
      </c>
      <c r="J278" s="2" t="s">
        <v>872</v>
      </c>
      <c r="K278" s="2" t="s">
        <v>872</v>
      </c>
      <c r="L278" s="2" t="s">
        <v>873</v>
      </c>
      <c r="M278" s="2" t="s">
        <v>872</v>
      </c>
      <c r="N278" s="2" t="s">
        <v>872</v>
      </c>
    </row>
    <row r="279" spans="1:14" ht="13.5" thickBot="1" x14ac:dyDescent="0.25">
      <c r="A279" s="2" t="s">
        <v>592</v>
      </c>
      <c r="B279" s="72" t="s">
        <v>473</v>
      </c>
      <c r="C279" s="2" t="s">
        <v>29</v>
      </c>
      <c r="D279" s="4">
        <v>8</v>
      </c>
      <c r="E279" s="4">
        <v>13</v>
      </c>
      <c r="F279" s="2" t="s">
        <v>872</v>
      </c>
      <c r="G279" s="2" t="s">
        <v>1050</v>
      </c>
      <c r="H279" s="2" t="s">
        <v>872</v>
      </c>
      <c r="I279" s="2" t="s">
        <v>1050</v>
      </c>
      <c r="J279" s="2" t="s">
        <v>872</v>
      </c>
      <c r="K279" s="2" t="s">
        <v>872</v>
      </c>
      <c r="L279" s="2" t="s">
        <v>873</v>
      </c>
      <c r="M279" s="2" t="s">
        <v>872</v>
      </c>
      <c r="N279" s="2" t="s">
        <v>872</v>
      </c>
    </row>
    <row r="280" spans="1:14" ht="13.5" thickBot="1" x14ac:dyDescent="0.25">
      <c r="A280" s="2" t="s">
        <v>596</v>
      </c>
      <c r="B280" s="72" t="s">
        <v>487</v>
      </c>
      <c r="C280" s="2" t="s">
        <v>29</v>
      </c>
      <c r="D280" s="4">
        <v>28</v>
      </c>
      <c r="E280" s="4">
        <v>56</v>
      </c>
      <c r="F280" s="2" t="s">
        <v>872</v>
      </c>
      <c r="G280" s="2" t="s">
        <v>925</v>
      </c>
      <c r="H280" s="2" t="s">
        <v>872</v>
      </c>
      <c r="I280" s="2" t="s">
        <v>925</v>
      </c>
      <c r="J280" s="2" t="s">
        <v>872</v>
      </c>
      <c r="K280" s="2" t="s">
        <v>872</v>
      </c>
      <c r="L280" s="2" t="s">
        <v>872</v>
      </c>
      <c r="M280" s="2" t="s">
        <v>873</v>
      </c>
      <c r="N280" s="2" t="s">
        <v>872</v>
      </c>
    </row>
    <row r="281" spans="1:14" ht="13.5" thickBot="1" x14ac:dyDescent="0.25">
      <c r="A281" s="2" t="s">
        <v>598</v>
      </c>
      <c r="B281" s="72" t="s">
        <v>497</v>
      </c>
      <c r="C281" s="2" t="s">
        <v>29</v>
      </c>
      <c r="D281" s="4">
        <v>18</v>
      </c>
      <c r="E281" s="4">
        <v>29</v>
      </c>
      <c r="F281" s="2" t="s">
        <v>872</v>
      </c>
      <c r="G281" s="2" t="s">
        <v>1055</v>
      </c>
      <c r="H281" s="2" t="s">
        <v>872</v>
      </c>
      <c r="I281" s="2" t="s">
        <v>1055</v>
      </c>
      <c r="J281" s="2" t="s">
        <v>872</v>
      </c>
      <c r="K281" s="2" t="s">
        <v>872</v>
      </c>
      <c r="L281" s="2" t="s">
        <v>873</v>
      </c>
      <c r="M281" s="2" t="s">
        <v>873</v>
      </c>
      <c r="N281" s="2" t="s">
        <v>872</v>
      </c>
    </row>
    <row r="282" spans="1:14" ht="13.5" thickBot="1" x14ac:dyDescent="0.25">
      <c r="A282" s="2" t="s">
        <v>600</v>
      </c>
      <c r="B282" s="72" t="s">
        <v>501</v>
      </c>
      <c r="C282" s="2" t="s">
        <v>29</v>
      </c>
      <c r="D282" s="4">
        <v>13</v>
      </c>
      <c r="E282" s="4">
        <v>26</v>
      </c>
      <c r="F282" s="2" t="s">
        <v>872</v>
      </c>
      <c r="G282" s="2" t="s">
        <v>1057</v>
      </c>
      <c r="H282" s="2" t="s">
        <v>872</v>
      </c>
      <c r="I282" s="2" t="s">
        <v>1057</v>
      </c>
      <c r="J282" s="2" t="s">
        <v>872</v>
      </c>
      <c r="K282" s="2" t="s">
        <v>872</v>
      </c>
      <c r="L282" s="2" t="s">
        <v>873</v>
      </c>
      <c r="M282" s="2" t="s">
        <v>872</v>
      </c>
      <c r="N282" s="2" t="s">
        <v>872</v>
      </c>
    </row>
    <row r="283" spans="1:14" ht="13.5" thickBot="1" x14ac:dyDescent="0.25">
      <c r="A283" s="2" t="s">
        <v>602</v>
      </c>
      <c r="B283" s="72" t="s">
        <v>513</v>
      </c>
      <c r="C283" s="2" t="s">
        <v>29</v>
      </c>
      <c r="D283" s="4">
        <v>7</v>
      </c>
      <c r="E283" s="4">
        <v>17</v>
      </c>
      <c r="F283" s="2" t="s">
        <v>872</v>
      </c>
      <c r="G283" s="2" t="s">
        <v>1062</v>
      </c>
      <c r="H283" s="2" t="s">
        <v>872</v>
      </c>
      <c r="I283" s="2" t="s">
        <v>1062</v>
      </c>
      <c r="J283" s="2" t="s">
        <v>872</v>
      </c>
      <c r="K283" s="2" t="s">
        <v>872</v>
      </c>
      <c r="L283" s="2" t="s">
        <v>873</v>
      </c>
      <c r="M283" s="2" t="s">
        <v>872</v>
      </c>
      <c r="N283" s="2" t="s">
        <v>872</v>
      </c>
    </row>
    <row r="284" spans="1:14" ht="13.5" thickBot="1" x14ac:dyDescent="0.25">
      <c r="A284" s="2" t="s">
        <v>604</v>
      </c>
      <c r="B284" s="72" t="s">
        <v>517</v>
      </c>
      <c r="C284" s="2" t="s">
        <v>29</v>
      </c>
      <c r="D284" s="4">
        <v>8</v>
      </c>
      <c r="E284" s="4">
        <v>19</v>
      </c>
      <c r="F284" s="2" t="s">
        <v>872</v>
      </c>
      <c r="G284" s="2" t="s">
        <v>1064</v>
      </c>
      <c r="H284" s="2" t="s">
        <v>872</v>
      </c>
      <c r="I284" s="2" t="s">
        <v>1064</v>
      </c>
      <c r="J284" s="2" t="s">
        <v>872</v>
      </c>
      <c r="K284" s="2" t="s">
        <v>872</v>
      </c>
      <c r="L284" s="2" t="s">
        <v>873</v>
      </c>
      <c r="M284" s="2" t="s">
        <v>873</v>
      </c>
      <c r="N284" s="2" t="s">
        <v>872</v>
      </c>
    </row>
    <row r="285" spans="1:14" ht="13.5" thickBot="1" x14ac:dyDescent="0.25">
      <c r="A285" s="2" t="s">
        <v>606</v>
      </c>
      <c r="B285" s="72" t="s">
        <v>519</v>
      </c>
      <c r="C285" s="2" t="s">
        <v>29</v>
      </c>
      <c r="D285" s="4">
        <v>28</v>
      </c>
      <c r="E285" s="4">
        <v>29</v>
      </c>
      <c r="F285" s="2" t="s">
        <v>872</v>
      </c>
      <c r="G285" s="2" t="s">
        <v>927</v>
      </c>
      <c r="H285" s="2" t="s">
        <v>872</v>
      </c>
      <c r="I285" s="2" t="s">
        <v>927</v>
      </c>
      <c r="J285" s="2" t="s">
        <v>872</v>
      </c>
      <c r="K285" s="2" t="s">
        <v>872</v>
      </c>
      <c r="L285" s="2" t="s">
        <v>872</v>
      </c>
      <c r="M285" s="2" t="s">
        <v>872</v>
      </c>
      <c r="N285" s="2" t="s">
        <v>872</v>
      </c>
    </row>
    <row r="286" spans="1:14" ht="13.5" thickBot="1" x14ac:dyDescent="0.25">
      <c r="A286" s="2" t="s">
        <v>608</v>
      </c>
      <c r="B286" s="72" t="s">
        <v>523</v>
      </c>
      <c r="C286" s="2" t="s">
        <v>29</v>
      </c>
      <c r="D286" s="4">
        <v>4</v>
      </c>
      <c r="E286" s="4">
        <v>18</v>
      </c>
      <c r="F286" s="2" t="s">
        <v>872</v>
      </c>
      <c r="G286" s="2" t="s">
        <v>1065</v>
      </c>
      <c r="H286" s="2" t="s">
        <v>872</v>
      </c>
      <c r="I286" s="2" t="s">
        <v>1065</v>
      </c>
      <c r="J286" s="2" t="s">
        <v>872</v>
      </c>
      <c r="K286" s="2" t="s">
        <v>872</v>
      </c>
      <c r="L286" s="2" t="s">
        <v>873</v>
      </c>
      <c r="M286" s="2" t="s">
        <v>872</v>
      </c>
      <c r="N286" s="2" t="s">
        <v>872</v>
      </c>
    </row>
    <row r="287" spans="1:14" ht="13.5" thickBot="1" x14ac:dyDescent="0.25">
      <c r="A287" s="2" t="s">
        <v>610</v>
      </c>
      <c r="B287" s="72" t="s">
        <v>533</v>
      </c>
      <c r="C287" s="2" t="s">
        <v>29</v>
      </c>
      <c r="D287" s="4">
        <v>6</v>
      </c>
      <c r="E287" s="4">
        <v>14</v>
      </c>
      <c r="F287" s="2" t="s">
        <v>872</v>
      </c>
      <c r="G287" s="2" t="s">
        <v>958</v>
      </c>
      <c r="H287" s="2" t="s">
        <v>872</v>
      </c>
      <c r="I287" s="2" t="s">
        <v>958</v>
      </c>
      <c r="J287" s="2" t="s">
        <v>872</v>
      </c>
      <c r="K287" s="2" t="s">
        <v>872</v>
      </c>
      <c r="L287" s="2" t="s">
        <v>873</v>
      </c>
      <c r="M287" s="2" t="s">
        <v>872</v>
      </c>
      <c r="N287" s="2" t="s">
        <v>872</v>
      </c>
    </row>
    <row r="288" spans="1:14" ht="13.5" thickBot="1" x14ac:dyDescent="0.25">
      <c r="A288" s="2" t="s">
        <v>612</v>
      </c>
      <c r="B288" s="72" t="s">
        <v>547</v>
      </c>
      <c r="C288" s="2" t="s">
        <v>29</v>
      </c>
      <c r="D288" s="4">
        <v>22</v>
      </c>
      <c r="E288" s="4">
        <v>42</v>
      </c>
      <c r="F288" s="2" t="s">
        <v>872</v>
      </c>
      <c r="G288" s="2" t="s">
        <v>941</v>
      </c>
      <c r="H288" s="2" t="s">
        <v>872</v>
      </c>
      <c r="I288" s="2" t="s">
        <v>941</v>
      </c>
      <c r="J288" s="2" t="s">
        <v>873</v>
      </c>
      <c r="K288" s="2" t="s">
        <v>872</v>
      </c>
      <c r="L288" s="2" t="s">
        <v>873</v>
      </c>
      <c r="M288" s="2" t="s">
        <v>872</v>
      </c>
      <c r="N288" s="2" t="s">
        <v>872</v>
      </c>
    </row>
    <row r="289" spans="1:14" ht="13.5" thickBot="1" x14ac:dyDescent="0.25">
      <c r="A289" s="2" t="s">
        <v>614</v>
      </c>
      <c r="B289" s="72" t="s">
        <v>563</v>
      </c>
      <c r="C289" s="2" t="s">
        <v>29</v>
      </c>
      <c r="D289" s="4">
        <v>7</v>
      </c>
      <c r="E289" s="4">
        <v>19</v>
      </c>
      <c r="F289" s="135" t="s">
        <v>873</v>
      </c>
      <c r="G289" s="2" t="s">
        <v>16</v>
      </c>
      <c r="H289" s="135" t="s">
        <v>873</v>
      </c>
      <c r="I289" s="2" t="s">
        <v>16</v>
      </c>
      <c r="J289" s="2" t="s">
        <v>873</v>
      </c>
      <c r="K289" s="2" t="s">
        <v>873</v>
      </c>
      <c r="L289" s="2" t="s">
        <v>873</v>
      </c>
      <c r="M289" s="2" t="s">
        <v>873</v>
      </c>
      <c r="N289" s="2" t="s">
        <v>872</v>
      </c>
    </row>
    <row r="290" spans="1:14" ht="13.5" thickBot="1" x14ac:dyDescent="0.25">
      <c r="A290" s="2" t="s">
        <v>616</v>
      </c>
      <c r="B290" s="72" t="s">
        <v>573</v>
      </c>
      <c r="C290" s="2" t="s">
        <v>29</v>
      </c>
      <c r="D290" s="4">
        <v>26</v>
      </c>
      <c r="E290" s="4">
        <v>78</v>
      </c>
      <c r="F290" s="2" t="s">
        <v>872</v>
      </c>
      <c r="G290" s="2" t="s">
        <v>1036</v>
      </c>
      <c r="H290" s="2" t="s">
        <v>872</v>
      </c>
      <c r="I290" s="2" t="s">
        <v>1036</v>
      </c>
      <c r="J290" s="2" t="s">
        <v>872</v>
      </c>
      <c r="K290" s="2" t="s">
        <v>872</v>
      </c>
      <c r="L290" s="2" t="s">
        <v>873</v>
      </c>
      <c r="M290" s="2" t="s">
        <v>873</v>
      </c>
      <c r="N290" s="2" t="s">
        <v>872</v>
      </c>
    </row>
    <row r="291" spans="1:14" ht="13.5" thickBot="1" x14ac:dyDescent="0.25">
      <c r="A291" s="2" t="s">
        <v>618</v>
      </c>
      <c r="B291" s="72" t="s">
        <v>575</v>
      </c>
      <c r="C291" s="2" t="s">
        <v>29</v>
      </c>
      <c r="D291" s="4">
        <v>15</v>
      </c>
      <c r="E291" s="4">
        <v>25</v>
      </c>
      <c r="F291" s="2" t="s">
        <v>872</v>
      </c>
      <c r="G291" s="2" t="s">
        <v>1025</v>
      </c>
      <c r="H291" s="2" t="s">
        <v>872</v>
      </c>
      <c r="I291" s="2" t="s">
        <v>1025</v>
      </c>
      <c r="J291" s="2" t="s">
        <v>872</v>
      </c>
      <c r="K291" s="2" t="s">
        <v>872</v>
      </c>
      <c r="L291" s="2" t="s">
        <v>872</v>
      </c>
      <c r="M291" s="2" t="s">
        <v>873</v>
      </c>
      <c r="N291" s="2" t="s">
        <v>872</v>
      </c>
    </row>
    <row r="292" spans="1:14" ht="13.5" thickBot="1" x14ac:dyDescent="0.25">
      <c r="A292" s="2" t="s">
        <v>620</v>
      </c>
      <c r="B292" s="72" t="s">
        <v>579</v>
      </c>
      <c r="C292" s="2" t="s">
        <v>29</v>
      </c>
      <c r="D292" s="4">
        <v>27</v>
      </c>
      <c r="E292" s="4">
        <v>47</v>
      </c>
      <c r="F292" s="2" t="s">
        <v>872</v>
      </c>
      <c r="G292" s="2" t="s">
        <v>1071</v>
      </c>
      <c r="H292" s="2" t="s">
        <v>872</v>
      </c>
      <c r="I292" s="2" t="s">
        <v>1072</v>
      </c>
      <c r="J292" s="2" t="s">
        <v>872</v>
      </c>
      <c r="K292" s="2" t="s">
        <v>872</v>
      </c>
      <c r="L292" s="2" t="s">
        <v>872</v>
      </c>
      <c r="M292" s="2" t="s">
        <v>872</v>
      </c>
      <c r="N292" s="2" t="s">
        <v>872</v>
      </c>
    </row>
    <row r="293" spans="1:14" ht="13.5" thickBot="1" x14ac:dyDescent="0.25">
      <c r="A293" s="2" t="s">
        <v>622</v>
      </c>
      <c r="B293" s="72" t="s">
        <v>587</v>
      </c>
      <c r="C293" s="2" t="s">
        <v>29</v>
      </c>
      <c r="D293" s="4">
        <v>20</v>
      </c>
      <c r="E293" s="4">
        <v>30</v>
      </c>
      <c r="F293" s="2" t="s">
        <v>872</v>
      </c>
      <c r="G293" s="2" t="s">
        <v>939</v>
      </c>
      <c r="H293" s="2" t="s">
        <v>872</v>
      </c>
      <c r="I293" s="2" t="s">
        <v>939</v>
      </c>
      <c r="J293" s="2" t="s">
        <v>872</v>
      </c>
      <c r="K293" s="2" t="s">
        <v>872</v>
      </c>
      <c r="L293" s="2" t="s">
        <v>872</v>
      </c>
      <c r="M293" s="2" t="s">
        <v>873</v>
      </c>
      <c r="N293" s="2" t="s">
        <v>872</v>
      </c>
    </row>
    <row r="294" spans="1:14" ht="13.5" thickBot="1" x14ac:dyDescent="0.25">
      <c r="A294" s="2" t="s">
        <v>624</v>
      </c>
      <c r="B294" s="72" t="s">
        <v>599</v>
      </c>
      <c r="C294" s="2" t="s">
        <v>29</v>
      </c>
      <c r="D294" s="4">
        <v>14</v>
      </c>
      <c r="E294" s="4">
        <v>21</v>
      </c>
      <c r="F294" s="2" t="s">
        <v>872</v>
      </c>
      <c r="G294" s="2" t="s">
        <v>940</v>
      </c>
      <c r="H294" s="2" t="s">
        <v>872</v>
      </c>
      <c r="I294" s="2" t="s">
        <v>969</v>
      </c>
      <c r="J294" s="2" t="s">
        <v>872</v>
      </c>
      <c r="K294" s="2" t="s">
        <v>872</v>
      </c>
      <c r="L294" s="2" t="s">
        <v>872</v>
      </c>
      <c r="M294" s="2" t="s">
        <v>872</v>
      </c>
      <c r="N294" s="2" t="s">
        <v>872</v>
      </c>
    </row>
    <row r="295" spans="1:14" ht="13.5" thickBot="1" x14ac:dyDescent="0.25">
      <c r="A295" s="2" t="s">
        <v>626</v>
      </c>
      <c r="B295" s="72" t="s">
        <v>615</v>
      </c>
      <c r="C295" s="2" t="s">
        <v>29</v>
      </c>
      <c r="D295" s="4">
        <v>11</v>
      </c>
      <c r="E295" s="4">
        <v>18</v>
      </c>
      <c r="F295" s="2" t="s">
        <v>872</v>
      </c>
      <c r="G295" s="2" t="s">
        <v>1078</v>
      </c>
      <c r="H295" s="2" t="s">
        <v>872</v>
      </c>
      <c r="I295" s="2" t="s">
        <v>932</v>
      </c>
      <c r="J295" s="2" t="s">
        <v>872</v>
      </c>
      <c r="K295" s="2" t="s">
        <v>872</v>
      </c>
      <c r="L295" s="2" t="s">
        <v>873</v>
      </c>
      <c r="M295" s="2" t="s">
        <v>872</v>
      </c>
      <c r="N295" s="2" t="s">
        <v>872</v>
      </c>
    </row>
    <row r="296" spans="1:14" ht="13.5" thickBot="1" x14ac:dyDescent="0.25">
      <c r="A296" s="2" t="s">
        <v>628</v>
      </c>
      <c r="B296" s="72" t="s">
        <v>617</v>
      </c>
      <c r="C296" s="2" t="s">
        <v>29</v>
      </c>
      <c r="D296" s="4">
        <v>7</v>
      </c>
      <c r="E296" s="4">
        <v>21</v>
      </c>
      <c r="F296" s="2" t="s">
        <v>872</v>
      </c>
      <c r="G296" s="2" t="s">
        <v>921</v>
      </c>
      <c r="H296" s="2" t="s">
        <v>872</v>
      </c>
      <c r="I296" s="2" t="s">
        <v>921</v>
      </c>
      <c r="J296" s="2" t="s">
        <v>872</v>
      </c>
      <c r="K296" s="2" t="s">
        <v>872</v>
      </c>
      <c r="L296" s="2" t="s">
        <v>873</v>
      </c>
      <c r="M296" s="2" t="s">
        <v>873</v>
      </c>
      <c r="N296" s="2" t="s">
        <v>872</v>
      </c>
    </row>
    <row r="297" spans="1:14" ht="13.5" thickBot="1" x14ac:dyDescent="0.25">
      <c r="A297" s="2" t="s">
        <v>630</v>
      </c>
      <c r="B297" s="72" t="s">
        <v>621</v>
      </c>
      <c r="C297" s="2" t="s">
        <v>29</v>
      </c>
      <c r="D297" s="4">
        <v>18</v>
      </c>
      <c r="E297" s="4">
        <v>47</v>
      </c>
      <c r="F297" s="2" t="s">
        <v>872</v>
      </c>
      <c r="G297" s="2" t="s">
        <v>1080</v>
      </c>
      <c r="H297" s="2" t="s">
        <v>872</v>
      </c>
      <c r="I297" s="2" t="s">
        <v>995</v>
      </c>
      <c r="J297" s="2" t="s">
        <v>872</v>
      </c>
      <c r="K297" s="2" t="s">
        <v>872</v>
      </c>
      <c r="L297" s="2" t="s">
        <v>873</v>
      </c>
      <c r="M297" s="2" t="s">
        <v>872</v>
      </c>
      <c r="N297" s="2" t="s">
        <v>872</v>
      </c>
    </row>
    <row r="298" spans="1:14" ht="13.5" thickBot="1" x14ac:dyDescent="0.25">
      <c r="A298" s="2" t="s">
        <v>632</v>
      </c>
      <c r="B298" s="72" t="s">
        <v>657</v>
      </c>
      <c r="C298" s="2" t="s">
        <v>29</v>
      </c>
      <c r="D298" s="4">
        <v>4</v>
      </c>
      <c r="E298" s="4">
        <v>7</v>
      </c>
      <c r="F298" s="2" t="s">
        <v>872</v>
      </c>
      <c r="G298" s="2" t="s">
        <v>16</v>
      </c>
      <c r="H298" s="2" t="s">
        <v>872</v>
      </c>
      <c r="I298" s="2" t="s">
        <v>16</v>
      </c>
      <c r="J298" s="2" t="s">
        <v>872</v>
      </c>
      <c r="K298" s="2" t="s">
        <v>872</v>
      </c>
      <c r="L298" s="2" t="s">
        <v>873</v>
      </c>
      <c r="M298" s="2" t="s">
        <v>872</v>
      </c>
      <c r="N298" s="2" t="s">
        <v>872</v>
      </c>
    </row>
    <row r="299" spans="1:14" ht="13.5" thickBot="1" x14ac:dyDescent="0.25">
      <c r="A299" s="2" t="s">
        <v>634</v>
      </c>
      <c r="B299" s="72" t="s">
        <v>685</v>
      </c>
      <c r="C299" s="2" t="s">
        <v>29</v>
      </c>
      <c r="D299" s="4">
        <v>24</v>
      </c>
      <c r="E299" s="4">
        <v>46</v>
      </c>
      <c r="F299" s="2" t="s">
        <v>872</v>
      </c>
      <c r="G299" s="2" t="s">
        <v>932</v>
      </c>
      <c r="H299" s="2" t="s">
        <v>872</v>
      </c>
      <c r="I299" s="2" t="s">
        <v>932</v>
      </c>
      <c r="J299" s="2" t="s">
        <v>872</v>
      </c>
      <c r="K299" s="2" t="s">
        <v>872</v>
      </c>
      <c r="L299" s="2" t="s">
        <v>872</v>
      </c>
      <c r="M299" s="2" t="s">
        <v>872</v>
      </c>
      <c r="N299" s="2" t="s">
        <v>872</v>
      </c>
    </row>
    <row r="300" spans="1:14" ht="13.5" thickBot="1" x14ac:dyDescent="0.25">
      <c r="A300" s="2" t="s">
        <v>636</v>
      </c>
      <c r="B300" s="72" t="s">
        <v>727</v>
      </c>
      <c r="C300" s="2" t="s">
        <v>29</v>
      </c>
      <c r="D300" s="78" t="s">
        <v>16</v>
      </c>
      <c r="E300" s="78" t="s">
        <v>16</v>
      </c>
      <c r="F300" s="2" t="s">
        <v>872</v>
      </c>
      <c r="G300" s="2" t="s">
        <v>1007</v>
      </c>
      <c r="H300" s="2" t="s">
        <v>872</v>
      </c>
      <c r="I300" s="2" t="s">
        <v>924</v>
      </c>
      <c r="J300" s="2" t="s">
        <v>872</v>
      </c>
      <c r="K300" s="2" t="s">
        <v>872</v>
      </c>
      <c r="L300" s="2" t="s">
        <v>872</v>
      </c>
      <c r="M300" s="2" t="s">
        <v>872</v>
      </c>
      <c r="N300" s="2" t="s">
        <v>872</v>
      </c>
    </row>
    <row r="301" spans="1:14" ht="13.5" thickBot="1" x14ac:dyDescent="0.25">
      <c r="A301" s="2" t="s">
        <v>638</v>
      </c>
      <c r="B301" s="72" t="s">
        <v>729</v>
      </c>
      <c r="C301" s="2" t="s">
        <v>29</v>
      </c>
      <c r="D301" s="4">
        <v>9</v>
      </c>
      <c r="E301" s="4">
        <v>11</v>
      </c>
      <c r="F301" s="2" t="s">
        <v>872</v>
      </c>
      <c r="G301" s="2" t="s">
        <v>983</v>
      </c>
      <c r="H301" s="2" t="s">
        <v>872</v>
      </c>
      <c r="I301" s="2" t="s">
        <v>983</v>
      </c>
      <c r="J301" s="2" t="s">
        <v>872</v>
      </c>
      <c r="K301" s="2" t="s">
        <v>872</v>
      </c>
      <c r="L301" s="2" t="s">
        <v>873</v>
      </c>
      <c r="M301" s="2" t="s">
        <v>872</v>
      </c>
      <c r="N301" s="2" t="s">
        <v>872</v>
      </c>
    </row>
    <row r="302" spans="1:14" ht="13.5" thickBot="1" x14ac:dyDescent="0.25">
      <c r="A302" s="2" t="s">
        <v>640</v>
      </c>
      <c r="B302" s="72" t="s">
        <v>735</v>
      </c>
      <c r="C302" s="2" t="s">
        <v>29</v>
      </c>
      <c r="D302" s="4">
        <v>12</v>
      </c>
      <c r="E302" s="4">
        <v>22</v>
      </c>
      <c r="F302" s="2" t="s">
        <v>872</v>
      </c>
      <c r="G302" s="2" t="s">
        <v>921</v>
      </c>
      <c r="H302" s="2" t="s">
        <v>872</v>
      </c>
      <c r="I302" s="2" t="s">
        <v>921</v>
      </c>
      <c r="J302" s="2" t="s">
        <v>872</v>
      </c>
      <c r="K302" s="2" t="s">
        <v>872</v>
      </c>
      <c r="L302" s="2" t="s">
        <v>873</v>
      </c>
      <c r="M302" s="2" t="s">
        <v>873</v>
      </c>
      <c r="N302" s="2" t="s">
        <v>872</v>
      </c>
    </row>
    <row r="303" spans="1:14" ht="13.5" thickBot="1" x14ac:dyDescent="0.25">
      <c r="A303" s="2" t="s">
        <v>644</v>
      </c>
      <c r="B303" s="72" t="s">
        <v>754</v>
      </c>
      <c r="C303" s="2" t="s">
        <v>29</v>
      </c>
      <c r="D303" s="4">
        <v>13</v>
      </c>
      <c r="E303" s="4">
        <v>20</v>
      </c>
      <c r="F303" s="2" t="s">
        <v>872</v>
      </c>
      <c r="G303" s="2" t="s">
        <v>1051</v>
      </c>
      <c r="H303" s="2" t="s">
        <v>872</v>
      </c>
      <c r="I303" s="2" t="s">
        <v>1051</v>
      </c>
      <c r="J303" s="2" t="s">
        <v>872</v>
      </c>
      <c r="K303" s="2" t="s">
        <v>872</v>
      </c>
      <c r="L303" s="2" t="s">
        <v>873</v>
      </c>
      <c r="M303" s="2" t="s">
        <v>873</v>
      </c>
      <c r="N303" s="2" t="s">
        <v>872</v>
      </c>
    </row>
    <row r="304" spans="1:14" ht="13.5" thickBot="1" x14ac:dyDescent="0.25">
      <c r="A304" s="2" t="s">
        <v>646</v>
      </c>
      <c r="B304" s="72" t="s">
        <v>766</v>
      </c>
      <c r="C304" s="2" t="s">
        <v>29</v>
      </c>
      <c r="D304" s="4">
        <v>2</v>
      </c>
      <c r="E304" s="4">
        <v>38</v>
      </c>
      <c r="F304" s="2" t="s">
        <v>872</v>
      </c>
      <c r="G304" s="2" t="s">
        <v>919</v>
      </c>
      <c r="H304" s="2" t="s">
        <v>872</v>
      </c>
      <c r="I304" s="2" t="s">
        <v>919</v>
      </c>
      <c r="J304" s="2" t="s">
        <v>872</v>
      </c>
      <c r="K304" s="2" t="s">
        <v>872</v>
      </c>
      <c r="L304" s="2" t="s">
        <v>873</v>
      </c>
      <c r="M304" s="2" t="s">
        <v>872</v>
      </c>
      <c r="N304" s="2" t="s">
        <v>872</v>
      </c>
    </row>
    <row r="305" spans="1:14" ht="13.5" thickBot="1" x14ac:dyDescent="0.25">
      <c r="A305" s="2" t="s">
        <v>650</v>
      </c>
      <c r="B305" s="72" t="s">
        <v>770</v>
      </c>
      <c r="C305" s="2" t="s">
        <v>29</v>
      </c>
      <c r="D305" s="4">
        <v>9</v>
      </c>
      <c r="E305" s="4">
        <v>17</v>
      </c>
      <c r="F305" s="2" t="s">
        <v>872</v>
      </c>
      <c r="G305" s="2" t="s">
        <v>948</v>
      </c>
      <c r="H305" s="2" t="s">
        <v>872</v>
      </c>
      <c r="I305" s="2" t="s">
        <v>948</v>
      </c>
      <c r="J305" s="2" t="s">
        <v>872</v>
      </c>
      <c r="K305" s="2" t="s">
        <v>872</v>
      </c>
      <c r="L305" s="2" t="s">
        <v>873</v>
      </c>
      <c r="M305" s="2" t="s">
        <v>873</v>
      </c>
      <c r="N305" s="2" t="s">
        <v>872</v>
      </c>
    </row>
    <row r="306" spans="1:14" ht="13.5" thickBot="1" x14ac:dyDescent="0.25">
      <c r="A306" s="2" t="s">
        <v>654</v>
      </c>
      <c r="B306" s="72" t="s">
        <v>790</v>
      </c>
      <c r="C306" s="2" t="s">
        <v>29</v>
      </c>
      <c r="D306" s="4">
        <v>6</v>
      </c>
      <c r="E306" s="4">
        <v>10</v>
      </c>
      <c r="F306" s="2" t="s">
        <v>872</v>
      </c>
      <c r="G306" s="2" t="s">
        <v>1114</v>
      </c>
      <c r="H306" s="2" t="s">
        <v>872</v>
      </c>
      <c r="I306" s="2" t="s">
        <v>1024</v>
      </c>
      <c r="J306" s="2" t="s">
        <v>872</v>
      </c>
      <c r="K306" s="2" t="s">
        <v>872</v>
      </c>
      <c r="L306" s="2" t="s">
        <v>873</v>
      </c>
      <c r="M306" s="2" t="s">
        <v>873</v>
      </c>
      <c r="N306" s="2" t="s">
        <v>872</v>
      </c>
    </row>
    <row r="307" spans="1:14" ht="13.5" thickBot="1" x14ac:dyDescent="0.25">
      <c r="A307" s="2" t="s">
        <v>656</v>
      </c>
      <c r="B307" s="72" t="s">
        <v>812</v>
      </c>
      <c r="C307" s="2" t="s">
        <v>29</v>
      </c>
      <c r="D307" s="4">
        <v>13</v>
      </c>
      <c r="E307" s="4">
        <v>20</v>
      </c>
      <c r="F307" s="2" t="s">
        <v>872</v>
      </c>
      <c r="G307" s="2" t="s">
        <v>983</v>
      </c>
      <c r="H307" s="2" t="s">
        <v>872</v>
      </c>
      <c r="I307" s="2" t="s">
        <v>983</v>
      </c>
      <c r="J307" s="2" t="s">
        <v>872</v>
      </c>
      <c r="K307" s="2" t="s">
        <v>872</v>
      </c>
      <c r="L307" s="2" t="s">
        <v>873</v>
      </c>
      <c r="M307" s="2" t="s">
        <v>872</v>
      </c>
      <c r="N307" s="2" t="s">
        <v>872</v>
      </c>
    </row>
    <row r="308" spans="1:14" ht="13.5" thickBot="1" x14ac:dyDescent="0.25">
      <c r="A308" s="2" t="s">
        <v>658</v>
      </c>
      <c r="B308" s="72" t="s">
        <v>838</v>
      </c>
      <c r="C308" s="2" t="s">
        <v>29</v>
      </c>
      <c r="D308" s="4">
        <v>15</v>
      </c>
      <c r="E308" s="4">
        <v>27</v>
      </c>
      <c r="F308" s="2" t="s">
        <v>872</v>
      </c>
      <c r="G308" s="2" t="s">
        <v>1011</v>
      </c>
      <c r="H308" s="2" t="s">
        <v>872</v>
      </c>
      <c r="I308" s="2" t="s">
        <v>1011</v>
      </c>
      <c r="J308" s="2" t="s">
        <v>872</v>
      </c>
      <c r="K308" s="2" t="s">
        <v>872</v>
      </c>
      <c r="L308" s="2" t="s">
        <v>872</v>
      </c>
      <c r="M308" s="2" t="s">
        <v>872</v>
      </c>
      <c r="N308" s="2" t="s">
        <v>872</v>
      </c>
    </row>
    <row r="309" spans="1:14" ht="13.5" thickBot="1" x14ac:dyDescent="0.25">
      <c r="A309" s="2" t="s">
        <v>660</v>
      </c>
      <c r="B309" s="72" t="s">
        <v>43</v>
      </c>
      <c r="C309" s="2" t="s">
        <v>45</v>
      </c>
      <c r="D309" s="4">
        <v>16</v>
      </c>
      <c r="E309" s="4">
        <v>20</v>
      </c>
      <c r="F309" s="2" t="s">
        <v>872</v>
      </c>
      <c r="G309" s="2" t="s">
        <v>923</v>
      </c>
      <c r="H309" s="2" t="s">
        <v>872</v>
      </c>
      <c r="I309" s="2" t="s">
        <v>923</v>
      </c>
      <c r="J309" s="2" t="s">
        <v>872</v>
      </c>
      <c r="K309" s="2" t="s">
        <v>872</v>
      </c>
      <c r="L309" s="2" t="s">
        <v>873</v>
      </c>
      <c r="M309" s="2" t="s">
        <v>872</v>
      </c>
      <c r="N309" s="2" t="s">
        <v>872</v>
      </c>
    </row>
    <row r="310" spans="1:14" ht="13.5" thickBot="1" x14ac:dyDescent="0.25">
      <c r="A310" s="2" t="s">
        <v>662</v>
      </c>
      <c r="B310" s="72" t="s">
        <v>46</v>
      </c>
      <c r="C310" s="2" t="s">
        <v>45</v>
      </c>
      <c r="D310" s="4">
        <v>6</v>
      </c>
      <c r="E310" s="4">
        <v>9</v>
      </c>
      <c r="F310" s="2" t="s">
        <v>872</v>
      </c>
      <c r="G310" s="2" t="s">
        <v>924</v>
      </c>
      <c r="H310" s="2" t="s">
        <v>872</v>
      </c>
      <c r="I310" s="2" t="s">
        <v>924</v>
      </c>
      <c r="J310" s="2" t="s">
        <v>872</v>
      </c>
      <c r="K310" s="2" t="s">
        <v>872</v>
      </c>
      <c r="L310" s="2" t="s">
        <v>872</v>
      </c>
      <c r="M310" s="2" t="s">
        <v>872</v>
      </c>
      <c r="N310" s="2" t="s">
        <v>872</v>
      </c>
    </row>
    <row r="311" spans="1:14" ht="13.5" thickBot="1" x14ac:dyDescent="0.25">
      <c r="A311" s="2" t="s">
        <v>664</v>
      </c>
      <c r="B311" s="72" t="s">
        <v>54</v>
      </c>
      <c r="C311" s="2" t="s">
        <v>45</v>
      </c>
      <c r="D311" s="4">
        <v>15</v>
      </c>
      <c r="E311" s="4">
        <v>22</v>
      </c>
      <c r="F311" s="2" t="s">
        <v>872</v>
      </c>
      <c r="G311" s="2" t="s">
        <v>927</v>
      </c>
      <c r="H311" s="2" t="s">
        <v>872</v>
      </c>
      <c r="I311" s="2" t="s">
        <v>927</v>
      </c>
      <c r="J311" s="2" t="s">
        <v>872</v>
      </c>
      <c r="K311" s="2" t="s">
        <v>872</v>
      </c>
      <c r="L311" s="2" t="s">
        <v>873</v>
      </c>
      <c r="M311" s="2" t="s">
        <v>872</v>
      </c>
      <c r="N311" s="2" t="s">
        <v>872</v>
      </c>
    </row>
    <row r="312" spans="1:14" ht="13.5" thickBot="1" x14ac:dyDescent="0.25">
      <c r="A312" s="2" t="s">
        <v>666</v>
      </c>
      <c r="B312" s="72" t="s">
        <v>79</v>
      </c>
      <c r="C312" s="2" t="s">
        <v>45</v>
      </c>
      <c r="D312" s="4">
        <v>50</v>
      </c>
      <c r="E312" s="4">
        <v>35</v>
      </c>
      <c r="F312" s="2" t="s">
        <v>872</v>
      </c>
      <c r="G312" s="2" t="s">
        <v>940</v>
      </c>
      <c r="H312" s="2" t="s">
        <v>872</v>
      </c>
      <c r="I312" s="2" t="s">
        <v>940</v>
      </c>
      <c r="J312" s="2" t="s">
        <v>872</v>
      </c>
      <c r="K312" s="2" t="s">
        <v>872</v>
      </c>
      <c r="L312" s="2" t="s">
        <v>872</v>
      </c>
      <c r="M312" s="2" t="s">
        <v>873</v>
      </c>
      <c r="N312" s="2" t="s">
        <v>872</v>
      </c>
    </row>
    <row r="313" spans="1:14" ht="13.5" thickBot="1" x14ac:dyDescent="0.25">
      <c r="A313" s="2" t="s">
        <v>668</v>
      </c>
      <c r="B313" s="72" t="s">
        <v>91</v>
      </c>
      <c r="C313" s="2" t="s">
        <v>45</v>
      </c>
      <c r="D313" s="4">
        <v>17</v>
      </c>
      <c r="E313" s="4">
        <v>25</v>
      </c>
      <c r="F313" s="2" t="s">
        <v>872</v>
      </c>
      <c r="G313" s="2" t="s">
        <v>938</v>
      </c>
      <c r="H313" s="2" t="s">
        <v>872</v>
      </c>
      <c r="I313" s="2" t="s">
        <v>938</v>
      </c>
      <c r="J313" s="2" t="s">
        <v>872</v>
      </c>
      <c r="K313" s="2" t="s">
        <v>872</v>
      </c>
      <c r="L313" s="2" t="s">
        <v>873</v>
      </c>
      <c r="M313" s="2" t="s">
        <v>872</v>
      </c>
      <c r="N313" s="2" t="s">
        <v>872</v>
      </c>
    </row>
    <row r="314" spans="1:14" ht="13.5" thickBot="1" x14ac:dyDescent="0.25">
      <c r="A314" s="2" t="s">
        <v>670</v>
      </c>
      <c r="B314" s="72" t="s">
        <v>113</v>
      </c>
      <c r="C314" s="2" t="s">
        <v>45</v>
      </c>
      <c r="D314" s="4">
        <v>95</v>
      </c>
      <c r="E314" s="4">
        <v>105</v>
      </c>
      <c r="F314" s="2" t="s">
        <v>872</v>
      </c>
      <c r="G314" s="2" t="s">
        <v>955</v>
      </c>
      <c r="H314" s="2" t="s">
        <v>872</v>
      </c>
      <c r="I314" s="2" t="s">
        <v>955</v>
      </c>
      <c r="J314" s="2" t="s">
        <v>872</v>
      </c>
      <c r="K314" s="2" t="s">
        <v>872</v>
      </c>
      <c r="L314" s="2" t="s">
        <v>872</v>
      </c>
      <c r="M314" s="2" t="s">
        <v>873</v>
      </c>
      <c r="N314" s="2" t="s">
        <v>872</v>
      </c>
    </row>
    <row r="315" spans="1:14" ht="13.5" thickBot="1" x14ac:dyDescent="0.25">
      <c r="A315" s="2" t="s">
        <v>672</v>
      </c>
      <c r="B315" s="72" t="s">
        <v>119</v>
      </c>
      <c r="C315" s="2" t="s">
        <v>45</v>
      </c>
      <c r="D315" s="4">
        <v>45</v>
      </c>
      <c r="E315" s="4">
        <v>85</v>
      </c>
      <c r="F315" s="2" t="s">
        <v>872</v>
      </c>
      <c r="G315" s="2" t="s">
        <v>930</v>
      </c>
      <c r="H315" s="2" t="s">
        <v>872</v>
      </c>
      <c r="I315" s="2" t="s">
        <v>930</v>
      </c>
      <c r="J315" s="2" t="s">
        <v>872</v>
      </c>
      <c r="K315" s="2" t="s">
        <v>872</v>
      </c>
      <c r="L315" s="2" t="s">
        <v>873</v>
      </c>
      <c r="M315" s="2" t="s">
        <v>873</v>
      </c>
      <c r="N315" s="2" t="s">
        <v>872</v>
      </c>
    </row>
    <row r="316" spans="1:14" ht="13.5" thickBot="1" x14ac:dyDescent="0.25">
      <c r="A316" s="2" t="s">
        <v>674</v>
      </c>
      <c r="B316" s="72" t="s">
        <v>129</v>
      </c>
      <c r="C316" s="2" t="s">
        <v>45</v>
      </c>
      <c r="D316" s="4">
        <v>35</v>
      </c>
      <c r="E316" s="4">
        <v>31</v>
      </c>
      <c r="F316" s="2" t="s">
        <v>872</v>
      </c>
      <c r="G316" s="2" t="s">
        <v>958</v>
      </c>
      <c r="H316" s="2" t="s">
        <v>872</v>
      </c>
      <c r="I316" s="2" t="s">
        <v>958</v>
      </c>
      <c r="J316" s="2" t="s">
        <v>872</v>
      </c>
      <c r="K316" s="2" t="s">
        <v>872</v>
      </c>
      <c r="L316" s="2" t="s">
        <v>873</v>
      </c>
      <c r="M316" s="2" t="s">
        <v>872</v>
      </c>
      <c r="N316" s="2" t="s">
        <v>872</v>
      </c>
    </row>
    <row r="317" spans="1:14" ht="13.5" thickBot="1" x14ac:dyDescent="0.25">
      <c r="A317" s="2" t="s">
        <v>676</v>
      </c>
      <c r="B317" s="72" t="s">
        <v>141</v>
      </c>
      <c r="C317" s="2" t="s">
        <v>45</v>
      </c>
      <c r="D317" s="4">
        <v>20</v>
      </c>
      <c r="E317" s="4">
        <v>61</v>
      </c>
      <c r="F317" s="2" t="s">
        <v>872</v>
      </c>
      <c r="G317" s="2" t="s">
        <v>939</v>
      </c>
      <c r="H317" s="2" t="s">
        <v>872</v>
      </c>
      <c r="I317" s="2" t="s">
        <v>939</v>
      </c>
      <c r="J317" s="2" t="s">
        <v>872</v>
      </c>
      <c r="K317" s="2" t="s">
        <v>872</v>
      </c>
      <c r="L317" s="2" t="s">
        <v>873</v>
      </c>
      <c r="M317" s="2" t="s">
        <v>873</v>
      </c>
      <c r="N317" s="2" t="s">
        <v>872</v>
      </c>
    </row>
    <row r="318" spans="1:14" ht="13.5" thickBot="1" x14ac:dyDescent="0.25">
      <c r="A318" s="2" t="s">
        <v>678</v>
      </c>
      <c r="B318" s="72" t="s">
        <v>157</v>
      </c>
      <c r="C318" s="2" t="s">
        <v>45</v>
      </c>
      <c r="D318" s="4">
        <v>17</v>
      </c>
      <c r="E318" s="4">
        <v>59</v>
      </c>
      <c r="F318" s="2" t="s">
        <v>872</v>
      </c>
      <c r="G318" s="2" t="s">
        <v>965</v>
      </c>
      <c r="H318" s="2" t="s">
        <v>872</v>
      </c>
      <c r="I318" s="2" t="s">
        <v>927</v>
      </c>
      <c r="J318" s="2" t="s">
        <v>872</v>
      </c>
      <c r="K318" s="2" t="s">
        <v>872</v>
      </c>
      <c r="L318" s="2" t="s">
        <v>873</v>
      </c>
      <c r="M318" s="2" t="s">
        <v>873</v>
      </c>
      <c r="N318" s="2" t="s">
        <v>872</v>
      </c>
    </row>
    <row r="319" spans="1:14" ht="13.5" thickBot="1" x14ac:dyDescent="0.25">
      <c r="A319" s="2" t="s">
        <v>680</v>
      </c>
      <c r="B319" s="72" t="s">
        <v>177</v>
      </c>
      <c r="C319" s="2" t="s">
        <v>45</v>
      </c>
      <c r="D319" s="4">
        <v>19</v>
      </c>
      <c r="E319" s="4">
        <v>33</v>
      </c>
      <c r="F319" s="2" t="s">
        <v>872</v>
      </c>
      <c r="G319" s="2" t="s">
        <v>970</v>
      </c>
      <c r="H319" s="2" t="s">
        <v>872</v>
      </c>
      <c r="I319" s="2" t="s">
        <v>970</v>
      </c>
      <c r="J319" s="2" t="s">
        <v>872</v>
      </c>
      <c r="K319" s="2" t="s">
        <v>872</v>
      </c>
      <c r="L319" s="2" t="s">
        <v>872</v>
      </c>
      <c r="M319" s="2" t="s">
        <v>872</v>
      </c>
      <c r="N319" s="2" t="s">
        <v>872</v>
      </c>
    </row>
    <row r="320" spans="1:14" ht="13.5" thickBot="1" x14ac:dyDescent="0.25">
      <c r="A320" s="2" t="s">
        <v>682</v>
      </c>
      <c r="B320" s="72" t="s">
        <v>181</v>
      </c>
      <c r="C320" s="2" t="s">
        <v>45</v>
      </c>
      <c r="D320" s="4">
        <v>24</v>
      </c>
      <c r="E320" s="4">
        <v>50</v>
      </c>
      <c r="F320" s="2" t="s">
        <v>872</v>
      </c>
      <c r="G320" s="2" t="s">
        <v>971</v>
      </c>
      <c r="H320" s="2" t="s">
        <v>872</v>
      </c>
      <c r="I320" s="2" t="s">
        <v>971</v>
      </c>
      <c r="J320" s="2" t="s">
        <v>872</v>
      </c>
      <c r="K320" s="2" t="s">
        <v>872</v>
      </c>
      <c r="L320" s="2" t="s">
        <v>872</v>
      </c>
      <c r="M320" s="2" t="s">
        <v>873</v>
      </c>
      <c r="N320" s="2" t="s">
        <v>872</v>
      </c>
    </row>
    <row r="321" spans="1:14" ht="13.5" thickBot="1" x14ac:dyDescent="0.25">
      <c r="A321" s="2" t="s">
        <v>684</v>
      </c>
      <c r="B321" s="72" t="s">
        <v>195</v>
      </c>
      <c r="C321" s="2" t="s">
        <v>45</v>
      </c>
      <c r="D321" s="4">
        <v>26</v>
      </c>
      <c r="E321" s="4">
        <v>47</v>
      </c>
      <c r="F321" s="2" t="s">
        <v>872</v>
      </c>
      <c r="G321" s="2" t="s">
        <v>977</v>
      </c>
      <c r="H321" s="2" t="s">
        <v>872</v>
      </c>
      <c r="I321" s="2" t="s">
        <v>958</v>
      </c>
      <c r="J321" s="2" t="s">
        <v>872</v>
      </c>
      <c r="K321" s="2" t="s">
        <v>872</v>
      </c>
      <c r="L321" s="2" t="s">
        <v>872</v>
      </c>
      <c r="M321" s="2" t="s">
        <v>872</v>
      </c>
      <c r="N321" s="2" t="s">
        <v>872</v>
      </c>
    </row>
    <row r="322" spans="1:14" ht="13.5" thickBot="1" x14ac:dyDescent="0.25">
      <c r="A322" s="2" t="s">
        <v>686</v>
      </c>
      <c r="B322" s="72" t="s">
        <v>197</v>
      </c>
      <c r="C322" s="2" t="s">
        <v>45</v>
      </c>
      <c r="D322" s="4">
        <v>13</v>
      </c>
      <c r="E322" s="4">
        <v>52</v>
      </c>
      <c r="F322" s="2" t="s">
        <v>872</v>
      </c>
      <c r="G322" s="2" t="s">
        <v>920</v>
      </c>
      <c r="H322" s="2" t="s">
        <v>872</v>
      </c>
      <c r="I322" s="2" t="s">
        <v>16</v>
      </c>
      <c r="J322" s="2" t="s">
        <v>872</v>
      </c>
      <c r="K322" s="2" t="s">
        <v>872</v>
      </c>
      <c r="L322" s="2" t="s">
        <v>873</v>
      </c>
      <c r="M322" s="2" t="s">
        <v>872</v>
      </c>
      <c r="N322" s="2" t="s">
        <v>872</v>
      </c>
    </row>
    <row r="323" spans="1:14" ht="13.5" thickBot="1" x14ac:dyDescent="0.25">
      <c r="A323" s="2" t="s">
        <v>688</v>
      </c>
      <c r="B323" s="72" t="s">
        <v>207</v>
      </c>
      <c r="C323" s="2" t="s">
        <v>45</v>
      </c>
      <c r="D323" s="4">
        <v>29</v>
      </c>
      <c r="E323" s="4">
        <v>34</v>
      </c>
      <c r="F323" s="2" t="s">
        <v>872</v>
      </c>
      <c r="G323" s="2" t="s">
        <v>981</v>
      </c>
      <c r="H323" s="2" t="s">
        <v>872</v>
      </c>
      <c r="I323" s="2" t="s">
        <v>981</v>
      </c>
      <c r="J323" s="2" t="s">
        <v>872</v>
      </c>
      <c r="K323" s="2" t="s">
        <v>872</v>
      </c>
      <c r="L323" s="2" t="s">
        <v>872</v>
      </c>
      <c r="M323" s="2" t="s">
        <v>872</v>
      </c>
      <c r="N323" s="2" t="s">
        <v>872</v>
      </c>
    </row>
    <row r="324" spans="1:14" ht="13.5" thickBot="1" x14ac:dyDescent="0.25">
      <c r="A324" s="2" t="s">
        <v>690</v>
      </c>
      <c r="B324" s="72" t="s">
        <v>226</v>
      </c>
      <c r="C324" s="2" t="s">
        <v>45</v>
      </c>
      <c r="D324" s="4">
        <v>18</v>
      </c>
      <c r="E324" s="4">
        <v>35</v>
      </c>
      <c r="F324" s="2" t="s">
        <v>872</v>
      </c>
      <c r="G324" s="2" t="s">
        <v>918</v>
      </c>
      <c r="H324" s="2" t="s">
        <v>872</v>
      </c>
      <c r="I324" s="2" t="s">
        <v>918</v>
      </c>
      <c r="J324" s="2" t="s">
        <v>872</v>
      </c>
      <c r="K324" s="2" t="s">
        <v>872</v>
      </c>
      <c r="L324" s="2" t="s">
        <v>872</v>
      </c>
      <c r="M324" s="2" t="s">
        <v>872</v>
      </c>
      <c r="N324" s="2" t="s">
        <v>872</v>
      </c>
    </row>
    <row r="325" spans="1:14" ht="13.5" thickBot="1" x14ac:dyDescent="0.25">
      <c r="A325" s="2" t="s">
        <v>692</v>
      </c>
      <c r="B325" s="72" t="s">
        <v>238</v>
      </c>
      <c r="C325" s="2" t="s">
        <v>45</v>
      </c>
      <c r="D325" s="4">
        <v>23</v>
      </c>
      <c r="E325" s="4">
        <v>38</v>
      </c>
      <c r="F325" s="2" t="s">
        <v>872</v>
      </c>
      <c r="G325" s="2" t="s">
        <v>918</v>
      </c>
      <c r="H325" s="2" t="s">
        <v>872</v>
      </c>
      <c r="I325" s="2" t="s">
        <v>918</v>
      </c>
      <c r="J325" s="2" t="s">
        <v>872</v>
      </c>
      <c r="K325" s="2" t="s">
        <v>872</v>
      </c>
      <c r="L325" s="2" t="s">
        <v>873</v>
      </c>
      <c r="M325" s="2" t="s">
        <v>872</v>
      </c>
      <c r="N325" s="2" t="s">
        <v>872</v>
      </c>
    </row>
    <row r="326" spans="1:14" ht="13.5" thickBot="1" x14ac:dyDescent="0.25">
      <c r="A326" s="2" t="s">
        <v>694</v>
      </c>
      <c r="B326" s="72" t="s">
        <v>250</v>
      </c>
      <c r="C326" s="2" t="s">
        <v>45</v>
      </c>
      <c r="D326" s="4">
        <v>19</v>
      </c>
      <c r="E326" s="4">
        <v>34</v>
      </c>
      <c r="F326" s="2" t="s">
        <v>872</v>
      </c>
      <c r="G326" s="2" t="s">
        <v>994</v>
      </c>
      <c r="H326" s="2" t="s">
        <v>872</v>
      </c>
      <c r="I326" s="2" t="s">
        <v>995</v>
      </c>
      <c r="J326" s="2" t="s">
        <v>872</v>
      </c>
      <c r="K326" s="2" t="s">
        <v>872</v>
      </c>
      <c r="L326" s="2" t="s">
        <v>872</v>
      </c>
      <c r="M326" s="2" t="s">
        <v>873</v>
      </c>
      <c r="N326" s="2" t="s">
        <v>872</v>
      </c>
    </row>
    <row r="327" spans="1:14" ht="13.5" thickBot="1" x14ac:dyDescent="0.25">
      <c r="A327" s="2" t="s">
        <v>696</v>
      </c>
      <c r="B327" s="72" t="s">
        <v>252</v>
      </c>
      <c r="C327" s="2" t="s">
        <v>45</v>
      </c>
      <c r="D327" s="4">
        <v>8</v>
      </c>
      <c r="E327" s="4">
        <v>14</v>
      </c>
      <c r="F327" s="2" t="s">
        <v>872</v>
      </c>
      <c r="G327" s="2" t="s">
        <v>940</v>
      </c>
      <c r="H327" s="2" t="s">
        <v>872</v>
      </c>
      <c r="I327" s="2" t="s">
        <v>996</v>
      </c>
      <c r="J327" s="2" t="s">
        <v>872</v>
      </c>
      <c r="K327" s="2" t="s">
        <v>872</v>
      </c>
      <c r="L327" s="2" t="s">
        <v>873</v>
      </c>
      <c r="M327" s="2" t="s">
        <v>872</v>
      </c>
      <c r="N327" s="2" t="s">
        <v>872</v>
      </c>
    </row>
    <row r="328" spans="1:14" ht="13.5" thickBot="1" x14ac:dyDescent="0.25">
      <c r="A328" s="2" t="s">
        <v>698</v>
      </c>
      <c r="B328" s="72" t="s">
        <v>312</v>
      </c>
      <c r="C328" s="2" t="s">
        <v>45</v>
      </c>
      <c r="D328" s="4">
        <v>9</v>
      </c>
      <c r="E328" s="4">
        <v>15</v>
      </c>
      <c r="F328" s="2" t="s">
        <v>872</v>
      </c>
      <c r="G328" s="2" t="s">
        <v>1011</v>
      </c>
      <c r="H328" s="2" t="s">
        <v>872</v>
      </c>
      <c r="I328" s="2" t="s">
        <v>1011</v>
      </c>
      <c r="J328" s="2" t="s">
        <v>872</v>
      </c>
      <c r="K328" s="2" t="s">
        <v>872</v>
      </c>
      <c r="L328" s="2" t="s">
        <v>873</v>
      </c>
      <c r="M328" s="2" t="s">
        <v>872</v>
      </c>
      <c r="N328" s="2" t="s">
        <v>872</v>
      </c>
    </row>
    <row r="329" spans="1:14" ht="13.5" thickBot="1" x14ac:dyDescent="0.25">
      <c r="A329" s="2" t="s">
        <v>700</v>
      </c>
      <c r="B329" s="72" t="s">
        <v>320</v>
      </c>
      <c r="C329" s="2" t="s">
        <v>45</v>
      </c>
      <c r="D329" s="4">
        <v>36</v>
      </c>
      <c r="E329" s="4">
        <v>28</v>
      </c>
      <c r="F329" s="2" t="s">
        <v>872</v>
      </c>
      <c r="G329" s="2" t="s">
        <v>1008</v>
      </c>
      <c r="H329" s="2" t="s">
        <v>872</v>
      </c>
      <c r="I329" s="2" t="s">
        <v>1008</v>
      </c>
      <c r="J329" s="2" t="s">
        <v>872</v>
      </c>
      <c r="K329" s="2" t="s">
        <v>872</v>
      </c>
      <c r="L329" s="2" t="s">
        <v>873</v>
      </c>
      <c r="M329" s="2" t="s">
        <v>872</v>
      </c>
      <c r="N329" s="2" t="s">
        <v>872</v>
      </c>
    </row>
    <row r="330" spans="1:14" ht="13.5" thickBot="1" x14ac:dyDescent="0.25">
      <c r="A330" s="2" t="s">
        <v>702</v>
      </c>
      <c r="B330" s="72" t="s">
        <v>340</v>
      </c>
      <c r="C330" s="2" t="s">
        <v>45</v>
      </c>
      <c r="D330" s="4">
        <v>28</v>
      </c>
      <c r="E330" s="4">
        <v>79</v>
      </c>
      <c r="F330" s="2" t="s">
        <v>872</v>
      </c>
      <c r="G330" s="2" t="s">
        <v>1019</v>
      </c>
      <c r="H330" s="2" t="s">
        <v>872</v>
      </c>
      <c r="I330" s="2" t="s">
        <v>1019</v>
      </c>
      <c r="J330" s="2" t="s">
        <v>872</v>
      </c>
      <c r="K330" s="2" t="s">
        <v>872</v>
      </c>
      <c r="L330" s="2" t="s">
        <v>873</v>
      </c>
      <c r="M330" s="2" t="s">
        <v>872</v>
      </c>
      <c r="N330" s="2" t="s">
        <v>872</v>
      </c>
    </row>
    <row r="331" spans="1:14" ht="13.5" thickBot="1" x14ac:dyDescent="0.25">
      <c r="A331" s="2" t="s">
        <v>704</v>
      </c>
      <c r="B331" s="72" t="s">
        <v>400</v>
      </c>
      <c r="C331" s="2" t="s">
        <v>45</v>
      </c>
      <c r="D331" s="4">
        <v>23</v>
      </c>
      <c r="E331" s="4">
        <v>63</v>
      </c>
      <c r="F331" s="2" t="s">
        <v>872</v>
      </c>
      <c r="G331" s="2" t="s">
        <v>1036</v>
      </c>
      <c r="H331" s="2" t="s">
        <v>872</v>
      </c>
      <c r="I331" s="2" t="s">
        <v>1037</v>
      </c>
      <c r="J331" s="2" t="s">
        <v>872</v>
      </c>
      <c r="K331" s="2" t="s">
        <v>872</v>
      </c>
      <c r="L331" s="2" t="s">
        <v>873</v>
      </c>
      <c r="M331" s="2" t="s">
        <v>872</v>
      </c>
      <c r="N331" s="2" t="s">
        <v>872</v>
      </c>
    </row>
    <row r="332" spans="1:14" ht="13.5" thickBot="1" x14ac:dyDescent="0.25">
      <c r="A332" s="2" t="s">
        <v>706</v>
      </c>
      <c r="B332" s="72" t="s">
        <v>444</v>
      </c>
      <c r="C332" s="2" t="s">
        <v>45</v>
      </c>
      <c r="D332" s="4">
        <v>18</v>
      </c>
      <c r="E332" s="4">
        <v>30</v>
      </c>
      <c r="F332" s="2" t="s">
        <v>872</v>
      </c>
      <c r="G332" s="2" t="s">
        <v>915</v>
      </c>
      <c r="H332" s="2" t="s">
        <v>872</v>
      </c>
      <c r="I332" s="2" t="s">
        <v>915</v>
      </c>
      <c r="J332" s="2" t="s">
        <v>872</v>
      </c>
      <c r="K332" s="2" t="s">
        <v>872</v>
      </c>
      <c r="L332" s="2" t="s">
        <v>873</v>
      </c>
      <c r="M332" s="2" t="s">
        <v>873</v>
      </c>
      <c r="N332" s="2" t="s">
        <v>872</v>
      </c>
    </row>
    <row r="333" spans="1:14" ht="13.5" thickBot="1" x14ac:dyDescent="0.25">
      <c r="A333" s="2" t="s">
        <v>708</v>
      </c>
      <c r="B333" s="72" t="s">
        <v>450</v>
      </c>
      <c r="C333" s="2" t="s">
        <v>45</v>
      </c>
      <c r="D333" s="4">
        <v>6</v>
      </c>
      <c r="E333" s="4">
        <v>12</v>
      </c>
      <c r="F333" s="2" t="s">
        <v>872</v>
      </c>
      <c r="G333" s="2" t="s">
        <v>1048</v>
      </c>
      <c r="H333" s="2" t="s">
        <v>872</v>
      </c>
      <c r="I333" s="2" t="s">
        <v>1048</v>
      </c>
      <c r="J333" s="2" t="s">
        <v>872</v>
      </c>
      <c r="K333" s="2" t="s">
        <v>872</v>
      </c>
      <c r="L333" s="2" t="s">
        <v>873</v>
      </c>
      <c r="M333" s="2" t="s">
        <v>872</v>
      </c>
      <c r="N333" s="2" t="s">
        <v>872</v>
      </c>
    </row>
    <row r="334" spans="1:14" ht="13.5" thickBot="1" x14ac:dyDescent="0.25">
      <c r="A334" s="2" t="s">
        <v>710</v>
      </c>
      <c r="B334" s="72" t="s">
        <v>462</v>
      </c>
      <c r="C334" s="2" t="s">
        <v>45</v>
      </c>
      <c r="D334" s="4">
        <v>50</v>
      </c>
      <c r="E334" s="4">
        <v>64</v>
      </c>
      <c r="F334" s="2" t="s">
        <v>872</v>
      </c>
      <c r="G334" s="2" t="s">
        <v>973</v>
      </c>
      <c r="H334" s="2" t="s">
        <v>872</v>
      </c>
      <c r="I334" s="2" t="s">
        <v>973</v>
      </c>
      <c r="J334" s="2" t="s">
        <v>872</v>
      </c>
      <c r="K334" s="2" t="s">
        <v>872</v>
      </c>
      <c r="L334" s="2" t="s">
        <v>872</v>
      </c>
      <c r="M334" s="2" t="s">
        <v>872</v>
      </c>
      <c r="N334" s="2" t="s">
        <v>872</v>
      </c>
    </row>
    <row r="335" spans="1:14" ht="13.5" thickBot="1" x14ac:dyDescent="0.25">
      <c r="A335" s="2" t="s">
        <v>712</v>
      </c>
      <c r="B335" s="72" t="s">
        <v>479</v>
      </c>
      <c r="C335" s="2" t="s">
        <v>45</v>
      </c>
      <c r="D335" s="4">
        <v>12</v>
      </c>
      <c r="E335" s="4">
        <v>22</v>
      </c>
      <c r="F335" s="2" t="s">
        <v>872</v>
      </c>
      <c r="G335" s="2" t="s">
        <v>983</v>
      </c>
      <c r="H335" s="2" t="s">
        <v>872</v>
      </c>
      <c r="I335" s="2" t="s">
        <v>1052</v>
      </c>
      <c r="J335" s="2" t="s">
        <v>872</v>
      </c>
      <c r="K335" s="2" t="s">
        <v>872</v>
      </c>
      <c r="L335" s="2" t="s">
        <v>872</v>
      </c>
      <c r="M335" s="2" t="s">
        <v>872</v>
      </c>
      <c r="N335" s="2" t="s">
        <v>872</v>
      </c>
    </row>
    <row r="336" spans="1:14" ht="13.5" thickBot="1" x14ac:dyDescent="0.25">
      <c r="A336" s="2" t="s">
        <v>714</v>
      </c>
      <c r="B336" s="72" t="s">
        <v>499</v>
      </c>
      <c r="C336" s="2" t="s">
        <v>45</v>
      </c>
      <c r="D336" s="4">
        <v>21</v>
      </c>
      <c r="E336" s="4">
        <v>44</v>
      </c>
      <c r="F336" s="2" t="s">
        <v>872</v>
      </c>
      <c r="G336" s="2" t="s">
        <v>1056</v>
      </c>
      <c r="H336" s="2" t="s">
        <v>872</v>
      </c>
      <c r="I336" s="2" t="s">
        <v>1056</v>
      </c>
      <c r="J336" s="2" t="s">
        <v>872</v>
      </c>
      <c r="K336" s="2" t="s">
        <v>872</v>
      </c>
      <c r="L336" s="2" t="s">
        <v>873</v>
      </c>
      <c r="M336" s="2" t="s">
        <v>873</v>
      </c>
      <c r="N336" s="2" t="s">
        <v>872</v>
      </c>
    </row>
    <row r="337" spans="1:14" ht="13.5" thickBot="1" x14ac:dyDescent="0.25">
      <c r="A337" s="2" t="s">
        <v>716</v>
      </c>
      <c r="B337" s="72" t="s">
        <v>555</v>
      </c>
      <c r="C337" s="2" t="s">
        <v>45</v>
      </c>
      <c r="D337" s="4">
        <v>48</v>
      </c>
      <c r="E337" s="4">
        <v>34</v>
      </c>
      <c r="F337" s="2" t="s">
        <v>872</v>
      </c>
      <c r="G337" s="2" t="s">
        <v>958</v>
      </c>
      <c r="H337" s="2" t="s">
        <v>872</v>
      </c>
      <c r="I337" s="2" t="s">
        <v>958</v>
      </c>
      <c r="J337" s="2" t="s">
        <v>872</v>
      </c>
      <c r="K337" s="2" t="s">
        <v>872</v>
      </c>
      <c r="L337" s="2" t="s">
        <v>872</v>
      </c>
      <c r="M337" s="2" t="s">
        <v>872</v>
      </c>
      <c r="N337" s="2" t="s">
        <v>872</v>
      </c>
    </row>
    <row r="338" spans="1:14" ht="13.5" thickBot="1" x14ac:dyDescent="0.25">
      <c r="A338" s="2" t="s">
        <v>718</v>
      </c>
      <c r="B338" s="72" t="s">
        <v>561</v>
      </c>
      <c r="C338" s="2" t="s">
        <v>45</v>
      </c>
      <c r="D338" s="4">
        <v>12</v>
      </c>
      <c r="E338" s="4">
        <v>21</v>
      </c>
      <c r="F338" s="2" t="s">
        <v>872</v>
      </c>
      <c r="G338" s="2" t="s">
        <v>923</v>
      </c>
      <c r="H338" s="2" t="s">
        <v>872</v>
      </c>
      <c r="I338" s="2" t="s">
        <v>1069</v>
      </c>
      <c r="J338" s="2" t="s">
        <v>872</v>
      </c>
      <c r="K338" s="2" t="s">
        <v>872</v>
      </c>
      <c r="L338" s="2" t="s">
        <v>872</v>
      </c>
      <c r="M338" s="2" t="s">
        <v>872</v>
      </c>
      <c r="N338" s="2" t="s">
        <v>872</v>
      </c>
    </row>
    <row r="339" spans="1:14" ht="13.5" thickBot="1" x14ac:dyDescent="0.25">
      <c r="A339" s="2" t="s">
        <v>720</v>
      </c>
      <c r="B339" s="72" t="s">
        <v>567</v>
      </c>
      <c r="C339" s="2" t="s">
        <v>45</v>
      </c>
      <c r="D339" s="4">
        <v>45</v>
      </c>
      <c r="E339" s="4">
        <v>65</v>
      </c>
      <c r="F339" s="2" t="s">
        <v>872</v>
      </c>
      <c r="G339" s="2" t="s">
        <v>1070</v>
      </c>
      <c r="H339" s="2" t="s">
        <v>872</v>
      </c>
      <c r="I339" s="2" t="s">
        <v>1070</v>
      </c>
      <c r="J339" s="2" t="s">
        <v>872</v>
      </c>
      <c r="K339" s="2" t="s">
        <v>872</v>
      </c>
      <c r="L339" s="2" t="s">
        <v>872</v>
      </c>
      <c r="M339" s="2" t="s">
        <v>873</v>
      </c>
      <c r="N339" s="2" t="s">
        <v>872</v>
      </c>
    </row>
    <row r="340" spans="1:14" ht="13.5" thickBot="1" x14ac:dyDescent="0.25">
      <c r="A340" s="2" t="s">
        <v>722</v>
      </c>
      <c r="B340" s="72" t="s">
        <v>597</v>
      </c>
      <c r="C340" s="2" t="s">
        <v>45</v>
      </c>
      <c r="D340" s="4">
        <v>32</v>
      </c>
      <c r="E340" s="4">
        <v>56</v>
      </c>
      <c r="F340" s="2" t="s">
        <v>872</v>
      </c>
      <c r="G340" s="2" t="s">
        <v>927</v>
      </c>
      <c r="H340" s="2" t="s">
        <v>872</v>
      </c>
      <c r="I340" s="2" t="s">
        <v>958</v>
      </c>
      <c r="J340" s="2" t="s">
        <v>872</v>
      </c>
      <c r="K340" s="2" t="s">
        <v>872</v>
      </c>
      <c r="L340" s="2" t="s">
        <v>873</v>
      </c>
      <c r="M340" s="2" t="s">
        <v>872</v>
      </c>
      <c r="N340" s="2" t="s">
        <v>872</v>
      </c>
    </row>
    <row r="341" spans="1:14" ht="13.5" thickBot="1" x14ac:dyDescent="0.25">
      <c r="A341" s="2" t="s">
        <v>724</v>
      </c>
      <c r="B341" s="72" t="s">
        <v>607</v>
      </c>
      <c r="C341" s="2" t="s">
        <v>45</v>
      </c>
      <c r="D341" s="4">
        <v>57</v>
      </c>
      <c r="E341" s="4">
        <v>97</v>
      </c>
      <c r="F341" s="2" t="s">
        <v>872</v>
      </c>
      <c r="G341" s="2" t="s">
        <v>950</v>
      </c>
      <c r="H341" s="2" t="s">
        <v>872</v>
      </c>
      <c r="I341" s="2" t="s">
        <v>950</v>
      </c>
      <c r="J341" s="2" t="s">
        <v>872</v>
      </c>
      <c r="K341" s="2" t="s">
        <v>872</v>
      </c>
      <c r="L341" s="2" t="s">
        <v>872</v>
      </c>
      <c r="M341" s="2" t="s">
        <v>873</v>
      </c>
      <c r="N341" s="2" t="s">
        <v>872</v>
      </c>
    </row>
    <row r="342" spans="1:14" ht="13.5" thickBot="1" x14ac:dyDescent="0.25">
      <c r="A342" s="2" t="s">
        <v>726</v>
      </c>
      <c r="B342" s="72" t="s">
        <v>635</v>
      </c>
      <c r="C342" s="2" t="s">
        <v>45</v>
      </c>
      <c r="D342" s="4">
        <v>28</v>
      </c>
      <c r="E342" s="4">
        <v>46</v>
      </c>
      <c r="F342" s="2" t="s">
        <v>872</v>
      </c>
      <c r="G342" s="2" t="s">
        <v>1082</v>
      </c>
      <c r="H342" s="2" t="s">
        <v>872</v>
      </c>
      <c r="I342" s="2" t="s">
        <v>1082</v>
      </c>
      <c r="J342" s="2" t="s">
        <v>872</v>
      </c>
      <c r="K342" s="2" t="s">
        <v>872</v>
      </c>
      <c r="L342" s="2" t="s">
        <v>872</v>
      </c>
      <c r="M342" s="2" t="s">
        <v>872</v>
      </c>
      <c r="N342" s="2" t="s">
        <v>872</v>
      </c>
    </row>
    <row r="343" spans="1:14" ht="13.5" thickBot="1" x14ac:dyDescent="0.25">
      <c r="A343" s="2" t="s">
        <v>728</v>
      </c>
      <c r="B343" s="72" t="s">
        <v>661</v>
      </c>
      <c r="C343" s="2" t="s">
        <v>45</v>
      </c>
      <c r="D343" s="77">
        <v>28</v>
      </c>
      <c r="E343" s="77">
        <v>34</v>
      </c>
      <c r="F343" s="2" t="s">
        <v>872</v>
      </c>
      <c r="G343" s="2" t="s">
        <v>940</v>
      </c>
      <c r="H343" s="2" t="s">
        <v>872</v>
      </c>
      <c r="I343" s="2" t="s">
        <v>940</v>
      </c>
      <c r="J343" s="2" t="s">
        <v>872</v>
      </c>
      <c r="K343" s="2" t="s">
        <v>872</v>
      </c>
      <c r="L343" s="2" t="s">
        <v>872</v>
      </c>
      <c r="M343" s="2" t="s">
        <v>872</v>
      </c>
      <c r="N343" s="2" t="s">
        <v>872</v>
      </c>
    </row>
    <row r="344" spans="1:14" ht="13.5" thickBot="1" x14ac:dyDescent="0.25">
      <c r="A344" s="2" t="s">
        <v>730</v>
      </c>
      <c r="B344" s="72" t="s">
        <v>663</v>
      </c>
      <c r="C344" s="2" t="s">
        <v>45</v>
      </c>
      <c r="D344" s="4">
        <v>8</v>
      </c>
      <c r="E344" s="4">
        <v>17</v>
      </c>
      <c r="F344" s="2" t="s">
        <v>872</v>
      </c>
      <c r="G344" s="2" t="s">
        <v>1011</v>
      </c>
      <c r="H344" s="2" t="s">
        <v>872</v>
      </c>
      <c r="I344" s="2" t="s">
        <v>1011</v>
      </c>
      <c r="J344" s="2" t="s">
        <v>872</v>
      </c>
      <c r="K344" s="2" t="s">
        <v>872</v>
      </c>
      <c r="L344" s="2" t="s">
        <v>873</v>
      </c>
      <c r="M344" s="2" t="s">
        <v>872</v>
      </c>
      <c r="N344" s="2" t="s">
        <v>872</v>
      </c>
    </row>
    <row r="345" spans="1:14" ht="13.5" thickBot="1" x14ac:dyDescent="0.25">
      <c r="A345" s="2" t="s">
        <v>732</v>
      </c>
      <c r="B345" s="72" t="s">
        <v>667</v>
      </c>
      <c r="C345" s="2" t="s">
        <v>45</v>
      </c>
      <c r="D345" s="4">
        <v>27</v>
      </c>
      <c r="E345" s="4">
        <v>38</v>
      </c>
      <c r="F345" s="2" t="s">
        <v>872</v>
      </c>
      <c r="G345" s="2" t="s">
        <v>958</v>
      </c>
      <c r="H345" s="2" t="s">
        <v>872</v>
      </c>
      <c r="I345" s="2" t="s">
        <v>1085</v>
      </c>
      <c r="J345" s="2" t="s">
        <v>872</v>
      </c>
      <c r="K345" s="2" t="s">
        <v>872</v>
      </c>
      <c r="L345" s="2" t="s">
        <v>873</v>
      </c>
      <c r="M345" s="2" t="s">
        <v>872</v>
      </c>
      <c r="N345" s="2" t="s">
        <v>872</v>
      </c>
    </row>
    <row r="346" spans="1:14" ht="13.5" thickBot="1" x14ac:dyDescent="0.25">
      <c r="A346" s="2" t="s">
        <v>734</v>
      </c>
      <c r="B346" s="72" t="s">
        <v>687</v>
      </c>
      <c r="C346" s="2" t="s">
        <v>45</v>
      </c>
      <c r="D346" s="4">
        <v>22</v>
      </c>
      <c r="E346" s="4">
        <v>43</v>
      </c>
      <c r="F346" s="2" t="s">
        <v>872</v>
      </c>
      <c r="G346" s="2" t="s">
        <v>915</v>
      </c>
      <c r="H346" s="2" t="s">
        <v>872</v>
      </c>
      <c r="I346" s="2" t="s">
        <v>915</v>
      </c>
      <c r="J346" s="2" t="s">
        <v>872</v>
      </c>
      <c r="K346" s="2" t="s">
        <v>872</v>
      </c>
      <c r="L346" s="2" t="s">
        <v>872</v>
      </c>
      <c r="M346" s="2" t="s">
        <v>873</v>
      </c>
      <c r="N346" s="2" t="s">
        <v>872</v>
      </c>
    </row>
    <row r="347" spans="1:14" ht="13.5" thickBot="1" x14ac:dyDescent="0.25">
      <c r="A347" s="2" t="s">
        <v>736</v>
      </c>
      <c r="B347" s="72" t="s">
        <v>711</v>
      </c>
      <c r="C347" s="2" t="s">
        <v>45</v>
      </c>
      <c r="D347" s="4">
        <v>13</v>
      </c>
      <c r="E347" s="4">
        <v>22</v>
      </c>
      <c r="F347" s="2" t="s">
        <v>872</v>
      </c>
      <c r="G347" s="2" t="s">
        <v>937</v>
      </c>
      <c r="H347" s="2" t="s">
        <v>872</v>
      </c>
      <c r="I347" s="2" t="s">
        <v>937</v>
      </c>
      <c r="J347" s="2" t="s">
        <v>873</v>
      </c>
      <c r="K347" s="2" t="s">
        <v>872</v>
      </c>
      <c r="L347" s="2" t="s">
        <v>873</v>
      </c>
      <c r="M347" s="2" t="s">
        <v>872</v>
      </c>
      <c r="N347" s="2" t="s">
        <v>872</v>
      </c>
    </row>
    <row r="348" spans="1:14" ht="13.5" thickBot="1" x14ac:dyDescent="0.25">
      <c r="A348" s="2" t="s">
        <v>738</v>
      </c>
      <c r="B348" s="72" t="s">
        <v>721</v>
      </c>
      <c r="C348" s="2" t="s">
        <v>45</v>
      </c>
      <c r="D348" s="4">
        <v>9</v>
      </c>
      <c r="E348" s="4">
        <v>16</v>
      </c>
      <c r="F348" s="2" t="s">
        <v>872</v>
      </c>
      <c r="G348" s="2" t="s">
        <v>927</v>
      </c>
      <c r="H348" s="2" t="s">
        <v>872</v>
      </c>
      <c r="I348" s="2" t="s">
        <v>927</v>
      </c>
      <c r="J348" s="2" t="s">
        <v>872</v>
      </c>
      <c r="K348" s="2" t="s">
        <v>872</v>
      </c>
      <c r="L348" s="2" t="s">
        <v>873</v>
      </c>
      <c r="M348" s="2" t="s">
        <v>872</v>
      </c>
      <c r="N348" s="2" t="s">
        <v>872</v>
      </c>
    </row>
    <row r="349" spans="1:14" ht="13.5" thickBot="1" x14ac:dyDescent="0.25">
      <c r="A349" s="2" t="s">
        <v>740</v>
      </c>
      <c r="B349" s="72" t="s">
        <v>739</v>
      </c>
      <c r="C349" s="2" t="s">
        <v>45</v>
      </c>
      <c r="D349" s="4">
        <v>31</v>
      </c>
      <c r="E349" s="4">
        <v>94</v>
      </c>
      <c r="F349" s="2" t="s">
        <v>872</v>
      </c>
      <c r="G349" s="2" t="s">
        <v>927</v>
      </c>
      <c r="H349" s="2" t="s">
        <v>872</v>
      </c>
      <c r="I349" s="2" t="s">
        <v>927</v>
      </c>
      <c r="J349" s="2" t="s">
        <v>872</v>
      </c>
      <c r="K349" s="2" t="s">
        <v>872</v>
      </c>
      <c r="L349" s="2" t="s">
        <v>873</v>
      </c>
      <c r="M349" s="2" t="s">
        <v>872</v>
      </c>
      <c r="N349" s="2" t="s">
        <v>872</v>
      </c>
    </row>
    <row r="350" spans="1:14" ht="13.5" thickBot="1" x14ac:dyDescent="0.25">
      <c r="A350" s="2" t="s">
        <v>742</v>
      </c>
      <c r="B350" s="72" t="s">
        <v>784</v>
      </c>
      <c r="C350" s="2" t="s">
        <v>45</v>
      </c>
      <c r="D350" s="4">
        <v>28</v>
      </c>
      <c r="E350" s="4">
        <v>93</v>
      </c>
      <c r="F350" s="2" t="s">
        <v>872</v>
      </c>
      <c r="G350" s="2" t="s">
        <v>939</v>
      </c>
      <c r="H350" s="2" t="s">
        <v>872</v>
      </c>
      <c r="I350" s="2" t="s">
        <v>939</v>
      </c>
      <c r="J350" s="2" t="s">
        <v>872</v>
      </c>
      <c r="K350" s="2" t="s">
        <v>872</v>
      </c>
      <c r="L350" s="2" t="s">
        <v>873</v>
      </c>
      <c r="M350" s="2" t="s">
        <v>872</v>
      </c>
      <c r="N350" s="2" t="s">
        <v>872</v>
      </c>
    </row>
    <row r="351" spans="1:14" ht="13.5" thickBot="1" x14ac:dyDescent="0.25">
      <c r="A351" s="2" t="s">
        <v>744</v>
      </c>
      <c r="B351" s="72" t="s">
        <v>826</v>
      </c>
      <c r="C351" s="2" t="s">
        <v>45</v>
      </c>
      <c r="D351" s="4">
        <v>13</v>
      </c>
      <c r="E351" s="4">
        <v>21</v>
      </c>
      <c r="F351" s="2" t="s">
        <v>872</v>
      </c>
      <c r="G351" s="2" t="s">
        <v>1121</v>
      </c>
      <c r="H351" s="2" t="s">
        <v>872</v>
      </c>
      <c r="I351" s="2" t="s">
        <v>1121</v>
      </c>
      <c r="J351" s="2" t="s">
        <v>872</v>
      </c>
      <c r="K351" s="2" t="s">
        <v>872</v>
      </c>
      <c r="L351" s="2" t="s">
        <v>872</v>
      </c>
      <c r="M351" s="2" t="s">
        <v>872</v>
      </c>
      <c r="N351" s="2" t="s">
        <v>872</v>
      </c>
    </row>
    <row r="352" spans="1:14" ht="13.5" thickBot="1" x14ac:dyDescent="0.25">
      <c r="A352" s="2" t="s">
        <v>747</v>
      </c>
      <c r="B352" s="72" t="s">
        <v>58</v>
      </c>
      <c r="C352" s="2" t="s">
        <v>60</v>
      </c>
      <c r="D352" s="4">
        <v>148</v>
      </c>
      <c r="E352" s="4">
        <v>245</v>
      </c>
      <c r="F352" s="2" t="s">
        <v>872</v>
      </c>
      <c r="G352" s="2" t="s">
        <v>930</v>
      </c>
      <c r="H352" s="2" t="s">
        <v>872</v>
      </c>
      <c r="I352" s="2" t="s">
        <v>931</v>
      </c>
      <c r="J352" s="2" t="s">
        <v>872</v>
      </c>
      <c r="K352" s="2" t="s">
        <v>872</v>
      </c>
      <c r="L352" s="2" t="s">
        <v>872</v>
      </c>
      <c r="M352" s="2" t="s">
        <v>873</v>
      </c>
      <c r="N352" s="2" t="s">
        <v>872</v>
      </c>
    </row>
    <row r="353" spans="1:14" ht="13.5" thickBot="1" x14ac:dyDescent="0.25">
      <c r="A353" s="2" t="s">
        <v>749</v>
      </c>
      <c r="B353" s="72" t="s">
        <v>85</v>
      </c>
      <c r="C353" s="2" t="s">
        <v>60</v>
      </c>
      <c r="D353" s="4">
        <v>83</v>
      </c>
      <c r="E353" s="4">
        <v>126</v>
      </c>
      <c r="F353" s="2" t="s">
        <v>872</v>
      </c>
      <c r="G353" s="2" t="s">
        <v>943</v>
      </c>
      <c r="H353" s="2" t="s">
        <v>872</v>
      </c>
      <c r="I353" s="2" t="s">
        <v>943</v>
      </c>
      <c r="J353" s="2" t="s">
        <v>872</v>
      </c>
      <c r="K353" s="2" t="s">
        <v>872</v>
      </c>
      <c r="L353" s="2" t="s">
        <v>873</v>
      </c>
      <c r="M353" s="2" t="s">
        <v>872</v>
      </c>
      <c r="N353" s="2" t="s">
        <v>872</v>
      </c>
    </row>
    <row r="354" spans="1:14" ht="13.5" thickBot="1" x14ac:dyDescent="0.25">
      <c r="A354" s="2" t="s">
        <v>751</v>
      </c>
      <c r="B354" s="72" t="s">
        <v>147</v>
      </c>
      <c r="C354" s="2" t="s">
        <v>60</v>
      </c>
      <c r="D354" s="4">
        <v>97</v>
      </c>
      <c r="E354" s="4">
        <v>118</v>
      </c>
      <c r="F354" s="2" t="s">
        <v>872</v>
      </c>
      <c r="G354" s="2" t="s">
        <v>924</v>
      </c>
      <c r="H354" s="2" t="s">
        <v>872</v>
      </c>
      <c r="I354" s="2" t="s">
        <v>924</v>
      </c>
      <c r="J354" s="2" t="s">
        <v>872</v>
      </c>
      <c r="K354" s="2" t="s">
        <v>872</v>
      </c>
      <c r="L354" s="2" t="s">
        <v>872</v>
      </c>
      <c r="M354" s="2" t="s">
        <v>873</v>
      </c>
      <c r="N354" s="2" t="s">
        <v>872</v>
      </c>
    </row>
    <row r="355" spans="1:14" ht="13.5" thickBot="1" x14ac:dyDescent="0.25">
      <c r="A355" s="2" t="s">
        <v>753</v>
      </c>
      <c r="B355" s="72" t="s">
        <v>149</v>
      </c>
      <c r="C355" s="2" t="s">
        <v>60</v>
      </c>
      <c r="D355" s="4">
        <v>168</v>
      </c>
      <c r="E355" s="4">
        <v>365</v>
      </c>
      <c r="F355" s="2" t="s">
        <v>872</v>
      </c>
      <c r="G355" s="2" t="s">
        <v>963</v>
      </c>
      <c r="H355" s="2" t="s">
        <v>872</v>
      </c>
      <c r="I355" s="2" t="s">
        <v>964</v>
      </c>
      <c r="J355" s="2" t="s">
        <v>872</v>
      </c>
      <c r="K355" s="2" t="s">
        <v>872</v>
      </c>
      <c r="L355" s="2" t="s">
        <v>872</v>
      </c>
      <c r="M355" s="2" t="s">
        <v>873</v>
      </c>
      <c r="N355" s="2" t="s">
        <v>872</v>
      </c>
    </row>
    <row r="356" spans="1:14" ht="13.5" thickBot="1" x14ac:dyDescent="0.25">
      <c r="A356" s="2" t="s">
        <v>755</v>
      </c>
      <c r="B356" s="72" t="s">
        <v>179</v>
      </c>
      <c r="C356" s="2" t="s">
        <v>60</v>
      </c>
      <c r="D356" s="4">
        <v>38</v>
      </c>
      <c r="E356" s="4">
        <v>130</v>
      </c>
      <c r="F356" s="2" t="s">
        <v>872</v>
      </c>
      <c r="G356" s="2" t="s">
        <v>938</v>
      </c>
      <c r="H356" s="2" t="s">
        <v>872</v>
      </c>
      <c r="I356" s="2" t="s">
        <v>938</v>
      </c>
      <c r="J356" s="2" t="s">
        <v>872</v>
      </c>
      <c r="K356" s="2" t="s">
        <v>872</v>
      </c>
      <c r="L356" s="2" t="s">
        <v>872</v>
      </c>
      <c r="M356" s="2" t="s">
        <v>872</v>
      </c>
      <c r="N356" s="2" t="s">
        <v>872</v>
      </c>
    </row>
    <row r="357" spans="1:14" ht="13.5" thickBot="1" x14ac:dyDescent="0.25">
      <c r="A357" s="2" t="s">
        <v>757</v>
      </c>
      <c r="B357" s="72" t="s">
        <v>185</v>
      </c>
      <c r="C357" s="2" t="s">
        <v>60</v>
      </c>
      <c r="D357" s="4">
        <v>87</v>
      </c>
      <c r="E357" s="4">
        <v>100</v>
      </c>
      <c r="F357" s="2" t="s">
        <v>872</v>
      </c>
      <c r="G357" s="2" t="s">
        <v>973</v>
      </c>
      <c r="H357" s="2" t="s">
        <v>872</v>
      </c>
      <c r="I357" s="2" t="s">
        <v>973</v>
      </c>
      <c r="J357" s="2" t="s">
        <v>872</v>
      </c>
      <c r="K357" s="2" t="s">
        <v>872</v>
      </c>
      <c r="L357" s="2" t="s">
        <v>872</v>
      </c>
      <c r="M357" s="2" t="s">
        <v>873</v>
      </c>
      <c r="N357" s="2" t="s">
        <v>872</v>
      </c>
    </row>
    <row r="358" spans="1:14" ht="13.5" thickBot="1" x14ac:dyDescent="0.25">
      <c r="A358" s="2" t="s">
        <v>759</v>
      </c>
      <c r="B358" s="72" t="s">
        <v>220</v>
      </c>
      <c r="C358" s="2" t="s">
        <v>60</v>
      </c>
      <c r="D358" s="4">
        <v>36</v>
      </c>
      <c r="E358" s="4">
        <v>66</v>
      </c>
      <c r="F358" s="2" t="s">
        <v>872</v>
      </c>
      <c r="G358" s="2" t="s">
        <v>983</v>
      </c>
      <c r="H358" s="2" t="s">
        <v>872</v>
      </c>
      <c r="I358" s="2" t="s">
        <v>914</v>
      </c>
      <c r="J358" s="2" t="s">
        <v>872</v>
      </c>
      <c r="K358" s="2" t="s">
        <v>872</v>
      </c>
      <c r="L358" s="2" t="s">
        <v>873</v>
      </c>
      <c r="M358" s="2" t="s">
        <v>872</v>
      </c>
      <c r="N358" s="2" t="s">
        <v>872</v>
      </c>
    </row>
    <row r="359" spans="1:14" ht="13.5" thickBot="1" x14ac:dyDescent="0.25">
      <c r="A359" s="2" t="s">
        <v>761</v>
      </c>
      <c r="B359" s="72" t="s">
        <v>222</v>
      </c>
      <c r="C359" s="2" t="s">
        <v>60</v>
      </c>
      <c r="D359" s="4">
        <v>78</v>
      </c>
      <c r="E359" s="4">
        <v>96</v>
      </c>
      <c r="F359" s="2" t="s">
        <v>872</v>
      </c>
      <c r="G359" s="2" t="s">
        <v>927</v>
      </c>
      <c r="H359" s="2" t="s">
        <v>872</v>
      </c>
      <c r="I359" s="2" t="s">
        <v>927</v>
      </c>
      <c r="J359" s="2" t="s">
        <v>872</v>
      </c>
      <c r="K359" s="2" t="s">
        <v>872</v>
      </c>
      <c r="L359" s="2" t="s">
        <v>872</v>
      </c>
      <c r="M359" s="2" t="s">
        <v>873</v>
      </c>
      <c r="N359" s="2" t="s">
        <v>872</v>
      </c>
    </row>
    <row r="360" spans="1:14" ht="13.5" thickBot="1" x14ac:dyDescent="0.25">
      <c r="A360" s="2" t="s">
        <v>763</v>
      </c>
      <c r="B360" s="72" t="s">
        <v>232</v>
      </c>
      <c r="C360" s="2" t="s">
        <v>60</v>
      </c>
      <c r="D360" s="4">
        <v>332</v>
      </c>
      <c r="E360" s="4">
        <v>1147</v>
      </c>
      <c r="F360" s="2" t="s">
        <v>872</v>
      </c>
      <c r="G360" s="2" t="s">
        <v>918</v>
      </c>
      <c r="H360" s="2" t="s">
        <v>872</v>
      </c>
      <c r="I360" s="2" t="s">
        <v>987</v>
      </c>
      <c r="J360" s="2" t="s">
        <v>872</v>
      </c>
      <c r="K360" s="2" t="s">
        <v>872</v>
      </c>
      <c r="L360" s="2" t="s">
        <v>872</v>
      </c>
      <c r="M360" s="2" t="s">
        <v>873</v>
      </c>
      <c r="N360" s="2" t="s">
        <v>872</v>
      </c>
    </row>
    <row r="361" spans="1:14" ht="13.5" thickBot="1" x14ac:dyDescent="0.25">
      <c r="A361" s="2" t="s">
        <v>765</v>
      </c>
      <c r="B361" s="72" t="s">
        <v>276</v>
      </c>
      <c r="C361" s="2" t="s">
        <v>60</v>
      </c>
      <c r="D361" s="4">
        <v>99</v>
      </c>
      <c r="E361" s="4">
        <v>137</v>
      </c>
      <c r="F361" s="2" t="s">
        <v>872</v>
      </c>
      <c r="G361" s="2" t="s">
        <v>998</v>
      </c>
      <c r="H361" s="2" t="s">
        <v>872</v>
      </c>
      <c r="I361" s="2" t="s">
        <v>998</v>
      </c>
      <c r="J361" s="2" t="s">
        <v>872</v>
      </c>
      <c r="K361" s="2" t="s">
        <v>872</v>
      </c>
      <c r="L361" s="2" t="s">
        <v>872</v>
      </c>
      <c r="M361" s="2" t="s">
        <v>873</v>
      </c>
      <c r="N361" s="2" t="s">
        <v>872</v>
      </c>
    </row>
    <row r="362" spans="1:14" ht="13.5" thickBot="1" x14ac:dyDescent="0.25">
      <c r="A362" s="2" t="s">
        <v>767</v>
      </c>
      <c r="B362" s="72" t="s">
        <v>290</v>
      </c>
      <c r="C362" s="2" t="s">
        <v>60</v>
      </c>
      <c r="D362" s="4">
        <v>69</v>
      </c>
      <c r="E362" s="4">
        <v>107</v>
      </c>
      <c r="F362" s="2" t="s">
        <v>872</v>
      </c>
      <c r="G362" s="2" t="s">
        <v>924</v>
      </c>
      <c r="H362" s="2" t="s">
        <v>872</v>
      </c>
      <c r="I362" s="2" t="s">
        <v>924</v>
      </c>
      <c r="J362" s="2" t="s">
        <v>873</v>
      </c>
      <c r="K362" s="2" t="s">
        <v>872</v>
      </c>
      <c r="L362" s="2" t="s">
        <v>873</v>
      </c>
      <c r="M362" s="2" t="s">
        <v>873</v>
      </c>
      <c r="N362" s="2" t="s">
        <v>872</v>
      </c>
    </row>
    <row r="363" spans="1:14" ht="13.5" thickBot="1" x14ac:dyDescent="0.25">
      <c r="A363" s="2" t="s">
        <v>769</v>
      </c>
      <c r="B363" s="72" t="s">
        <v>316</v>
      </c>
      <c r="C363" s="2" t="s">
        <v>60</v>
      </c>
      <c r="D363" s="4">
        <v>83</v>
      </c>
      <c r="E363" s="4">
        <v>299</v>
      </c>
      <c r="F363" s="2" t="s">
        <v>872</v>
      </c>
      <c r="G363" s="2" t="s">
        <v>955</v>
      </c>
      <c r="H363" s="2" t="s">
        <v>872</v>
      </c>
      <c r="I363" s="2" t="s">
        <v>955</v>
      </c>
      <c r="J363" s="2" t="s">
        <v>872</v>
      </c>
      <c r="K363" s="2" t="s">
        <v>872</v>
      </c>
      <c r="L363" s="2" t="s">
        <v>872</v>
      </c>
      <c r="M363" s="2" t="s">
        <v>873</v>
      </c>
      <c r="N363" s="2" t="s">
        <v>872</v>
      </c>
    </row>
    <row r="364" spans="1:14" ht="13.5" thickBot="1" x14ac:dyDescent="0.25">
      <c r="A364" s="2" t="s">
        <v>771</v>
      </c>
      <c r="B364" s="72" t="s">
        <v>330</v>
      </c>
      <c r="C364" s="2" t="s">
        <v>60</v>
      </c>
      <c r="D364" s="4">
        <v>39</v>
      </c>
      <c r="E364" s="4">
        <v>28</v>
      </c>
      <c r="F364" s="2" t="s">
        <v>872</v>
      </c>
      <c r="G364" s="2" t="s">
        <v>940</v>
      </c>
      <c r="H364" s="2" t="s">
        <v>872</v>
      </c>
      <c r="I364" s="2" t="s">
        <v>940</v>
      </c>
      <c r="J364" s="2" t="s">
        <v>872</v>
      </c>
      <c r="K364" s="2" t="s">
        <v>872</v>
      </c>
      <c r="L364" s="2" t="s">
        <v>872</v>
      </c>
      <c r="M364" s="2" t="s">
        <v>872</v>
      </c>
      <c r="N364" s="2" t="s">
        <v>872</v>
      </c>
    </row>
    <row r="365" spans="1:14" ht="13.5" thickBot="1" x14ac:dyDescent="0.25">
      <c r="A365" s="2" t="s">
        <v>773</v>
      </c>
      <c r="B365" s="72" t="s">
        <v>334</v>
      </c>
      <c r="C365" s="2" t="s">
        <v>60</v>
      </c>
      <c r="D365" s="4">
        <v>140</v>
      </c>
      <c r="E365" s="4">
        <v>190</v>
      </c>
      <c r="F365" s="2" t="s">
        <v>872</v>
      </c>
      <c r="G365" s="2" t="s">
        <v>930</v>
      </c>
      <c r="H365" s="2" t="s">
        <v>872</v>
      </c>
      <c r="I365" s="2" t="s">
        <v>930</v>
      </c>
      <c r="J365" s="2" t="s">
        <v>872</v>
      </c>
      <c r="K365" s="2" t="s">
        <v>872</v>
      </c>
      <c r="L365" s="2" t="s">
        <v>872</v>
      </c>
      <c r="M365" s="2" t="s">
        <v>873</v>
      </c>
      <c r="N365" s="2" t="s">
        <v>872</v>
      </c>
    </row>
    <row r="366" spans="1:14" ht="13.5" thickBot="1" x14ac:dyDescent="0.25">
      <c r="A366" s="2" t="s">
        <v>775</v>
      </c>
      <c r="B366" s="72" t="s">
        <v>338</v>
      </c>
      <c r="C366" s="2" t="s">
        <v>60</v>
      </c>
      <c r="D366" s="4">
        <v>61</v>
      </c>
      <c r="E366" s="4">
        <v>79</v>
      </c>
      <c r="F366" s="2" t="s">
        <v>872</v>
      </c>
      <c r="G366" s="2" t="s">
        <v>1008</v>
      </c>
      <c r="H366" s="2" t="s">
        <v>872</v>
      </c>
      <c r="I366" s="2" t="s">
        <v>1008</v>
      </c>
      <c r="J366" s="2" t="s">
        <v>872</v>
      </c>
      <c r="K366" s="2" t="s">
        <v>872</v>
      </c>
      <c r="L366" s="2" t="s">
        <v>872</v>
      </c>
      <c r="M366" s="2" t="s">
        <v>872</v>
      </c>
      <c r="N366" s="2" t="s">
        <v>872</v>
      </c>
    </row>
    <row r="367" spans="1:14" ht="13.5" thickBot="1" x14ac:dyDescent="0.25">
      <c r="A367" s="2" t="s">
        <v>777</v>
      </c>
      <c r="B367" s="72" t="s">
        <v>366</v>
      </c>
      <c r="C367" s="2" t="s">
        <v>60</v>
      </c>
      <c r="D367" s="4">
        <v>59</v>
      </c>
      <c r="E367" s="4">
        <v>78</v>
      </c>
      <c r="F367" s="2" t="s">
        <v>872</v>
      </c>
      <c r="G367" s="2" t="s">
        <v>1029</v>
      </c>
      <c r="H367" s="2" t="s">
        <v>872</v>
      </c>
      <c r="I367" s="2" t="s">
        <v>973</v>
      </c>
      <c r="J367" s="2" t="s">
        <v>872</v>
      </c>
      <c r="K367" s="2" t="s">
        <v>872</v>
      </c>
      <c r="L367" s="2" t="s">
        <v>872</v>
      </c>
      <c r="M367" s="2" t="s">
        <v>872</v>
      </c>
      <c r="N367" s="2" t="s">
        <v>872</v>
      </c>
    </row>
    <row r="368" spans="1:14" ht="13.5" thickBot="1" x14ac:dyDescent="0.25">
      <c r="A368" s="2" t="s">
        <v>779</v>
      </c>
      <c r="B368" s="72" t="s">
        <v>388</v>
      </c>
      <c r="C368" s="2" t="s">
        <v>60</v>
      </c>
      <c r="D368" s="4">
        <v>43</v>
      </c>
      <c r="E368" s="4">
        <v>60</v>
      </c>
      <c r="F368" s="2" t="s">
        <v>872</v>
      </c>
      <c r="G368" s="2" t="s">
        <v>1008</v>
      </c>
      <c r="H368" s="2" t="s">
        <v>872</v>
      </c>
      <c r="I368" s="2" t="s">
        <v>1008</v>
      </c>
      <c r="J368" s="2" t="s">
        <v>872</v>
      </c>
      <c r="K368" s="2" t="s">
        <v>872</v>
      </c>
      <c r="L368" s="2" t="s">
        <v>872</v>
      </c>
      <c r="M368" s="2" t="s">
        <v>873</v>
      </c>
      <c r="N368" s="2" t="s">
        <v>872</v>
      </c>
    </row>
    <row r="369" spans="1:14" ht="13.5" thickBot="1" x14ac:dyDescent="0.25">
      <c r="A369" s="2" t="s">
        <v>781</v>
      </c>
      <c r="B369" s="72" t="s">
        <v>408</v>
      </c>
      <c r="C369" s="2" t="s">
        <v>60</v>
      </c>
      <c r="D369" s="4">
        <v>122</v>
      </c>
      <c r="E369" s="4">
        <v>189</v>
      </c>
      <c r="F369" s="2" t="s">
        <v>872</v>
      </c>
      <c r="G369" s="2" t="s">
        <v>927</v>
      </c>
      <c r="H369" s="2" t="s">
        <v>872</v>
      </c>
      <c r="I369" s="2" t="s">
        <v>927</v>
      </c>
      <c r="J369" s="2" t="s">
        <v>872</v>
      </c>
      <c r="K369" s="2" t="s">
        <v>872</v>
      </c>
      <c r="L369" s="2" t="s">
        <v>872</v>
      </c>
      <c r="M369" s="2" t="s">
        <v>872</v>
      </c>
      <c r="N369" s="2" t="s">
        <v>872</v>
      </c>
    </row>
    <row r="370" spans="1:14" ht="13.5" thickBot="1" x14ac:dyDescent="0.25">
      <c r="A370" s="2" t="s">
        <v>783</v>
      </c>
      <c r="B370" s="72" t="s">
        <v>416</v>
      </c>
      <c r="C370" s="2" t="s">
        <v>60</v>
      </c>
      <c r="D370" s="4">
        <v>133</v>
      </c>
      <c r="E370" s="4">
        <v>104</v>
      </c>
      <c r="F370" s="2" t="s">
        <v>872</v>
      </c>
      <c r="G370" s="2" t="s">
        <v>940</v>
      </c>
      <c r="H370" s="2" t="s">
        <v>872</v>
      </c>
      <c r="I370" s="2" t="s">
        <v>940</v>
      </c>
      <c r="J370" s="2" t="s">
        <v>872</v>
      </c>
      <c r="K370" s="2" t="s">
        <v>872</v>
      </c>
      <c r="L370" s="2" t="s">
        <v>872</v>
      </c>
      <c r="M370" s="2" t="s">
        <v>873</v>
      </c>
      <c r="N370" s="2" t="s">
        <v>872</v>
      </c>
    </row>
    <row r="371" spans="1:14" ht="13.5" thickBot="1" x14ac:dyDescent="0.25">
      <c r="A371" s="2" t="s">
        <v>785</v>
      </c>
      <c r="B371" s="72" t="s">
        <v>420</v>
      </c>
      <c r="C371" s="2" t="s">
        <v>60</v>
      </c>
      <c r="D371" s="4">
        <v>255</v>
      </c>
      <c r="E371" s="4">
        <v>331</v>
      </c>
      <c r="F371" s="2" t="s">
        <v>872</v>
      </c>
      <c r="G371" s="2" t="s">
        <v>927</v>
      </c>
      <c r="H371" s="2" t="s">
        <v>872</v>
      </c>
      <c r="I371" s="2" t="s">
        <v>927</v>
      </c>
      <c r="J371" s="2" t="s">
        <v>872</v>
      </c>
      <c r="K371" s="2" t="s">
        <v>872</v>
      </c>
      <c r="L371" s="2" t="s">
        <v>872</v>
      </c>
      <c r="M371" s="2" t="s">
        <v>873</v>
      </c>
      <c r="N371" s="2" t="s">
        <v>872</v>
      </c>
    </row>
    <row r="372" spans="1:14" ht="13.5" thickBot="1" x14ac:dyDescent="0.25">
      <c r="A372" s="2" t="s">
        <v>787</v>
      </c>
      <c r="B372" s="72" t="s">
        <v>430</v>
      </c>
      <c r="C372" s="2" t="s">
        <v>60</v>
      </c>
      <c r="D372" s="4">
        <v>24</v>
      </c>
      <c r="E372" s="4">
        <v>38</v>
      </c>
      <c r="F372" s="2" t="s">
        <v>872</v>
      </c>
      <c r="G372" s="2" t="s">
        <v>927</v>
      </c>
      <c r="H372" s="2" t="s">
        <v>872</v>
      </c>
      <c r="I372" s="2" t="s">
        <v>927</v>
      </c>
      <c r="J372" s="2" t="s">
        <v>872</v>
      </c>
      <c r="K372" s="2" t="s">
        <v>872</v>
      </c>
      <c r="L372" s="2" t="s">
        <v>872</v>
      </c>
      <c r="M372" s="2" t="s">
        <v>872</v>
      </c>
      <c r="N372" s="2" t="s">
        <v>872</v>
      </c>
    </row>
    <row r="373" spans="1:14" ht="13.5" thickBot="1" x14ac:dyDescent="0.25">
      <c r="A373" s="2" t="s">
        <v>789</v>
      </c>
      <c r="B373" s="72" t="s">
        <v>458</v>
      </c>
      <c r="C373" s="2" t="s">
        <v>60</v>
      </c>
      <c r="D373" s="4">
        <v>59</v>
      </c>
      <c r="E373" s="4">
        <v>57</v>
      </c>
      <c r="F373" s="2" t="s">
        <v>872</v>
      </c>
      <c r="G373" s="2" t="s">
        <v>920</v>
      </c>
      <c r="H373" s="2" t="s">
        <v>872</v>
      </c>
      <c r="I373" s="2" t="s">
        <v>920</v>
      </c>
      <c r="J373" s="2" t="s">
        <v>872</v>
      </c>
      <c r="K373" s="2" t="s">
        <v>872</v>
      </c>
      <c r="L373" s="2" t="s">
        <v>872</v>
      </c>
      <c r="M373" s="2" t="s">
        <v>872</v>
      </c>
      <c r="N373" s="2" t="s">
        <v>872</v>
      </c>
    </row>
    <row r="374" spans="1:14" ht="13.5" thickBot="1" x14ac:dyDescent="0.25">
      <c r="A374" s="2" t="s">
        <v>791</v>
      </c>
      <c r="B374" s="72" t="s">
        <v>525</v>
      </c>
      <c r="C374" s="2" t="s">
        <v>60</v>
      </c>
      <c r="D374" s="4">
        <v>131</v>
      </c>
      <c r="E374" s="4">
        <v>222</v>
      </c>
      <c r="F374" s="2" t="s">
        <v>872</v>
      </c>
      <c r="G374" s="2" t="s">
        <v>1031</v>
      </c>
      <c r="H374" s="2" t="s">
        <v>872</v>
      </c>
      <c r="I374" s="2" t="s">
        <v>1031</v>
      </c>
      <c r="J374" s="2" t="s">
        <v>872</v>
      </c>
      <c r="K374" s="2" t="s">
        <v>872</v>
      </c>
      <c r="L374" s="2" t="s">
        <v>872</v>
      </c>
      <c r="M374" s="2" t="s">
        <v>873</v>
      </c>
      <c r="N374" s="2" t="s">
        <v>872</v>
      </c>
    </row>
    <row r="375" spans="1:14" ht="13.5" thickBot="1" x14ac:dyDescent="0.25">
      <c r="A375" s="2" t="s">
        <v>793</v>
      </c>
      <c r="B375" s="72" t="s">
        <v>539</v>
      </c>
      <c r="C375" s="2" t="s">
        <v>60</v>
      </c>
      <c r="D375" s="4">
        <v>47</v>
      </c>
      <c r="E375" s="4">
        <v>102</v>
      </c>
      <c r="F375" s="2" t="s">
        <v>872</v>
      </c>
      <c r="G375" s="2" t="s">
        <v>973</v>
      </c>
      <c r="H375" s="2" t="s">
        <v>872</v>
      </c>
      <c r="I375" s="2" t="s">
        <v>973</v>
      </c>
      <c r="J375" s="2" t="s">
        <v>872</v>
      </c>
      <c r="K375" s="2" t="s">
        <v>872</v>
      </c>
      <c r="L375" s="2" t="s">
        <v>872</v>
      </c>
      <c r="M375" s="2" t="s">
        <v>872</v>
      </c>
      <c r="N375" s="2" t="s">
        <v>872</v>
      </c>
    </row>
    <row r="376" spans="1:14" ht="13.5" thickBot="1" x14ac:dyDescent="0.25">
      <c r="A376" s="2" t="s">
        <v>795</v>
      </c>
      <c r="B376" s="72" t="s">
        <v>559</v>
      </c>
      <c r="C376" s="2" t="s">
        <v>60</v>
      </c>
      <c r="D376" s="4">
        <v>72</v>
      </c>
      <c r="E376" s="4">
        <v>98</v>
      </c>
      <c r="F376" s="2" t="s">
        <v>872</v>
      </c>
      <c r="G376" s="2" t="s">
        <v>1068</v>
      </c>
      <c r="H376" s="2" t="s">
        <v>872</v>
      </c>
      <c r="I376" s="2" t="s">
        <v>1068</v>
      </c>
      <c r="J376" s="2" t="s">
        <v>872</v>
      </c>
      <c r="K376" s="2" t="s">
        <v>872</v>
      </c>
      <c r="L376" s="2" t="s">
        <v>872</v>
      </c>
      <c r="M376" s="2" t="s">
        <v>872</v>
      </c>
      <c r="N376" s="2" t="s">
        <v>872</v>
      </c>
    </row>
    <row r="377" spans="1:14" ht="13.5" thickBot="1" x14ac:dyDescent="0.25">
      <c r="A377" s="2" t="s">
        <v>799</v>
      </c>
      <c r="B377" s="72" t="s">
        <v>609</v>
      </c>
      <c r="C377" s="2" t="s">
        <v>60</v>
      </c>
      <c r="D377" s="4">
        <v>16</v>
      </c>
      <c r="E377" s="4">
        <v>61</v>
      </c>
      <c r="F377" s="2" t="s">
        <v>872</v>
      </c>
      <c r="G377" s="2" t="s">
        <v>1076</v>
      </c>
      <c r="H377" s="2" t="s">
        <v>872</v>
      </c>
      <c r="I377" s="2" t="s">
        <v>958</v>
      </c>
      <c r="J377" s="2" t="s">
        <v>872</v>
      </c>
      <c r="K377" s="2" t="s">
        <v>872</v>
      </c>
      <c r="L377" s="2" t="s">
        <v>873</v>
      </c>
      <c r="M377" s="2" t="s">
        <v>872</v>
      </c>
      <c r="N377" s="2" t="s">
        <v>872</v>
      </c>
    </row>
    <row r="378" spans="1:14" ht="13.5" thickBot="1" x14ac:dyDescent="0.25">
      <c r="A378" s="2" t="s">
        <v>801</v>
      </c>
      <c r="B378" s="72" t="s">
        <v>613</v>
      </c>
      <c r="C378" s="2" t="s">
        <v>60</v>
      </c>
      <c r="D378" s="4">
        <v>50</v>
      </c>
      <c r="E378" s="4">
        <v>76</v>
      </c>
      <c r="F378" s="2" t="s">
        <v>872</v>
      </c>
      <c r="G378" s="2" t="s">
        <v>927</v>
      </c>
      <c r="H378" s="2" t="s">
        <v>872</v>
      </c>
      <c r="I378" s="2" t="s">
        <v>927</v>
      </c>
      <c r="J378" s="2" t="s">
        <v>872</v>
      </c>
      <c r="K378" s="2" t="s">
        <v>872</v>
      </c>
      <c r="L378" s="2" t="s">
        <v>872</v>
      </c>
      <c r="M378" s="2" t="s">
        <v>873</v>
      </c>
      <c r="N378" s="2" t="s">
        <v>872</v>
      </c>
    </row>
    <row r="379" spans="1:14" ht="13.5" thickBot="1" x14ac:dyDescent="0.25">
      <c r="A379" s="2" t="s">
        <v>805</v>
      </c>
      <c r="B379" s="72" t="s">
        <v>623</v>
      </c>
      <c r="C379" s="2" t="s">
        <v>60</v>
      </c>
      <c r="D379" s="4">
        <v>64</v>
      </c>
      <c r="E379" s="4">
        <v>103</v>
      </c>
      <c r="F379" s="2" t="s">
        <v>872</v>
      </c>
      <c r="G379" s="2" t="s">
        <v>1036</v>
      </c>
      <c r="H379" s="2" t="s">
        <v>872</v>
      </c>
      <c r="I379" s="2" t="s">
        <v>1036</v>
      </c>
      <c r="J379" s="2" t="s">
        <v>872</v>
      </c>
      <c r="K379" s="2" t="s">
        <v>872</v>
      </c>
      <c r="L379" s="2" t="s">
        <v>872</v>
      </c>
      <c r="M379" s="2" t="s">
        <v>872</v>
      </c>
      <c r="N379" s="2" t="s">
        <v>872</v>
      </c>
    </row>
    <row r="380" spans="1:14" ht="13.5" thickBot="1" x14ac:dyDescent="0.25">
      <c r="A380" s="2" t="s">
        <v>807</v>
      </c>
      <c r="B380" s="72" t="s">
        <v>659</v>
      </c>
      <c r="C380" s="2" t="s">
        <v>60</v>
      </c>
      <c r="D380" s="4">
        <v>82</v>
      </c>
      <c r="E380" s="4">
        <v>91</v>
      </c>
      <c r="F380" s="2" t="s">
        <v>872</v>
      </c>
      <c r="G380" s="2" t="s">
        <v>1008</v>
      </c>
      <c r="H380" s="2" t="s">
        <v>872</v>
      </c>
      <c r="I380" s="2" t="s">
        <v>1008</v>
      </c>
      <c r="J380" s="2" t="s">
        <v>872</v>
      </c>
      <c r="K380" s="2" t="s">
        <v>872</v>
      </c>
      <c r="L380" s="2" t="s">
        <v>872</v>
      </c>
      <c r="M380" s="2" t="s">
        <v>873</v>
      </c>
      <c r="N380" s="2" t="s">
        <v>872</v>
      </c>
    </row>
    <row r="381" spans="1:14" ht="13.5" thickBot="1" x14ac:dyDescent="0.25">
      <c r="A381" s="2" t="s">
        <v>811</v>
      </c>
      <c r="B381" s="72" t="s">
        <v>669</v>
      </c>
      <c r="C381" s="2" t="s">
        <v>60</v>
      </c>
      <c r="D381" s="4">
        <v>29</v>
      </c>
      <c r="E381" s="4">
        <v>36</v>
      </c>
      <c r="F381" s="2" t="s">
        <v>872</v>
      </c>
      <c r="G381" s="2" t="s">
        <v>1086</v>
      </c>
      <c r="H381" s="2" t="s">
        <v>872</v>
      </c>
      <c r="I381" s="2" t="s">
        <v>1087</v>
      </c>
      <c r="J381" s="2" t="s">
        <v>872</v>
      </c>
      <c r="K381" s="2" t="s">
        <v>872</v>
      </c>
      <c r="L381" s="2" t="s">
        <v>872</v>
      </c>
      <c r="M381" s="2" t="s">
        <v>872</v>
      </c>
      <c r="N381" s="2" t="s">
        <v>872</v>
      </c>
    </row>
    <row r="382" spans="1:14" ht="13.5" thickBot="1" x14ac:dyDescent="0.25">
      <c r="A382" s="2" t="s">
        <v>813</v>
      </c>
      <c r="B382" s="72" t="s">
        <v>677</v>
      </c>
      <c r="C382" s="2" t="s">
        <v>60</v>
      </c>
      <c r="D382" s="4">
        <v>102</v>
      </c>
      <c r="E382" s="4">
        <v>192</v>
      </c>
      <c r="F382" s="2" t="s">
        <v>872</v>
      </c>
      <c r="G382" s="2" t="s">
        <v>993</v>
      </c>
      <c r="H382" s="2" t="s">
        <v>872</v>
      </c>
      <c r="I382" s="2" t="s">
        <v>993</v>
      </c>
      <c r="J382" s="2" t="s">
        <v>873</v>
      </c>
      <c r="K382" s="2" t="s">
        <v>872</v>
      </c>
      <c r="L382" s="2" t="s">
        <v>873</v>
      </c>
      <c r="M382" s="2" t="s">
        <v>873</v>
      </c>
      <c r="N382" s="2" t="s">
        <v>872</v>
      </c>
    </row>
    <row r="383" spans="1:14" ht="13.5" thickBot="1" x14ac:dyDescent="0.25">
      <c r="A383" s="2" t="s">
        <v>815</v>
      </c>
      <c r="B383" s="72" t="s">
        <v>679</v>
      </c>
      <c r="C383" s="2" t="s">
        <v>60</v>
      </c>
      <c r="D383" s="4">
        <v>25</v>
      </c>
      <c r="E383" s="4">
        <v>29</v>
      </c>
      <c r="F383" s="2" t="s">
        <v>872</v>
      </c>
      <c r="G383" s="2" t="s">
        <v>1092</v>
      </c>
      <c r="H383" s="2" t="s">
        <v>872</v>
      </c>
      <c r="I383" s="2" t="s">
        <v>940</v>
      </c>
      <c r="J383" s="2" t="s">
        <v>872</v>
      </c>
      <c r="K383" s="2" t="s">
        <v>872</v>
      </c>
      <c r="L383" s="2" t="s">
        <v>872</v>
      </c>
      <c r="M383" s="2" t="s">
        <v>872</v>
      </c>
      <c r="N383" s="2" t="s">
        <v>872</v>
      </c>
    </row>
    <row r="384" spans="1:14" ht="13.5" thickBot="1" x14ac:dyDescent="0.25">
      <c r="A384" s="2" t="s">
        <v>817</v>
      </c>
      <c r="B384" s="72" t="s">
        <v>707</v>
      </c>
      <c r="C384" s="2" t="s">
        <v>60</v>
      </c>
      <c r="D384" s="4">
        <v>18</v>
      </c>
      <c r="E384" s="4">
        <v>27</v>
      </c>
      <c r="F384" s="2" t="s">
        <v>872</v>
      </c>
      <c r="G384" s="2" t="s">
        <v>940</v>
      </c>
      <c r="H384" s="2" t="s">
        <v>872</v>
      </c>
      <c r="I384" s="2" t="s">
        <v>940</v>
      </c>
      <c r="J384" s="2" t="s">
        <v>872</v>
      </c>
      <c r="K384" s="2" t="s">
        <v>872</v>
      </c>
      <c r="L384" s="2" t="s">
        <v>873</v>
      </c>
      <c r="M384" s="2" t="s">
        <v>872</v>
      </c>
      <c r="N384" s="2" t="s">
        <v>872</v>
      </c>
    </row>
    <row r="385" spans="1:14" ht="13.5" thickBot="1" x14ac:dyDescent="0.25">
      <c r="A385" s="2" t="s">
        <v>819</v>
      </c>
      <c r="B385" s="72" t="s">
        <v>719</v>
      </c>
      <c r="C385" s="2" t="s">
        <v>60</v>
      </c>
      <c r="D385" s="4">
        <v>95</v>
      </c>
      <c r="E385" s="4">
        <v>150</v>
      </c>
      <c r="F385" s="2" t="s">
        <v>872</v>
      </c>
      <c r="G385" s="2" t="s">
        <v>1009</v>
      </c>
      <c r="H385" s="2" t="s">
        <v>872</v>
      </c>
      <c r="I385" s="2" t="s">
        <v>1009</v>
      </c>
      <c r="J385" s="2" t="s">
        <v>872</v>
      </c>
      <c r="K385" s="2" t="s">
        <v>872</v>
      </c>
      <c r="L385" s="2" t="s">
        <v>872</v>
      </c>
      <c r="M385" s="2" t="s">
        <v>872</v>
      </c>
      <c r="N385" s="2" t="s">
        <v>872</v>
      </c>
    </row>
    <row r="386" spans="1:14" ht="13.5" thickBot="1" x14ac:dyDescent="0.25">
      <c r="A386" s="2" t="s">
        <v>823</v>
      </c>
      <c r="B386" s="72" t="s">
        <v>733</v>
      </c>
      <c r="C386" s="2" t="s">
        <v>60</v>
      </c>
      <c r="D386" s="4">
        <v>28</v>
      </c>
      <c r="E386" s="4">
        <v>65</v>
      </c>
      <c r="F386" s="2" t="s">
        <v>872</v>
      </c>
      <c r="G386" s="2" t="s">
        <v>927</v>
      </c>
      <c r="H386" s="2" t="s">
        <v>872</v>
      </c>
      <c r="I386" s="2" t="s">
        <v>927</v>
      </c>
      <c r="J386" s="2" t="s">
        <v>872</v>
      </c>
      <c r="K386" s="2" t="s">
        <v>872</v>
      </c>
      <c r="L386" s="2" t="s">
        <v>873</v>
      </c>
      <c r="M386" s="2" t="s">
        <v>872</v>
      </c>
      <c r="N386" s="2" t="s">
        <v>872</v>
      </c>
    </row>
    <row r="387" spans="1:14" ht="13.5" thickBot="1" x14ac:dyDescent="0.25">
      <c r="A387" s="2" t="s">
        <v>825</v>
      </c>
      <c r="B387" s="72" t="s">
        <v>750</v>
      </c>
      <c r="C387" s="2" t="s">
        <v>60</v>
      </c>
      <c r="D387" s="4">
        <v>16</v>
      </c>
      <c r="E387" s="4">
        <v>23</v>
      </c>
      <c r="F387" s="2" t="s">
        <v>872</v>
      </c>
      <c r="G387" s="2" t="s">
        <v>938</v>
      </c>
      <c r="H387" s="2" t="s">
        <v>872</v>
      </c>
      <c r="I387" s="2" t="s">
        <v>938</v>
      </c>
      <c r="J387" s="2" t="s">
        <v>872</v>
      </c>
      <c r="K387" s="2" t="s">
        <v>872</v>
      </c>
      <c r="L387" s="2" t="s">
        <v>873</v>
      </c>
      <c r="M387" s="2" t="s">
        <v>872</v>
      </c>
      <c r="N387" s="2" t="s">
        <v>872</v>
      </c>
    </row>
    <row r="388" spans="1:14" ht="13.5" thickBot="1" x14ac:dyDescent="0.25">
      <c r="A388" s="2" t="s">
        <v>827</v>
      </c>
      <c r="B388" s="72" t="s">
        <v>776</v>
      </c>
      <c r="C388" s="2" t="s">
        <v>60</v>
      </c>
      <c r="D388" s="4">
        <v>67</v>
      </c>
      <c r="E388" s="4">
        <v>82</v>
      </c>
      <c r="F388" s="2" t="s">
        <v>872</v>
      </c>
      <c r="G388" s="2" t="s">
        <v>930</v>
      </c>
      <c r="H388" s="2" t="s">
        <v>872</v>
      </c>
      <c r="I388" s="2" t="s">
        <v>930</v>
      </c>
      <c r="J388" s="2" t="s">
        <v>872</v>
      </c>
      <c r="K388" s="2" t="s">
        <v>872</v>
      </c>
      <c r="L388" s="2" t="s">
        <v>872</v>
      </c>
      <c r="M388" s="2" t="s">
        <v>872</v>
      </c>
      <c r="N388" s="2" t="s">
        <v>872</v>
      </c>
    </row>
    <row r="389" spans="1:14" ht="13.5" thickBot="1" x14ac:dyDescent="0.25">
      <c r="A389" s="2" t="s">
        <v>829</v>
      </c>
      <c r="B389" s="72" t="s">
        <v>778</v>
      </c>
      <c r="C389" s="2" t="s">
        <v>60</v>
      </c>
      <c r="D389" s="4">
        <v>16</v>
      </c>
      <c r="E389" s="4">
        <v>39</v>
      </c>
      <c r="F389" s="2" t="s">
        <v>872</v>
      </c>
      <c r="G389" s="2" t="s">
        <v>1111</v>
      </c>
      <c r="H389" s="2" t="s">
        <v>872</v>
      </c>
      <c r="I389" s="2" t="s">
        <v>1111</v>
      </c>
      <c r="J389" s="2" t="s">
        <v>872</v>
      </c>
      <c r="K389" s="2" t="s">
        <v>872</v>
      </c>
      <c r="L389" s="2" t="s">
        <v>872</v>
      </c>
      <c r="M389" s="2" t="s">
        <v>872</v>
      </c>
      <c r="N389" s="2" t="s">
        <v>872</v>
      </c>
    </row>
    <row r="390" spans="1:14" ht="13.5" thickBot="1" x14ac:dyDescent="0.25">
      <c r="A390" s="2" t="s">
        <v>831</v>
      </c>
      <c r="B390" s="72" t="s">
        <v>780</v>
      </c>
      <c r="C390" s="2" t="s">
        <v>60</v>
      </c>
      <c r="D390" s="4">
        <v>60</v>
      </c>
      <c r="E390" s="4">
        <v>35</v>
      </c>
      <c r="F390" s="2" t="s">
        <v>872</v>
      </c>
      <c r="G390" s="2" t="s">
        <v>1112</v>
      </c>
      <c r="H390" s="2" t="s">
        <v>872</v>
      </c>
      <c r="I390" s="2" t="s">
        <v>1112</v>
      </c>
      <c r="J390" s="2" t="s">
        <v>872</v>
      </c>
      <c r="K390" s="2" t="s">
        <v>872</v>
      </c>
      <c r="L390" s="2" t="s">
        <v>872</v>
      </c>
      <c r="M390" s="2" t="s">
        <v>873</v>
      </c>
      <c r="N390" s="2" t="s">
        <v>872</v>
      </c>
    </row>
    <row r="391" spans="1:14" ht="13.5" thickBot="1" x14ac:dyDescent="0.25">
      <c r="A391" s="2" t="s">
        <v>833</v>
      </c>
      <c r="B391" s="72" t="s">
        <v>804</v>
      </c>
      <c r="C391" s="2" t="s">
        <v>60</v>
      </c>
      <c r="D391" s="4">
        <v>52</v>
      </c>
      <c r="E391" s="4">
        <v>131</v>
      </c>
      <c r="F391" s="2" t="s">
        <v>872</v>
      </c>
      <c r="G391" s="2" t="s">
        <v>927</v>
      </c>
      <c r="H391" s="2" t="s">
        <v>872</v>
      </c>
      <c r="I391" s="2" t="s">
        <v>927</v>
      </c>
      <c r="J391" s="2" t="s">
        <v>872</v>
      </c>
      <c r="K391" s="2" t="s">
        <v>872</v>
      </c>
      <c r="L391" s="2" t="s">
        <v>872</v>
      </c>
      <c r="M391" s="2" t="s">
        <v>872</v>
      </c>
      <c r="N391" s="2" t="s">
        <v>872</v>
      </c>
    </row>
    <row r="392" spans="1:14" ht="13.5" thickBot="1" x14ac:dyDescent="0.25">
      <c r="A392" s="2" t="s">
        <v>835</v>
      </c>
      <c r="B392" s="72" t="s">
        <v>806</v>
      </c>
      <c r="C392" s="2" t="s">
        <v>60</v>
      </c>
      <c r="D392" s="4">
        <v>22</v>
      </c>
      <c r="E392" s="4">
        <v>58</v>
      </c>
      <c r="F392" s="2" t="s">
        <v>872</v>
      </c>
      <c r="G392" s="2" t="s">
        <v>927</v>
      </c>
      <c r="H392" s="2" t="s">
        <v>872</v>
      </c>
      <c r="I392" s="2" t="s">
        <v>927</v>
      </c>
      <c r="J392" s="2" t="s">
        <v>872</v>
      </c>
      <c r="K392" s="2" t="s">
        <v>872</v>
      </c>
      <c r="L392" s="2" t="s">
        <v>872</v>
      </c>
      <c r="M392" s="2" t="s">
        <v>872</v>
      </c>
      <c r="N392" s="2" t="s">
        <v>872</v>
      </c>
    </row>
    <row r="393" spans="1:14" ht="13.5" thickBot="1" x14ac:dyDescent="0.25">
      <c r="A393" s="2" t="s">
        <v>837</v>
      </c>
      <c r="B393" s="72" t="s">
        <v>814</v>
      </c>
      <c r="C393" s="2" t="s">
        <v>60</v>
      </c>
      <c r="D393" s="4">
        <v>66</v>
      </c>
      <c r="E393" s="4">
        <v>155</v>
      </c>
      <c r="F393" s="2" t="s">
        <v>872</v>
      </c>
      <c r="G393" s="2" t="s">
        <v>1008</v>
      </c>
      <c r="H393" s="2" t="s">
        <v>872</v>
      </c>
      <c r="I393" s="2" t="s">
        <v>1008</v>
      </c>
      <c r="J393" s="2" t="s">
        <v>872</v>
      </c>
      <c r="K393" s="2" t="s">
        <v>872</v>
      </c>
      <c r="L393" s="2" t="s">
        <v>872</v>
      </c>
      <c r="M393" s="2" t="s">
        <v>873</v>
      </c>
      <c r="N393" s="2" t="s">
        <v>872</v>
      </c>
    </row>
    <row r="394" spans="1:14" ht="13.5" thickBot="1" x14ac:dyDescent="0.25">
      <c r="A394" s="2" t="s">
        <v>839</v>
      </c>
      <c r="B394" s="72" t="s">
        <v>834</v>
      </c>
      <c r="C394" s="2" t="s">
        <v>60</v>
      </c>
      <c r="D394" s="4">
        <v>91</v>
      </c>
      <c r="E394" s="4">
        <v>131</v>
      </c>
      <c r="F394" s="2" t="s">
        <v>872</v>
      </c>
      <c r="G394" s="2" t="s">
        <v>927</v>
      </c>
      <c r="H394" s="2" t="s">
        <v>872</v>
      </c>
      <c r="I394" s="2" t="s">
        <v>927</v>
      </c>
      <c r="J394" s="2" t="s">
        <v>873</v>
      </c>
      <c r="K394" s="2" t="s">
        <v>872</v>
      </c>
      <c r="L394" s="2" t="s">
        <v>872</v>
      </c>
      <c r="M394" s="2" t="s">
        <v>873</v>
      </c>
      <c r="N394" s="2" t="s">
        <v>872</v>
      </c>
    </row>
    <row r="395" spans="1:14" ht="13.5" thickBot="1" x14ac:dyDescent="0.25">
      <c r="A395" s="2" t="s">
        <v>841</v>
      </c>
      <c r="B395" s="72" t="s">
        <v>836</v>
      </c>
      <c r="C395" s="2" t="s">
        <v>60</v>
      </c>
      <c r="D395" s="4">
        <v>39</v>
      </c>
      <c r="E395" s="4">
        <v>101</v>
      </c>
      <c r="F395" s="2" t="s">
        <v>872</v>
      </c>
      <c r="G395" s="2" t="s">
        <v>1007</v>
      </c>
      <c r="H395" s="2" t="s">
        <v>872</v>
      </c>
      <c r="I395" s="2" t="s">
        <v>1123</v>
      </c>
      <c r="J395" s="2" t="s">
        <v>872</v>
      </c>
      <c r="K395" s="2" t="s">
        <v>872</v>
      </c>
      <c r="L395" s="2" t="s">
        <v>872</v>
      </c>
      <c r="M395" s="2" t="s">
        <v>873</v>
      </c>
      <c r="N395" s="2" t="s">
        <v>872</v>
      </c>
    </row>
    <row r="396" spans="1:14" ht="13.5" thickBot="1" x14ac:dyDescent="0.25">
      <c r="A396" s="2" t="s">
        <v>843</v>
      </c>
      <c r="B396" s="79" t="s">
        <v>842</v>
      </c>
      <c r="C396" s="2" t="s">
        <v>60</v>
      </c>
      <c r="D396" s="4">
        <v>62</v>
      </c>
      <c r="E396" s="4">
        <v>112</v>
      </c>
      <c r="F396" s="2" t="s">
        <v>872</v>
      </c>
      <c r="G396" s="2" t="s">
        <v>1036</v>
      </c>
      <c r="H396" s="2" t="s">
        <v>872</v>
      </c>
      <c r="I396" s="2" t="s">
        <v>1036</v>
      </c>
      <c r="J396" s="2" t="s">
        <v>872</v>
      </c>
      <c r="K396" s="2" t="s">
        <v>872</v>
      </c>
      <c r="L396" s="2" t="s">
        <v>872</v>
      </c>
      <c r="M396" s="2" t="s">
        <v>873</v>
      </c>
      <c r="N396" s="2" t="s">
        <v>872</v>
      </c>
    </row>
    <row r="397" spans="1:14" ht="18.75" thickBot="1" x14ac:dyDescent="0.3">
      <c r="B397" s="80" t="s">
        <v>2623</v>
      </c>
      <c r="C397" s="91">
        <f>SUBTOTAL(103,Table5[Library Class])</f>
        <v>393</v>
      </c>
      <c r="F397" s="92"/>
      <c r="G397" s="92"/>
      <c r="H397" s="92"/>
      <c r="I397" s="92"/>
      <c r="J397" s="92"/>
      <c r="K397" s="92"/>
      <c r="L397" s="92"/>
      <c r="M397" s="92"/>
      <c r="N397" s="92"/>
    </row>
    <row r="398" spans="1:14" ht="18.75" thickBot="1" x14ac:dyDescent="0.3">
      <c r="C398" s="128" t="s">
        <v>2624</v>
      </c>
      <c r="D398" s="116">
        <f>SUBTOTAL(109,Table5[Total number of computers that the library provides for use by staff only])</f>
        <v>6658</v>
      </c>
      <c r="E398" s="118">
        <f>SUBTOTAL(109,Table5[Total number of computers that the library provides for public use])</f>
        <v>12664</v>
      </c>
    </row>
    <row r="399" spans="1:14" ht="18.75" thickBot="1" x14ac:dyDescent="0.3">
      <c r="C399" s="125" t="s">
        <v>2625</v>
      </c>
      <c r="D399" s="127">
        <f>SUBTOTAL(101,Table5[Total number of computers that the library provides for use by staff only])</f>
        <v>17.028132992327365</v>
      </c>
      <c r="E399" s="132">
        <f>SUBTOTAL(101,Table5[Total number of computers that the library provides for public use])</f>
        <v>32.388746803069054</v>
      </c>
    </row>
    <row r="400" spans="1:14" ht="13.5" thickBot="1" x14ac:dyDescent="0.25">
      <c r="B400" s="137"/>
      <c r="C400" s="136"/>
    </row>
    <row r="401" spans="2:9" ht="39" thickBot="1" x14ac:dyDescent="0.25">
      <c r="B401" s="137"/>
      <c r="C401" s="99" t="s">
        <v>906</v>
      </c>
      <c r="D401" s="99" t="s">
        <v>908</v>
      </c>
      <c r="E401" s="99" t="s">
        <v>910</v>
      </c>
      <c r="F401" s="99" t="s">
        <v>911</v>
      </c>
      <c r="G401" s="99" t="s">
        <v>912</v>
      </c>
      <c r="H401" s="99" t="s">
        <v>913</v>
      </c>
      <c r="I401" s="99" t="s">
        <v>862</v>
      </c>
    </row>
    <row r="402" spans="2:9" ht="15.75" x14ac:dyDescent="0.25">
      <c r="B402" s="139" t="s">
        <v>2651</v>
      </c>
      <c r="C402" s="136">
        <f>COUNTIF(F4:F73, "Yes")/COUNTA(F4:F73)</f>
        <v>0.9</v>
      </c>
      <c r="D402" s="136">
        <f>COUNTIF(H4:H73, "Yes")/COUNTA(H4:H73)</f>
        <v>0.91428571428571426</v>
      </c>
      <c r="E402" s="136">
        <f>COUNTIF(J4:J73, "Yes")/COUNTA(J4:J73)</f>
        <v>0.62857142857142856</v>
      </c>
      <c r="F402" s="136">
        <f>COUNTIF(K4:K73, "Yes")/COUNTA(K4:K73)</f>
        <v>0.7857142857142857</v>
      </c>
      <c r="G402" s="136">
        <f>COUNTIF(L4:L73, "Yes")/COUNTA(L4:L73)</f>
        <v>1.4285714285714285E-2</v>
      </c>
      <c r="H402" s="136">
        <f>COUNTIF(M4:M73, "Yes")/COUNTA(M4:M73)</f>
        <v>0.3</v>
      </c>
      <c r="I402" s="136">
        <f>COUNTIF(N4:N73, "Yes")/COUNTA(N4:N73)</f>
        <v>0.98571428571428577</v>
      </c>
    </row>
    <row r="403" spans="2:9" ht="15.75" x14ac:dyDescent="0.25">
      <c r="B403" s="139" t="s">
        <v>2652</v>
      </c>
      <c r="C403" s="136">
        <f>COUNTIF(F74:F151, "Yes")/COUNTA(F74:F151)</f>
        <v>0.98717948717948723</v>
      </c>
      <c r="D403" s="136">
        <f>COUNTIF(H74:H151, "Yes")/COUNTA(H74:H151)</f>
        <v>0.97435897435897434</v>
      </c>
      <c r="E403" s="136">
        <f>COUNTIF(J74:J151, "Yes")/COUNTA(J74:J151)</f>
        <v>0.94871794871794868</v>
      </c>
      <c r="F403" s="136">
        <f>COUNTIF(K74:K151, "Yes")/COUNTA(K74:K151)</f>
        <v>0.97435897435897434</v>
      </c>
      <c r="G403" s="136">
        <f>COUNTIF(L74:L151, "Yes")/COUNTA(L74:L151)</f>
        <v>3.8461538461538464E-2</v>
      </c>
      <c r="H403" s="136">
        <f>COUNTIF(M74:M151, "Yes")/COUNTA(M74:M151)</f>
        <v>0.52564102564102566</v>
      </c>
      <c r="I403" s="136">
        <f>COUNTIF(N74:N151, "Yes")/COUNTA(N74:N151)</f>
        <v>1</v>
      </c>
    </row>
    <row r="404" spans="2:9" ht="15.75" x14ac:dyDescent="0.25">
      <c r="B404" s="139" t="s">
        <v>2653</v>
      </c>
      <c r="C404" s="136">
        <f>COUNTIF(F152:F229, "Yes")/COUNTA(F152:F229)</f>
        <v>0.98717948717948723</v>
      </c>
      <c r="D404" s="136">
        <f>COUNTIF(H152:H229, "Yes")/COUNTA(H152:H229)</f>
        <v>0.98717948717948723</v>
      </c>
      <c r="E404" s="136">
        <f>COUNTIF(J152:J229, "Yes")/COUNTA(J152:J229)</f>
        <v>0.92307692307692313</v>
      </c>
      <c r="F404" s="136">
        <f>COUNTIF(K152:K229, "Yes")/COUNTA(K152:K229)</f>
        <v>0.98717948717948723</v>
      </c>
      <c r="G404" s="136">
        <f>COUNTIF(L152:L229, "Yes")/COUNTA(L152:L229)</f>
        <v>8.9743589743589744E-2</v>
      </c>
      <c r="H404" s="136">
        <f>COUNTIF(M152:M229, "Yes")/COUNTA(M152:M229)</f>
        <v>0.71794871794871795</v>
      </c>
      <c r="I404" s="136">
        <f>COUNTIF(N152:N229, "Yes")/COUNTA(N152:N229)</f>
        <v>1</v>
      </c>
    </row>
    <row r="405" spans="2:9" ht="15.75" x14ac:dyDescent="0.25">
      <c r="B405" s="139" t="s">
        <v>2654</v>
      </c>
      <c r="C405" s="136">
        <f>COUNTIF(F230:F308, "Yes")/COUNTA(F230:F308)</f>
        <v>0.98734177215189878</v>
      </c>
      <c r="D405" s="136">
        <f>COUNTIF(H230:H308, "Yes")/COUNTA(H230:H308)</f>
        <v>0.98734177215189878</v>
      </c>
      <c r="E405" s="136">
        <f>COUNTIF(J230:J308, "Yes")/COUNTA(J230:J308)</f>
        <v>0.94936708860759489</v>
      </c>
      <c r="F405" s="136">
        <f>COUNTIF(K230:K308, "Yes")/COUNTA(K230:K308)</f>
        <v>0.98734177215189878</v>
      </c>
      <c r="G405" s="136">
        <f>COUNTIF(L230:L308, "Yes")/COUNTA(L230:L308)</f>
        <v>0.24050632911392406</v>
      </c>
      <c r="H405" s="136">
        <f>COUNTIF(M230:M308, "Yes")/COUNTA(M230:M308)</f>
        <v>0.63291139240506333</v>
      </c>
      <c r="I405" s="136">
        <f>COUNTIF(N230:N308, "Yes")/COUNTA(N230:N308)</f>
        <v>1</v>
      </c>
    </row>
    <row r="406" spans="2:9" ht="15.75" x14ac:dyDescent="0.25">
      <c r="B406" s="139" t="s">
        <v>2655</v>
      </c>
      <c r="C406" s="136">
        <f>COUNTIF(F309:F351, "Yes")/COUNTA(F309:F351)</f>
        <v>1</v>
      </c>
      <c r="D406" s="136">
        <f>COUNTIF(H309:H351, "Yes")/COUNTA(H309:H351)</f>
        <v>1</v>
      </c>
      <c r="E406" s="136">
        <f>COUNTIF(J309:J351, "Yes")/COUNTA(J309:J351)</f>
        <v>0.97674418604651159</v>
      </c>
      <c r="F406" s="136">
        <f>COUNTIF(K309:K351, "Yes")/COUNTA(K309:K351)</f>
        <v>1</v>
      </c>
      <c r="G406" s="136">
        <f>COUNTIF(L309:L351, "Yes")/COUNTA(L309:L351)</f>
        <v>0.44186046511627908</v>
      </c>
      <c r="H406" s="136">
        <f>COUNTIF(M309:M351, "Yes")/COUNTA(M309:M351)</f>
        <v>0.72093023255813948</v>
      </c>
      <c r="I406" s="136">
        <f>COUNTIF(N309:N351, "Yes")/COUNTA(N309:N351)</f>
        <v>1</v>
      </c>
    </row>
    <row r="407" spans="2:9" ht="15.75" x14ac:dyDescent="0.25">
      <c r="B407" s="139" t="s">
        <v>2656</v>
      </c>
      <c r="C407" s="136">
        <f>COUNTIF(F352:F396, "Yes")/COUNTA(F352:F396)</f>
        <v>1</v>
      </c>
      <c r="D407" s="136">
        <f>COUNTIF(H352:H396, "Yes")/COUNTA(H352:H396)</f>
        <v>1</v>
      </c>
      <c r="E407" s="136">
        <f>COUNTIF(J352:J396, "Yes")/COUNTA(J352:J396)</f>
        <v>0.93333333333333335</v>
      </c>
      <c r="F407" s="136">
        <f>COUNTIF(K352:K396, "Yes")/COUNTA(K352:K396)</f>
        <v>1</v>
      </c>
      <c r="G407" s="136">
        <f>COUNTIF(L352:L396, "Yes")/COUNTA(L352:L396)</f>
        <v>0.82222222222222219</v>
      </c>
      <c r="H407" s="136">
        <f>COUNTIF(M352:M396, "Yes")/COUNTA(M352:M396)</f>
        <v>0.51111111111111107</v>
      </c>
      <c r="I407" s="136">
        <f>COUNTIF(N352:N396, "Yes")/COUNTA(N352:N396)</f>
        <v>1</v>
      </c>
    </row>
  </sheetData>
  <phoneticPr fontId="34" type="noConversion"/>
  <hyperlinks>
    <hyperlink ref="H1" location="'Table of Contents'!A1" display="Return to Table of Contents" xr:uid="{D72A23F7-64B1-4156-A244-147AC2D1CD0B}"/>
  </hyperlink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568D2"/>
  </sheetPr>
  <dimension ref="A1:X397"/>
  <sheetViews>
    <sheetView zoomScaleNormal="100" workbookViewId="0">
      <selection activeCell="G1" sqref="G1"/>
    </sheetView>
  </sheetViews>
  <sheetFormatPr defaultRowHeight="12.75" x14ac:dyDescent="0.2"/>
  <cols>
    <col min="1" max="1" width="14.7109375" customWidth="1"/>
    <col min="2" max="2" width="46.5703125" customWidth="1"/>
    <col min="3" max="3" width="25.5703125" bestFit="1" customWidth="1"/>
    <col min="4" max="6" width="14.7109375" customWidth="1"/>
    <col min="7" max="7" width="11.140625" bestFit="1" customWidth="1"/>
    <col min="8" max="8" width="12.7109375" customWidth="1"/>
    <col min="9" max="10" width="11.140625" bestFit="1" customWidth="1"/>
    <col min="11" max="12" width="14.7109375" customWidth="1"/>
    <col min="13" max="13" width="11.140625" bestFit="1" customWidth="1"/>
    <col min="14" max="14" width="13.28515625" customWidth="1"/>
    <col min="15" max="16" width="11.140625" bestFit="1" customWidth="1"/>
    <col min="17" max="18" width="14.7109375" customWidth="1"/>
    <col min="19" max="19" width="11.140625" bestFit="1" customWidth="1"/>
    <col min="20" max="20" width="14" customWidth="1"/>
    <col min="21" max="22" width="11.140625" bestFit="1" customWidth="1"/>
    <col min="23" max="24" width="14.7109375" customWidth="1"/>
  </cols>
  <sheetData>
    <row r="1" spans="1:24" ht="18.75" x14ac:dyDescent="0.3">
      <c r="B1" s="312" t="s">
        <v>3576</v>
      </c>
      <c r="D1" s="310" t="s">
        <v>2613</v>
      </c>
      <c r="G1" s="8" t="s">
        <v>1844</v>
      </c>
    </row>
    <row r="2" spans="1:24" ht="13.5" thickBot="1" x14ac:dyDescent="0.25"/>
    <row r="3" spans="1:24" s="5" customFormat="1" ht="51.75" thickBot="1" x14ac:dyDescent="0.25">
      <c r="A3" s="230" t="s">
        <v>1</v>
      </c>
      <c r="B3" s="230" t="s">
        <v>0</v>
      </c>
      <c r="C3" s="230" t="s">
        <v>4</v>
      </c>
      <c r="D3" s="230" t="s">
        <v>1124</v>
      </c>
      <c r="E3" s="230" t="s">
        <v>2664</v>
      </c>
      <c r="F3" s="230" t="s">
        <v>2665</v>
      </c>
      <c r="G3" s="230" t="s">
        <v>2666</v>
      </c>
      <c r="H3" s="230" t="s">
        <v>2667</v>
      </c>
      <c r="I3" s="230" t="s">
        <v>2668</v>
      </c>
      <c r="J3" s="230" t="s">
        <v>2669</v>
      </c>
      <c r="K3" s="230" t="s">
        <v>2670</v>
      </c>
      <c r="L3" s="230" t="s">
        <v>2671</v>
      </c>
      <c r="M3" s="230" t="s">
        <v>2672</v>
      </c>
      <c r="N3" s="230" t="s">
        <v>2673</v>
      </c>
      <c r="O3" s="230" t="s">
        <v>2674</v>
      </c>
      <c r="P3" s="230" t="s">
        <v>2675</v>
      </c>
      <c r="Q3" s="230" t="s">
        <v>2676</v>
      </c>
      <c r="R3" s="230" t="s">
        <v>2677</v>
      </c>
      <c r="S3" s="230" t="s">
        <v>2678</v>
      </c>
      <c r="T3" s="230" t="s">
        <v>2679</v>
      </c>
      <c r="U3" s="230" t="s">
        <v>2680</v>
      </c>
      <c r="V3" s="230" t="s">
        <v>2681</v>
      </c>
      <c r="W3" s="230" t="s">
        <v>2682</v>
      </c>
      <c r="X3" s="230" t="s">
        <v>2683</v>
      </c>
    </row>
    <row r="4" spans="1:24" x14ac:dyDescent="0.2">
      <c r="A4" s="225" t="s">
        <v>40</v>
      </c>
      <c r="B4" s="226" t="s">
        <v>39</v>
      </c>
      <c r="C4" s="231" t="s">
        <v>19</v>
      </c>
      <c r="D4" s="231" t="s">
        <v>1132</v>
      </c>
      <c r="E4" s="231" t="s">
        <v>2708</v>
      </c>
      <c r="F4" s="231" t="s">
        <v>2691</v>
      </c>
      <c r="G4" s="232">
        <v>1.1000000000000001</v>
      </c>
      <c r="H4" s="233" t="s">
        <v>2709</v>
      </c>
      <c r="I4" s="232">
        <v>1</v>
      </c>
      <c r="J4" s="233" t="s">
        <v>2710</v>
      </c>
      <c r="K4" s="231" t="s">
        <v>873</v>
      </c>
      <c r="L4" s="231" t="s">
        <v>2694</v>
      </c>
      <c r="M4" s="300" t="s">
        <v>16</v>
      </c>
      <c r="N4" s="300" t="s">
        <v>16</v>
      </c>
      <c r="O4" s="300" t="s">
        <v>16</v>
      </c>
      <c r="P4" s="300" t="s">
        <v>16</v>
      </c>
      <c r="Q4" s="300" t="s">
        <v>16</v>
      </c>
      <c r="R4" s="300" t="s">
        <v>16</v>
      </c>
      <c r="S4" s="300" t="s">
        <v>16</v>
      </c>
      <c r="T4" s="300" t="s">
        <v>16</v>
      </c>
      <c r="U4" s="300" t="s">
        <v>16</v>
      </c>
      <c r="V4" s="300" t="s">
        <v>16</v>
      </c>
      <c r="W4" s="300" t="s">
        <v>16</v>
      </c>
      <c r="X4" s="301" t="s">
        <v>16</v>
      </c>
    </row>
    <row r="5" spans="1:24" x14ac:dyDescent="0.2">
      <c r="A5" s="227" t="s">
        <v>64</v>
      </c>
      <c r="B5" s="224" t="s">
        <v>63</v>
      </c>
      <c r="C5" s="234" t="s">
        <v>19</v>
      </c>
      <c r="D5" s="234" t="s">
        <v>1138</v>
      </c>
      <c r="E5" s="234" t="s">
        <v>2735</v>
      </c>
      <c r="F5" s="234" t="s">
        <v>2691</v>
      </c>
      <c r="G5" s="235">
        <v>0.5</v>
      </c>
      <c r="H5" s="236" t="s">
        <v>2736</v>
      </c>
      <c r="I5" s="235">
        <v>0.5</v>
      </c>
      <c r="J5" s="236" t="s">
        <v>2737</v>
      </c>
      <c r="K5" s="234" t="s">
        <v>873</v>
      </c>
      <c r="L5" s="234" t="s">
        <v>2694</v>
      </c>
      <c r="M5" s="302" t="s">
        <v>16</v>
      </c>
      <c r="N5" s="302" t="s">
        <v>16</v>
      </c>
      <c r="O5" s="302" t="s">
        <v>16</v>
      </c>
      <c r="P5" s="302" t="s">
        <v>16</v>
      </c>
      <c r="Q5" s="234" t="s">
        <v>873</v>
      </c>
      <c r="R5" s="302" t="s">
        <v>16</v>
      </c>
      <c r="S5" s="302" t="s">
        <v>16</v>
      </c>
      <c r="T5" s="302" t="s">
        <v>16</v>
      </c>
      <c r="U5" s="302" t="s">
        <v>16</v>
      </c>
      <c r="V5" s="302" t="s">
        <v>16</v>
      </c>
      <c r="W5" s="234" t="s">
        <v>873</v>
      </c>
      <c r="X5" s="303" t="s">
        <v>16</v>
      </c>
    </row>
    <row r="6" spans="1:24" x14ac:dyDescent="0.2">
      <c r="A6" s="227" t="s">
        <v>88</v>
      </c>
      <c r="B6" s="224" t="s">
        <v>87</v>
      </c>
      <c r="C6" s="234" t="s">
        <v>19</v>
      </c>
      <c r="D6" s="234" t="s">
        <v>1154</v>
      </c>
      <c r="E6" s="234" t="s">
        <v>2763</v>
      </c>
      <c r="F6" s="234" t="s">
        <v>2691</v>
      </c>
      <c r="G6" s="235">
        <v>0.98640000000000005</v>
      </c>
      <c r="H6" s="236" t="s">
        <v>2764</v>
      </c>
      <c r="I6" s="235">
        <v>0.98640000000000005</v>
      </c>
      <c r="J6" s="236" t="s">
        <v>2761</v>
      </c>
      <c r="K6" s="234" t="s">
        <v>873</v>
      </c>
      <c r="L6" s="234" t="s">
        <v>2694</v>
      </c>
      <c r="M6" s="235">
        <v>0</v>
      </c>
      <c r="N6" s="302" t="s">
        <v>16</v>
      </c>
      <c r="O6" s="235">
        <v>0</v>
      </c>
      <c r="P6" s="302" t="s">
        <v>16</v>
      </c>
      <c r="Q6" s="234" t="s">
        <v>873</v>
      </c>
      <c r="R6" s="302" t="s">
        <v>16</v>
      </c>
      <c r="S6" s="235">
        <v>0</v>
      </c>
      <c r="T6" s="302" t="s">
        <v>16</v>
      </c>
      <c r="U6" s="235">
        <v>0</v>
      </c>
      <c r="V6" s="302" t="s">
        <v>16</v>
      </c>
      <c r="W6" s="234" t="s">
        <v>873</v>
      </c>
      <c r="X6" s="303" t="s">
        <v>16</v>
      </c>
    </row>
    <row r="7" spans="1:24" x14ac:dyDescent="0.2">
      <c r="A7" s="227" t="s">
        <v>90</v>
      </c>
      <c r="B7" s="224" t="s">
        <v>89</v>
      </c>
      <c r="C7" s="234" t="s">
        <v>19</v>
      </c>
      <c r="D7" s="234" t="s">
        <v>1132</v>
      </c>
      <c r="E7" s="234" t="s">
        <v>2765</v>
      </c>
      <c r="F7" s="234" t="s">
        <v>2691</v>
      </c>
      <c r="G7" s="235">
        <v>0.4</v>
      </c>
      <c r="H7" s="236" t="s">
        <v>2766</v>
      </c>
      <c r="I7" s="235">
        <v>0.33689999999999998</v>
      </c>
      <c r="J7" s="302" t="s">
        <v>16</v>
      </c>
      <c r="K7" s="234" t="s">
        <v>872</v>
      </c>
      <c r="L7" s="234" t="s">
        <v>2694</v>
      </c>
      <c r="M7" s="235">
        <v>0</v>
      </c>
      <c r="N7" s="302" t="s">
        <v>16</v>
      </c>
      <c r="O7" s="235">
        <v>0</v>
      </c>
      <c r="P7" s="302" t="s">
        <v>16</v>
      </c>
      <c r="Q7" s="234" t="s">
        <v>873</v>
      </c>
      <c r="R7" s="302" t="s">
        <v>16</v>
      </c>
      <c r="S7" s="235">
        <v>0</v>
      </c>
      <c r="T7" s="302" t="s">
        <v>16</v>
      </c>
      <c r="U7" s="235">
        <v>0</v>
      </c>
      <c r="V7" s="302" t="s">
        <v>16</v>
      </c>
      <c r="W7" s="234" t="s">
        <v>873</v>
      </c>
      <c r="X7" s="303" t="s">
        <v>16</v>
      </c>
    </row>
    <row r="8" spans="1:24" x14ac:dyDescent="0.2">
      <c r="A8" s="227" t="s">
        <v>94</v>
      </c>
      <c r="B8" s="224" t="s">
        <v>93</v>
      </c>
      <c r="C8" s="234" t="s">
        <v>19</v>
      </c>
      <c r="D8" s="234" t="s">
        <v>1155</v>
      </c>
      <c r="E8" s="234" t="s">
        <v>1156</v>
      </c>
      <c r="F8" s="234" t="s">
        <v>2664</v>
      </c>
      <c r="G8" s="235">
        <v>0</v>
      </c>
      <c r="H8" s="302" t="s">
        <v>16</v>
      </c>
      <c r="I8" s="235">
        <v>0</v>
      </c>
      <c r="J8" s="302" t="s">
        <v>16</v>
      </c>
      <c r="K8" s="234" t="s">
        <v>873</v>
      </c>
      <c r="L8" s="302" t="s">
        <v>16</v>
      </c>
      <c r="M8" s="235">
        <v>0</v>
      </c>
      <c r="N8" s="302" t="s">
        <v>16</v>
      </c>
      <c r="O8" s="235">
        <v>0</v>
      </c>
      <c r="P8" s="302" t="s">
        <v>16</v>
      </c>
      <c r="Q8" s="234" t="s">
        <v>873</v>
      </c>
      <c r="R8" s="302" t="s">
        <v>16</v>
      </c>
      <c r="S8" s="235">
        <v>0</v>
      </c>
      <c r="T8" s="302" t="s">
        <v>16</v>
      </c>
      <c r="U8" s="235">
        <v>0</v>
      </c>
      <c r="V8" s="302" t="s">
        <v>16</v>
      </c>
      <c r="W8" s="234" t="s">
        <v>873</v>
      </c>
      <c r="X8" s="303" t="s">
        <v>16</v>
      </c>
    </row>
    <row r="9" spans="1:24" x14ac:dyDescent="0.2">
      <c r="A9" s="227" t="s">
        <v>98</v>
      </c>
      <c r="B9" s="224" t="s">
        <v>97</v>
      </c>
      <c r="C9" s="234" t="s">
        <v>19</v>
      </c>
      <c r="D9" s="234" t="s">
        <v>1158</v>
      </c>
      <c r="E9" s="234" t="s">
        <v>2777</v>
      </c>
      <c r="F9" s="234" t="s">
        <v>2691</v>
      </c>
      <c r="G9" s="235">
        <v>0.75</v>
      </c>
      <c r="H9" s="236" t="s">
        <v>2778</v>
      </c>
      <c r="I9" s="235">
        <v>0.6</v>
      </c>
      <c r="J9" s="302" t="s">
        <v>16</v>
      </c>
      <c r="K9" s="234" t="s">
        <v>872</v>
      </c>
      <c r="L9" s="234" t="s">
        <v>2723</v>
      </c>
      <c r="M9" s="302" t="s">
        <v>16</v>
      </c>
      <c r="N9" s="236" t="s">
        <v>2779</v>
      </c>
      <c r="O9" s="302" t="s">
        <v>16</v>
      </c>
      <c r="P9" s="236" t="s">
        <v>2780</v>
      </c>
      <c r="Q9" s="234" t="s">
        <v>872</v>
      </c>
      <c r="R9" s="302" t="s">
        <v>16</v>
      </c>
      <c r="S9" s="302" t="s">
        <v>16</v>
      </c>
      <c r="T9" s="302" t="s">
        <v>16</v>
      </c>
      <c r="U9" s="302" t="s">
        <v>16</v>
      </c>
      <c r="V9" s="302" t="s">
        <v>16</v>
      </c>
      <c r="W9" s="302" t="s">
        <v>16</v>
      </c>
      <c r="X9" s="303" t="s">
        <v>16</v>
      </c>
    </row>
    <row r="10" spans="1:24" x14ac:dyDescent="0.2">
      <c r="A10" s="227" t="s">
        <v>100</v>
      </c>
      <c r="B10" s="224" t="s">
        <v>99</v>
      </c>
      <c r="C10" s="234" t="s">
        <v>19</v>
      </c>
      <c r="D10" s="234" t="s">
        <v>1158</v>
      </c>
      <c r="E10" s="234" t="s">
        <v>1159</v>
      </c>
      <c r="F10" s="234" t="s">
        <v>2781</v>
      </c>
      <c r="G10" s="235">
        <v>0.6</v>
      </c>
      <c r="H10" s="236" t="s">
        <v>2782</v>
      </c>
      <c r="I10" s="235">
        <v>0.6</v>
      </c>
      <c r="J10" s="236" t="s">
        <v>2783</v>
      </c>
      <c r="K10" s="234" t="s">
        <v>873</v>
      </c>
      <c r="L10" s="234" t="s">
        <v>2694</v>
      </c>
      <c r="M10" s="302" t="s">
        <v>16</v>
      </c>
      <c r="N10" s="302" t="s">
        <v>16</v>
      </c>
      <c r="O10" s="302" t="s">
        <v>16</v>
      </c>
      <c r="P10" s="302" t="s">
        <v>16</v>
      </c>
      <c r="Q10" s="234" t="s">
        <v>873</v>
      </c>
      <c r="R10" s="302" t="s">
        <v>16</v>
      </c>
      <c r="S10" s="302" t="s">
        <v>16</v>
      </c>
      <c r="T10" s="302" t="s">
        <v>16</v>
      </c>
      <c r="U10" s="302" t="s">
        <v>16</v>
      </c>
      <c r="V10" s="302" t="s">
        <v>16</v>
      </c>
      <c r="W10" s="234" t="s">
        <v>873</v>
      </c>
      <c r="X10" s="303" t="s">
        <v>16</v>
      </c>
    </row>
    <row r="11" spans="1:24" x14ac:dyDescent="0.2">
      <c r="A11" s="227" t="s">
        <v>108</v>
      </c>
      <c r="B11" s="224" t="s">
        <v>107</v>
      </c>
      <c r="C11" s="234" t="s">
        <v>19</v>
      </c>
      <c r="D11" s="234" t="s">
        <v>1158</v>
      </c>
      <c r="E11" s="234" t="s">
        <v>2788</v>
      </c>
      <c r="F11" s="234" t="s">
        <v>2691</v>
      </c>
      <c r="G11" s="235">
        <v>0.35</v>
      </c>
      <c r="H11" s="236" t="s">
        <v>2789</v>
      </c>
      <c r="I11" s="235">
        <v>0.35</v>
      </c>
      <c r="J11" s="236" t="s">
        <v>2790</v>
      </c>
      <c r="K11" s="234" t="s">
        <v>873</v>
      </c>
      <c r="L11" s="234" t="s">
        <v>2694</v>
      </c>
      <c r="M11" s="302" t="s">
        <v>16</v>
      </c>
      <c r="N11" s="302" t="s">
        <v>16</v>
      </c>
      <c r="O11" s="302" t="s">
        <v>16</v>
      </c>
      <c r="P11" s="302" t="s">
        <v>16</v>
      </c>
      <c r="Q11" s="234" t="s">
        <v>873</v>
      </c>
      <c r="R11" s="302" t="s">
        <v>16</v>
      </c>
      <c r="S11" s="302" t="s">
        <v>16</v>
      </c>
      <c r="T11" s="302" t="s">
        <v>16</v>
      </c>
      <c r="U11" s="302" t="s">
        <v>16</v>
      </c>
      <c r="V11" s="302" t="s">
        <v>16</v>
      </c>
      <c r="W11" s="234" t="s">
        <v>873</v>
      </c>
      <c r="X11" s="303" t="s">
        <v>16</v>
      </c>
    </row>
    <row r="12" spans="1:24" x14ac:dyDescent="0.2">
      <c r="A12" s="227" t="s">
        <v>138</v>
      </c>
      <c r="B12" s="224" t="s">
        <v>137</v>
      </c>
      <c r="C12" s="234" t="s">
        <v>19</v>
      </c>
      <c r="D12" s="234" t="s">
        <v>1167</v>
      </c>
      <c r="E12" s="234" t="s">
        <v>1168</v>
      </c>
      <c r="F12" s="234" t="s">
        <v>2664</v>
      </c>
      <c r="G12" s="302" t="s">
        <v>16</v>
      </c>
      <c r="H12" s="302" t="s">
        <v>16</v>
      </c>
      <c r="I12" s="302" t="s">
        <v>16</v>
      </c>
      <c r="J12" s="302" t="s">
        <v>16</v>
      </c>
      <c r="K12" s="234" t="s">
        <v>873</v>
      </c>
      <c r="L12" s="302" t="s">
        <v>16</v>
      </c>
      <c r="M12" s="302" t="s">
        <v>16</v>
      </c>
      <c r="N12" s="302" t="s">
        <v>16</v>
      </c>
      <c r="O12" s="302" t="s">
        <v>16</v>
      </c>
      <c r="P12" s="302" t="s">
        <v>16</v>
      </c>
      <c r="Q12" s="234" t="s">
        <v>873</v>
      </c>
      <c r="R12" s="302" t="s">
        <v>16</v>
      </c>
      <c r="S12" s="302" t="s">
        <v>16</v>
      </c>
      <c r="T12" s="302" t="s">
        <v>16</v>
      </c>
      <c r="U12" s="302" t="s">
        <v>16</v>
      </c>
      <c r="V12" s="302" t="s">
        <v>16</v>
      </c>
      <c r="W12" s="234" t="s">
        <v>873</v>
      </c>
      <c r="X12" s="303" t="s">
        <v>16</v>
      </c>
    </row>
    <row r="13" spans="1:24" x14ac:dyDescent="0.2">
      <c r="A13" s="227" t="s">
        <v>154</v>
      </c>
      <c r="B13" s="224" t="s">
        <v>153</v>
      </c>
      <c r="C13" s="234" t="s">
        <v>19</v>
      </c>
      <c r="D13" s="234" t="s">
        <v>1177</v>
      </c>
      <c r="E13" s="234" t="s">
        <v>2847</v>
      </c>
      <c r="F13" s="234" t="s">
        <v>2664</v>
      </c>
      <c r="G13" s="235">
        <v>0.5</v>
      </c>
      <c r="H13" s="236" t="s">
        <v>2848</v>
      </c>
      <c r="I13" s="235">
        <v>0.5</v>
      </c>
      <c r="J13" s="236" t="s">
        <v>2849</v>
      </c>
      <c r="K13" s="234" t="s">
        <v>873</v>
      </c>
      <c r="L13" s="302" t="s">
        <v>16</v>
      </c>
      <c r="M13" s="235">
        <v>0</v>
      </c>
      <c r="N13" s="302" t="s">
        <v>16</v>
      </c>
      <c r="O13" s="235">
        <v>0</v>
      </c>
      <c r="P13" s="302" t="s">
        <v>16</v>
      </c>
      <c r="Q13" s="234" t="s">
        <v>873</v>
      </c>
      <c r="R13" s="302" t="s">
        <v>16</v>
      </c>
      <c r="S13" s="235">
        <v>0</v>
      </c>
      <c r="T13" s="302" t="s">
        <v>16</v>
      </c>
      <c r="U13" s="235">
        <v>0</v>
      </c>
      <c r="V13" s="302" t="s">
        <v>16</v>
      </c>
      <c r="W13" s="234" t="s">
        <v>873</v>
      </c>
      <c r="X13" s="303" t="s">
        <v>16</v>
      </c>
    </row>
    <row r="14" spans="1:24" x14ac:dyDescent="0.2">
      <c r="A14" s="227" t="s">
        <v>164</v>
      </c>
      <c r="B14" s="224" t="s">
        <v>163</v>
      </c>
      <c r="C14" s="234" t="s">
        <v>19</v>
      </c>
      <c r="D14" s="234" t="s">
        <v>1132</v>
      </c>
      <c r="E14" s="234" t="s">
        <v>1181</v>
      </c>
      <c r="F14" s="234" t="s">
        <v>2691</v>
      </c>
      <c r="G14" s="235">
        <v>1</v>
      </c>
      <c r="H14" s="236" t="s">
        <v>2859</v>
      </c>
      <c r="I14" s="235">
        <v>0.35</v>
      </c>
      <c r="J14" s="236" t="s">
        <v>2860</v>
      </c>
      <c r="K14" s="234" t="s">
        <v>873</v>
      </c>
      <c r="L14" s="234" t="s">
        <v>2694</v>
      </c>
      <c r="M14" s="235">
        <v>0</v>
      </c>
      <c r="N14" s="302" t="s">
        <v>16</v>
      </c>
      <c r="O14" s="235">
        <v>0</v>
      </c>
      <c r="P14" s="302" t="s">
        <v>16</v>
      </c>
      <c r="Q14" s="234" t="s">
        <v>873</v>
      </c>
      <c r="R14" s="302" t="s">
        <v>16</v>
      </c>
      <c r="S14" s="235">
        <v>0</v>
      </c>
      <c r="T14" s="302" t="s">
        <v>16</v>
      </c>
      <c r="U14" s="235">
        <v>0</v>
      </c>
      <c r="V14" s="302" t="s">
        <v>16</v>
      </c>
      <c r="W14" s="234" t="s">
        <v>873</v>
      </c>
      <c r="X14" s="303" t="s">
        <v>16</v>
      </c>
    </row>
    <row r="15" spans="1:24" x14ac:dyDescent="0.2">
      <c r="A15" s="227" t="s">
        <v>172</v>
      </c>
      <c r="B15" s="224" t="s">
        <v>171</v>
      </c>
      <c r="C15" s="234" t="s">
        <v>19</v>
      </c>
      <c r="D15" s="234" t="s">
        <v>1182</v>
      </c>
      <c r="E15" s="234" t="s">
        <v>1183</v>
      </c>
      <c r="F15" s="234" t="s">
        <v>2664</v>
      </c>
      <c r="G15" s="235">
        <v>0.25</v>
      </c>
      <c r="H15" s="236" t="s">
        <v>2874</v>
      </c>
      <c r="I15" s="235">
        <v>0.25</v>
      </c>
      <c r="J15" s="236" t="s">
        <v>2813</v>
      </c>
      <c r="K15" s="234" t="s">
        <v>873</v>
      </c>
      <c r="L15" s="234" t="s">
        <v>2723</v>
      </c>
      <c r="M15" s="302" t="s">
        <v>16</v>
      </c>
      <c r="N15" s="302" t="s">
        <v>16</v>
      </c>
      <c r="O15" s="302" t="s">
        <v>16</v>
      </c>
      <c r="P15" s="302" t="s">
        <v>16</v>
      </c>
      <c r="Q15" s="234" t="s">
        <v>873</v>
      </c>
      <c r="R15" s="302" t="s">
        <v>16</v>
      </c>
      <c r="S15" s="302" t="s">
        <v>16</v>
      </c>
      <c r="T15" s="302" t="s">
        <v>16</v>
      </c>
      <c r="U15" s="302" t="s">
        <v>16</v>
      </c>
      <c r="V15" s="302" t="s">
        <v>16</v>
      </c>
      <c r="W15" s="234" t="s">
        <v>873</v>
      </c>
      <c r="X15" s="303" t="s">
        <v>16</v>
      </c>
    </row>
    <row r="16" spans="1:24" x14ac:dyDescent="0.2">
      <c r="A16" s="227" t="s">
        <v>184</v>
      </c>
      <c r="B16" s="224" t="s">
        <v>183</v>
      </c>
      <c r="C16" s="234" t="s">
        <v>19</v>
      </c>
      <c r="D16" s="234" t="s">
        <v>1126</v>
      </c>
      <c r="E16" s="234" t="s">
        <v>1152</v>
      </c>
      <c r="F16" s="234" t="s">
        <v>2664</v>
      </c>
      <c r="G16" s="235">
        <v>1</v>
      </c>
      <c r="H16" s="236" t="s">
        <v>2889</v>
      </c>
      <c r="I16" s="235">
        <v>0.84550000000000003</v>
      </c>
      <c r="J16" s="302" t="s">
        <v>16</v>
      </c>
      <c r="K16" s="234" t="s">
        <v>872</v>
      </c>
      <c r="L16" s="234" t="s">
        <v>2694</v>
      </c>
      <c r="M16" s="302" t="s">
        <v>16</v>
      </c>
      <c r="N16" s="302" t="s">
        <v>16</v>
      </c>
      <c r="O16" s="302" t="s">
        <v>16</v>
      </c>
      <c r="P16" s="302" t="s">
        <v>16</v>
      </c>
      <c r="Q16" s="234" t="s">
        <v>873</v>
      </c>
      <c r="R16" s="302" t="s">
        <v>16</v>
      </c>
      <c r="S16" s="302" t="s">
        <v>16</v>
      </c>
      <c r="T16" s="302" t="s">
        <v>16</v>
      </c>
      <c r="U16" s="302" t="s">
        <v>16</v>
      </c>
      <c r="V16" s="302" t="s">
        <v>16</v>
      </c>
      <c r="W16" s="234" t="s">
        <v>873</v>
      </c>
      <c r="X16" s="303" t="s">
        <v>16</v>
      </c>
    </row>
    <row r="17" spans="1:24" x14ac:dyDescent="0.2">
      <c r="A17" s="227" t="s">
        <v>192</v>
      </c>
      <c r="B17" s="224" t="s">
        <v>191</v>
      </c>
      <c r="C17" s="234" t="s">
        <v>19</v>
      </c>
      <c r="D17" s="234" t="s">
        <v>1167</v>
      </c>
      <c r="E17" s="234" t="s">
        <v>1189</v>
      </c>
      <c r="F17" s="234" t="s">
        <v>2664</v>
      </c>
      <c r="G17" s="235">
        <v>1</v>
      </c>
      <c r="H17" s="236" t="s">
        <v>2890</v>
      </c>
      <c r="I17" s="235">
        <v>0.89439999999999997</v>
      </c>
      <c r="J17" s="236" t="s">
        <v>2895</v>
      </c>
      <c r="K17" s="234" t="s">
        <v>873</v>
      </c>
      <c r="L17" s="234" t="s">
        <v>2694</v>
      </c>
      <c r="M17" s="235">
        <v>0.75</v>
      </c>
      <c r="N17" s="236" t="s">
        <v>2896</v>
      </c>
      <c r="O17" s="235">
        <v>0.75</v>
      </c>
      <c r="P17" s="236" t="s">
        <v>2897</v>
      </c>
      <c r="Q17" s="234" t="s">
        <v>873</v>
      </c>
      <c r="R17" s="234" t="s">
        <v>2772</v>
      </c>
      <c r="S17" s="302" t="s">
        <v>16</v>
      </c>
      <c r="T17" s="302" t="s">
        <v>16</v>
      </c>
      <c r="U17" s="302" t="s">
        <v>16</v>
      </c>
      <c r="V17" s="302" t="s">
        <v>16</v>
      </c>
      <c r="W17" s="302" t="s">
        <v>16</v>
      </c>
      <c r="X17" s="303" t="s">
        <v>16</v>
      </c>
    </row>
    <row r="18" spans="1:24" x14ac:dyDescent="0.2">
      <c r="A18" s="227" t="s">
        <v>194</v>
      </c>
      <c r="B18" s="224" t="s">
        <v>193</v>
      </c>
      <c r="C18" s="234" t="s">
        <v>19</v>
      </c>
      <c r="D18" s="234" t="s">
        <v>1166</v>
      </c>
      <c r="E18" s="234" t="s">
        <v>2898</v>
      </c>
      <c r="F18" s="234" t="s">
        <v>2664</v>
      </c>
      <c r="G18" s="235">
        <v>1</v>
      </c>
      <c r="H18" s="236" t="s">
        <v>2899</v>
      </c>
      <c r="I18" s="235">
        <v>1</v>
      </c>
      <c r="J18" s="236" t="s">
        <v>2900</v>
      </c>
      <c r="K18" s="234" t="s">
        <v>873</v>
      </c>
      <c r="L18" s="234" t="s">
        <v>2687</v>
      </c>
      <c r="M18" s="302" t="s">
        <v>16</v>
      </c>
      <c r="N18" s="302" t="s">
        <v>16</v>
      </c>
      <c r="O18" s="302" t="s">
        <v>16</v>
      </c>
      <c r="P18" s="302" t="s">
        <v>16</v>
      </c>
      <c r="Q18" s="234" t="s">
        <v>873</v>
      </c>
      <c r="R18" s="302" t="s">
        <v>16</v>
      </c>
      <c r="S18" s="302" t="s">
        <v>16</v>
      </c>
      <c r="T18" s="302" t="s">
        <v>16</v>
      </c>
      <c r="U18" s="302" t="s">
        <v>16</v>
      </c>
      <c r="V18" s="302" t="s">
        <v>16</v>
      </c>
      <c r="W18" s="234" t="s">
        <v>873</v>
      </c>
      <c r="X18" s="303" t="s">
        <v>16</v>
      </c>
    </row>
    <row r="19" spans="1:24" x14ac:dyDescent="0.2">
      <c r="A19" s="227" t="s">
        <v>210</v>
      </c>
      <c r="B19" s="224" t="s">
        <v>209</v>
      </c>
      <c r="C19" s="234" t="s">
        <v>19</v>
      </c>
      <c r="D19" s="234" t="s">
        <v>1154</v>
      </c>
      <c r="E19" s="234" t="s">
        <v>2918</v>
      </c>
      <c r="F19" s="234" t="s">
        <v>2691</v>
      </c>
      <c r="G19" s="235">
        <v>0.5</v>
      </c>
      <c r="H19" s="236" t="s">
        <v>2770</v>
      </c>
      <c r="I19" s="235">
        <v>0.48849999999999999</v>
      </c>
      <c r="J19" s="236" t="s">
        <v>2697</v>
      </c>
      <c r="K19" s="234" t="s">
        <v>873</v>
      </c>
      <c r="L19" s="234" t="s">
        <v>2694</v>
      </c>
      <c r="M19" s="235">
        <v>0.5</v>
      </c>
      <c r="N19" s="236" t="s">
        <v>2770</v>
      </c>
      <c r="O19" s="235">
        <v>0.48849999999999999</v>
      </c>
      <c r="P19" s="236" t="s">
        <v>2697</v>
      </c>
      <c r="Q19" s="234" t="s">
        <v>873</v>
      </c>
      <c r="R19" s="234" t="s">
        <v>2694</v>
      </c>
      <c r="S19" s="302" t="s">
        <v>16</v>
      </c>
      <c r="T19" s="302" t="s">
        <v>16</v>
      </c>
      <c r="U19" s="302" t="s">
        <v>16</v>
      </c>
      <c r="V19" s="302" t="s">
        <v>16</v>
      </c>
      <c r="W19" s="234" t="s">
        <v>873</v>
      </c>
      <c r="X19" s="303" t="s">
        <v>16</v>
      </c>
    </row>
    <row r="20" spans="1:24" x14ac:dyDescent="0.2">
      <c r="A20" s="227" t="s">
        <v>212</v>
      </c>
      <c r="B20" s="224" t="s">
        <v>211</v>
      </c>
      <c r="C20" s="234" t="s">
        <v>19</v>
      </c>
      <c r="D20" s="234" t="s">
        <v>1195</v>
      </c>
      <c r="E20" s="234" t="s">
        <v>2919</v>
      </c>
      <c r="F20" s="234" t="s">
        <v>2664</v>
      </c>
      <c r="G20" s="235">
        <v>0.4</v>
      </c>
      <c r="H20" s="236" t="s">
        <v>2920</v>
      </c>
      <c r="I20" s="235">
        <v>0.4</v>
      </c>
      <c r="J20" s="236" t="s">
        <v>2921</v>
      </c>
      <c r="K20" s="234" t="s">
        <v>873</v>
      </c>
      <c r="L20" s="234" t="s">
        <v>2694</v>
      </c>
      <c r="M20" s="235">
        <v>0</v>
      </c>
      <c r="N20" s="302" t="s">
        <v>16</v>
      </c>
      <c r="O20" s="235">
        <v>0</v>
      </c>
      <c r="P20" s="302" t="s">
        <v>16</v>
      </c>
      <c r="Q20" s="234" t="s">
        <v>873</v>
      </c>
      <c r="R20" s="302" t="s">
        <v>16</v>
      </c>
      <c r="S20" s="235">
        <v>0</v>
      </c>
      <c r="T20" s="302" t="s">
        <v>16</v>
      </c>
      <c r="U20" s="235">
        <v>0</v>
      </c>
      <c r="V20" s="302" t="s">
        <v>16</v>
      </c>
      <c r="W20" s="234" t="s">
        <v>873</v>
      </c>
      <c r="X20" s="303" t="s">
        <v>16</v>
      </c>
    </row>
    <row r="21" spans="1:24" x14ac:dyDescent="0.2">
      <c r="A21" s="227" t="s">
        <v>214</v>
      </c>
      <c r="B21" s="224" t="s">
        <v>213</v>
      </c>
      <c r="C21" s="234" t="s">
        <v>19</v>
      </c>
      <c r="D21" s="234" t="s">
        <v>1196</v>
      </c>
      <c r="E21" s="234" t="s">
        <v>2922</v>
      </c>
      <c r="F21" s="234" t="s">
        <v>2691</v>
      </c>
      <c r="G21" s="235">
        <v>1</v>
      </c>
      <c r="H21" s="236" t="s">
        <v>2692</v>
      </c>
      <c r="I21" s="235">
        <v>1</v>
      </c>
      <c r="J21" s="236" t="s">
        <v>2923</v>
      </c>
      <c r="K21" s="234" t="s">
        <v>873</v>
      </c>
      <c r="L21" s="234" t="s">
        <v>2924</v>
      </c>
      <c r="M21" s="302" t="s">
        <v>16</v>
      </c>
      <c r="N21" s="236" t="s">
        <v>2762</v>
      </c>
      <c r="O21" s="302" t="s">
        <v>16</v>
      </c>
      <c r="P21" s="236" t="s">
        <v>2779</v>
      </c>
      <c r="Q21" s="234" t="s">
        <v>873</v>
      </c>
      <c r="R21" s="234" t="s">
        <v>2924</v>
      </c>
      <c r="S21" s="235">
        <v>0</v>
      </c>
      <c r="T21" s="236" t="s">
        <v>2762</v>
      </c>
      <c r="U21" s="302" t="s">
        <v>16</v>
      </c>
      <c r="V21" s="236" t="s">
        <v>2779</v>
      </c>
      <c r="W21" s="234" t="s">
        <v>873</v>
      </c>
      <c r="X21" s="303" t="s">
        <v>16</v>
      </c>
    </row>
    <row r="22" spans="1:24" x14ac:dyDescent="0.2">
      <c r="A22" s="227" t="s">
        <v>216</v>
      </c>
      <c r="B22" s="224" t="s">
        <v>215</v>
      </c>
      <c r="C22" s="234" t="s">
        <v>19</v>
      </c>
      <c r="D22" s="234" t="s">
        <v>1130</v>
      </c>
      <c r="E22" s="234" t="s">
        <v>2925</v>
      </c>
      <c r="F22" s="234" t="s">
        <v>2664</v>
      </c>
      <c r="G22" s="235">
        <v>0.5</v>
      </c>
      <c r="H22" s="236" t="s">
        <v>2926</v>
      </c>
      <c r="I22" s="235">
        <v>0.5</v>
      </c>
      <c r="J22" s="236" t="s">
        <v>2927</v>
      </c>
      <c r="K22" s="234" t="s">
        <v>873</v>
      </c>
      <c r="L22" s="234" t="s">
        <v>2694</v>
      </c>
      <c r="M22" s="235">
        <v>0.5</v>
      </c>
      <c r="N22" s="236" t="s">
        <v>2926</v>
      </c>
      <c r="O22" s="235">
        <v>0.5</v>
      </c>
      <c r="P22" s="236" t="s">
        <v>2927</v>
      </c>
      <c r="Q22" s="234" t="s">
        <v>873</v>
      </c>
      <c r="R22" s="234" t="s">
        <v>2723</v>
      </c>
      <c r="S22" s="235">
        <v>0</v>
      </c>
      <c r="T22" s="302" t="s">
        <v>16</v>
      </c>
      <c r="U22" s="235">
        <v>0</v>
      </c>
      <c r="V22" s="302" t="s">
        <v>16</v>
      </c>
      <c r="W22" s="234" t="s">
        <v>873</v>
      </c>
      <c r="X22" s="303" t="s">
        <v>16</v>
      </c>
    </row>
    <row r="23" spans="1:24" x14ac:dyDescent="0.2">
      <c r="A23" s="227" t="s">
        <v>219</v>
      </c>
      <c r="B23" s="224" t="s">
        <v>218</v>
      </c>
      <c r="C23" s="234" t="s">
        <v>19</v>
      </c>
      <c r="D23" s="234" t="s">
        <v>1158</v>
      </c>
      <c r="E23" s="234" t="s">
        <v>1159</v>
      </c>
      <c r="F23" s="234" t="s">
        <v>2781</v>
      </c>
      <c r="G23" s="235">
        <v>0.3</v>
      </c>
      <c r="H23" s="236" t="s">
        <v>2928</v>
      </c>
      <c r="I23" s="235">
        <v>0.3</v>
      </c>
      <c r="J23" s="236" t="s">
        <v>2929</v>
      </c>
      <c r="K23" s="234" t="s">
        <v>873</v>
      </c>
      <c r="L23" s="234" t="s">
        <v>2694</v>
      </c>
      <c r="M23" s="302" t="s">
        <v>16</v>
      </c>
      <c r="N23" s="302" t="s">
        <v>16</v>
      </c>
      <c r="O23" s="302" t="s">
        <v>16</v>
      </c>
      <c r="P23" s="302" t="s">
        <v>16</v>
      </c>
      <c r="Q23" s="234" t="s">
        <v>873</v>
      </c>
      <c r="R23" s="302" t="s">
        <v>16</v>
      </c>
      <c r="S23" s="302" t="s">
        <v>16</v>
      </c>
      <c r="T23" s="302" t="s">
        <v>16</v>
      </c>
      <c r="U23" s="302" t="s">
        <v>16</v>
      </c>
      <c r="V23" s="302" t="s">
        <v>16</v>
      </c>
      <c r="W23" s="234" t="s">
        <v>873</v>
      </c>
      <c r="X23" s="303" t="s">
        <v>16</v>
      </c>
    </row>
    <row r="24" spans="1:24" x14ac:dyDescent="0.2">
      <c r="A24" s="227" t="s">
        <v>231</v>
      </c>
      <c r="B24" s="224" t="s">
        <v>230</v>
      </c>
      <c r="C24" s="234" t="s">
        <v>19</v>
      </c>
      <c r="D24" s="234" t="s">
        <v>1201</v>
      </c>
      <c r="E24" s="234" t="s">
        <v>2940</v>
      </c>
      <c r="F24" s="234" t="s">
        <v>2836</v>
      </c>
      <c r="G24" s="302" t="s">
        <v>16</v>
      </c>
      <c r="H24" s="302" t="s">
        <v>16</v>
      </c>
      <c r="I24" s="302" t="s">
        <v>16</v>
      </c>
      <c r="J24" s="302" t="s">
        <v>16</v>
      </c>
      <c r="K24" s="302" t="s">
        <v>16</v>
      </c>
      <c r="L24" s="302" t="s">
        <v>16</v>
      </c>
      <c r="M24" s="302" t="s">
        <v>16</v>
      </c>
      <c r="N24" s="302" t="s">
        <v>16</v>
      </c>
      <c r="O24" s="302" t="s">
        <v>16</v>
      </c>
      <c r="P24" s="302" t="s">
        <v>16</v>
      </c>
      <c r="Q24" s="302" t="s">
        <v>16</v>
      </c>
      <c r="R24" s="302" t="s">
        <v>16</v>
      </c>
      <c r="S24" s="302" t="s">
        <v>16</v>
      </c>
      <c r="T24" s="302" t="s">
        <v>16</v>
      </c>
      <c r="U24" s="302" t="s">
        <v>16</v>
      </c>
      <c r="V24" s="302" t="s">
        <v>16</v>
      </c>
      <c r="W24" s="302" t="s">
        <v>16</v>
      </c>
      <c r="X24" s="303" t="s">
        <v>16</v>
      </c>
    </row>
    <row r="25" spans="1:24" x14ac:dyDescent="0.2">
      <c r="A25" s="227" t="s">
        <v>267</v>
      </c>
      <c r="B25" s="224" t="s">
        <v>266</v>
      </c>
      <c r="C25" s="234" t="s">
        <v>19</v>
      </c>
      <c r="D25" s="234" t="s">
        <v>1127</v>
      </c>
      <c r="E25" s="234" t="s">
        <v>2978</v>
      </c>
      <c r="F25" s="234" t="s">
        <v>2664</v>
      </c>
      <c r="G25" s="235">
        <v>0.2</v>
      </c>
      <c r="H25" s="236" t="s">
        <v>2926</v>
      </c>
      <c r="I25" s="235">
        <v>0.2</v>
      </c>
      <c r="J25" s="236" t="s">
        <v>2979</v>
      </c>
      <c r="K25" s="234" t="s">
        <v>873</v>
      </c>
      <c r="L25" s="234" t="s">
        <v>2723</v>
      </c>
      <c r="M25" s="235">
        <v>0</v>
      </c>
      <c r="N25" s="236" t="s">
        <v>891</v>
      </c>
      <c r="O25" s="235">
        <v>0</v>
      </c>
      <c r="P25" s="236" t="s">
        <v>891</v>
      </c>
      <c r="Q25" s="234" t="s">
        <v>873</v>
      </c>
      <c r="R25" s="234" t="s">
        <v>891</v>
      </c>
      <c r="S25" s="235">
        <v>0</v>
      </c>
      <c r="T25" s="236" t="s">
        <v>891</v>
      </c>
      <c r="U25" s="235">
        <v>0</v>
      </c>
      <c r="V25" s="236" t="s">
        <v>891</v>
      </c>
      <c r="W25" s="234" t="s">
        <v>873</v>
      </c>
      <c r="X25" s="237" t="s">
        <v>891</v>
      </c>
    </row>
    <row r="26" spans="1:24" x14ac:dyDescent="0.2">
      <c r="A26" s="227" t="s">
        <v>269</v>
      </c>
      <c r="B26" s="224" t="s">
        <v>268</v>
      </c>
      <c r="C26" s="234" t="s">
        <v>19</v>
      </c>
      <c r="D26" s="234" t="s">
        <v>1152</v>
      </c>
      <c r="E26" s="234" t="s">
        <v>2980</v>
      </c>
      <c r="F26" s="234" t="s">
        <v>2691</v>
      </c>
      <c r="G26" s="235">
        <v>1</v>
      </c>
      <c r="H26" s="236" t="s">
        <v>2981</v>
      </c>
      <c r="I26" s="235">
        <v>0.98509999999999998</v>
      </c>
      <c r="J26" s="236" t="s">
        <v>1139</v>
      </c>
      <c r="K26" s="234" t="s">
        <v>872</v>
      </c>
      <c r="L26" s="234" t="s">
        <v>2694</v>
      </c>
      <c r="M26" s="302" t="s">
        <v>16</v>
      </c>
      <c r="N26" s="302" t="s">
        <v>16</v>
      </c>
      <c r="O26" s="302" t="s">
        <v>16</v>
      </c>
      <c r="P26" s="302" t="s">
        <v>16</v>
      </c>
      <c r="Q26" s="234" t="s">
        <v>873</v>
      </c>
      <c r="R26" s="302" t="s">
        <v>16</v>
      </c>
      <c r="S26" s="302" t="s">
        <v>16</v>
      </c>
      <c r="T26" s="302" t="s">
        <v>16</v>
      </c>
      <c r="U26" s="302" t="s">
        <v>16</v>
      </c>
      <c r="V26" s="302" t="s">
        <v>16</v>
      </c>
      <c r="W26" s="302" t="s">
        <v>16</v>
      </c>
      <c r="X26" s="303" t="s">
        <v>16</v>
      </c>
    </row>
    <row r="27" spans="1:24" x14ac:dyDescent="0.2">
      <c r="A27" s="227" t="s">
        <v>275</v>
      </c>
      <c r="B27" s="224" t="s">
        <v>274</v>
      </c>
      <c r="C27" s="234" t="s">
        <v>19</v>
      </c>
      <c r="D27" s="234" t="s">
        <v>1166</v>
      </c>
      <c r="E27" s="234" t="s">
        <v>1208</v>
      </c>
      <c r="F27" s="234" t="s">
        <v>2691</v>
      </c>
      <c r="G27" s="235">
        <v>0.5</v>
      </c>
      <c r="H27" s="236" t="s">
        <v>2987</v>
      </c>
      <c r="I27" s="235">
        <v>0.49</v>
      </c>
      <c r="J27" s="236" t="s">
        <v>2988</v>
      </c>
      <c r="K27" s="234" t="s">
        <v>872</v>
      </c>
      <c r="L27" s="234" t="s">
        <v>2723</v>
      </c>
      <c r="M27" s="235">
        <v>0.3</v>
      </c>
      <c r="N27" s="236" t="s">
        <v>2989</v>
      </c>
      <c r="O27" s="235">
        <v>0.28999999999999998</v>
      </c>
      <c r="P27" s="302" t="s">
        <v>16</v>
      </c>
      <c r="Q27" s="234" t="s">
        <v>872</v>
      </c>
      <c r="R27" s="234" t="s">
        <v>2723</v>
      </c>
      <c r="S27" s="302" t="s">
        <v>16</v>
      </c>
      <c r="T27" s="302" t="s">
        <v>16</v>
      </c>
      <c r="U27" s="302" t="s">
        <v>16</v>
      </c>
      <c r="V27" s="302" t="s">
        <v>16</v>
      </c>
      <c r="W27" s="234" t="s">
        <v>873</v>
      </c>
      <c r="X27" s="237" t="s">
        <v>2723</v>
      </c>
    </row>
    <row r="28" spans="1:24" x14ac:dyDescent="0.2">
      <c r="A28" s="227" t="s">
        <v>283</v>
      </c>
      <c r="B28" s="224" t="s">
        <v>282</v>
      </c>
      <c r="C28" s="234" t="s">
        <v>19</v>
      </c>
      <c r="D28" s="234" t="s">
        <v>1210</v>
      </c>
      <c r="E28" s="234" t="s">
        <v>1211</v>
      </c>
      <c r="F28" s="234" t="s">
        <v>2664</v>
      </c>
      <c r="G28" s="235">
        <v>0</v>
      </c>
      <c r="H28" s="302" t="s">
        <v>16</v>
      </c>
      <c r="I28" s="235">
        <v>0</v>
      </c>
      <c r="J28" s="302" t="s">
        <v>16</v>
      </c>
      <c r="K28" s="234" t="s">
        <v>873</v>
      </c>
      <c r="L28" s="302" t="s">
        <v>16</v>
      </c>
      <c r="M28" s="235">
        <v>0</v>
      </c>
      <c r="N28" s="302" t="s">
        <v>16</v>
      </c>
      <c r="O28" s="235">
        <v>0</v>
      </c>
      <c r="P28" s="302" t="s">
        <v>16</v>
      </c>
      <c r="Q28" s="234" t="s">
        <v>873</v>
      </c>
      <c r="R28" s="302" t="s">
        <v>16</v>
      </c>
      <c r="S28" s="235">
        <v>0</v>
      </c>
      <c r="T28" s="302" t="s">
        <v>16</v>
      </c>
      <c r="U28" s="235">
        <v>0</v>
      </c>
      <c r="V28" s="302" t="s">
        <v>16</v>
      </c>
      <c r="W28" s="234" t="s">
        <v>873</v>
      </c>
      <c r="X28" s="303" t="s">
        <v>16</v>
      </c>
    </row>
    <row r="29" spans="1:24" x14ac:dyDescent="0.2">
      <c r="A29" s="227" t="s">
        <v>299</v>
      </c>
      <c r="B29" s="224" t="s">
        <v>298</v>
      </c>
      <c r="C29" s="234" t="s">
        <v>19</v>
      </c>
      <c r="D29" s="234" t="s">
        <v>1125</v>
      </c>
      <c r="E29" s="234" t="s">
        <v>1215</v>
      </c>
      <c r="F29" s="234" t="s">
        <v>2781</v>
      </c>
      <c r="G29" s="235">
        <v>1</v>
      </c>
      <c r="H29" s="236" t="s">
        <v>3018</v>
      </c>
      <c r="I29" s="235">
        <v>9.6389999999999993</v>
      </c>
      <c r="J29" s="236" t="s">
        <v>1139</v>
      </c>
      <c r="K29" s="234" t="s">
        <v>872</v>
      </c>
      <c r="L29" s="234" t="s">
        <v>2723</v>
      </c>
      <c r="M29" s="235">
        <v>0</v>
      </c>
      <c r="N29" s="236" t="s">
        <v>3019</v>
      </c>
      <c r="O29" s="235">
        <v>0</v>
      </c>
      <c r="P29" s="236" t="s">
        <v>3020</v>
      </c>
      <c r="Q29" s="234" t="s">
        <v>873</v>
      </c>
      <c r="R29" s="302" t="s">
        <v>16</v>
      </c>
      <c r="S29" s="235">
        <v>0</v>
      </c>
      <c r="T29" s="236" t="s">
        <v>3021</v>
      </c>
      <c r="U29" s="235">
        <v>0</v>
      </c>
      <c r="V29" s="236" t="s">
        <v>3019</v>
      </c>
      <c r="W29" s="234" t="s">
        <v>873</v>
      </c>
      <c r="X29" s="303" t="s">
        <v>16</v>
      </c>
    </row>
    <row r="30" spans="1:24" x14ac:dyDescent="0.2">
      <c r="A30" s="227" t="s">
        <v>311</v>
      </c>
      <c r="B30" s="224" t="s">
        <v>310</v>
      </c>
      <c r="C30" s="234" t="s">
        <v>19</v>
      </c>
      <c r="D30" s="234" t="s">
        <v>1157</v>
      </c>
      <c r="E30" s="234" t="s">
        <v>1218</v>
      </c>
      <c r="F30" s="234" t="s">
        <v>2664</v>
      </c>
      <c r="G30" s="235">
        <v>1</v>
      </c>
      <c r="H30" s="236" t="s">
        <v>3033</v>
      </c>
      <c r="I30" s="235">
        <v>0.98809999999999998</v>
      </c>
      <c r="J30" s="236" t="s">
        <v>3034</v>
      </c>
      <c r="K30" s="234" t="s">
        <v>873</v>
      </c>
      <c r="L30" s="234" t="s">
        <v>2705</v>
      </c>
      <c r="M30" s="235">
        <v>0.3</v>
      </c>
      <c r="N30" s="236" t="s">
        <v>3035</v>
      </c>
      <c r="O30" s="235">
        <v>0.19389999999999999</v>
      </c>
      <c r="P30" s="236" t="s">
        <v>891</v>
      </c>
      <c r="Q30" s="234" t="s">
        <v>872</v>
      </c>
      <c r="R30" s="234" t="s">
        <v>2705</v>
      </c>
      <c r="S30" s="302" t="s">
        <v>16</v>
      </c>
      <c r="T30" s="302" t="s">
        <v>16</v>
      </c>
      <c r="U30" s="302" t="s">
        <v>16</v>
      </c>
      <c r="V30" s="302" t="s">
        <v>16</v>
      </c>
      <c r="W30" s="234" t="s">
        <v>873</v>
      </c>
      <c r="X30" s="303" t="s">
        <v>16</v>
      </c>
    </row>
    <row r="31" spans="1:24" x14ac:dyDescent="0.2">
      <c r="A31" s="227" t="s">
        <v>319</v>
      </c>
      <c r="B31" s="224" t="s">
        <v>318</v>
      </c>
      <c r="C31" s="234" t="s">
        <v>19</v>
      </c>
      <c r="D31" s="234" t="s">
        <v>1200</v>
      </c>
      <c r="E31" s="234" t="s">
        <v>1220</v>
      </c>
      <c r="F31" s="234" t="s">
        <v>2664</v>
      </c>
      <c r="G31" s="235">
        <v>0.55000000000000004</v>
      </c>
      <c r="H31" s="236" t="s">
        <v>3042</v>
      </c>
      <c r="I31" s="235">
        <v>0</v>
      </c>
      <c r="J31" s="236" t="s">
        <v>3043</v>
      </c>
      <c r="K31" s="234" t="s">
        <v>873</v>
      </c>
      <c r="L31" s="234" t="s">
        <v>2723</v>
      </c>
      <c r="M31" s="235">
        <v>0</v>
      </c>
      <c r="N31" s="302" t="s">
        <v>16</v>
      </c>
      <c r="O31" s="235">
        <v>0</v>
      </c>
      <c r="P31" s="302" t="s">
        <v>16</v>
      </c>
      <c r="Q31" s="234" t="s">
        <v>873</v>
      </c>
      <c r="R31" s="302" t="s">
        <v>16</v>
      </c>
      <c r="S31" s="235">
        <v>0</v>
      </c>
      <c r="T31" s="302" t="s">
        <v>16</v>
      </c>
      <c r="U31" s="235">
        <v>0</v>
      </c>
      <c r="V31" s="302" t="s">
        <v>16</v>
      </c>
      <c r="W31" s="234" t="s">
        <v>873</v>
      </c>
      <c r="X31" s="303" t="s">
        <v>16</v>
      </c>
    </row>
    <row r="32" spans="1:24" x14ac:dyDescent="0.2">
      <c r="A32" s="227" t="s">
        <v>327</v>
      </c>
      <c r="B32" s="224" t="s">
        <v>326</v>
      </c>
      <c r="C32" s="234" t="s">
        <v>19</v>
      </c>
      <c r="D32" s="234" t="s">
        <v>1222</v>
      </c>
      <c r="E32" s="234" t="s">
        <v>1223</v>
      </c>
      <c r="F32" s="234" t="s">
        <v>2691</v>
      </c>
      <c r="G32" s="235">
        <v>0.28000000000000003</v>
      </c>
      <c r="H32" s="236" t="s">
        <v>3047</v>
      </c>
      <c r="I32" s="235">
        <v>0.27779999999999999</v>
      </c>
      <c r="J32" s="236" t="s">
        <v>2923</v>
      </c>
      <c r="K32" s="234" t="s">
        <v>873</v>
      </c>
      <c r="L32" s="234" t="s">
        <v>2723</v>
      </c>
      <c r="M32" s="302" t="s">
        <v>16</v>
      </c>
      <c r="N32" s="302" t="s">
        <v>16</v>
      </c>
      <c r="O32" s="302" t="s">
        <v>16</v>
      </c>
      <c r="P32" s="302" t="s">
        <v>16</v>
      </c>
      <c r="Q32" s="234" t="s">
        <v>873</v>
      </c>
      <c r="R32" s="302" t="s">
        <v>16</v>
      </c>
      <c r="S32" s="302" t="s">
        <v>16</v>
      </c>
      <c r="T32" s="302" t="s">
        <v>16</v>
      </c>
      <c r="U32" s="302" t="s">
        <v>16</v>
      </c>
      <c r="V32" s="302" t="s">
        <v>16</v>
      </c>
      <c r="W32" s="234" t="s">
        <v>873</v>
      </c>
      <c r="X32" s="237" t="s">
        <v>2694</v>
      </c>
    </row>
    <row r="33" spans="1:24" x14ac:dyDescent="0.2">
      <c r="A33" s="227" t="s">
        <v>329</v>
      </c>
      <c r="B33" s="224" t="s">
        <v>328</v>
      </c>
      <c r="C33" s="234" t="s">
        <v>19</v>
      </c>
      <c r="D33" s="234" t="s">
        <v>1140</v>
      </c>
      <c r="E33" s="234" t="s">
        <v>3048</v>
      </c>
      <c r="F33" s="234" t="s">
        <v>2664</v>
      </c>
      <c r="G33" s="235">
        <v>0.89459999999999995</v>
      </c>
      <c r="H33" s="236" t="s">
        <v>3049</v>
      </c>
      <c r="I33" s="235">
        <v>0.9</v>
      </c>
      <c r="J33" s="236" t="s">
        <v>3050</v>
      </c>
      <c r="K33" s="234" t="s">
        <v>873</v>
      </c>
      <c r="L33" s="234" t="s">
        <v>2687</v>
      </c>
      <c r="M33" s="235">
        <v>0</v>
      </c>
      <c r="N33" s="236" t="s">
        <v>891</v>
      </c>
      <c r="O33" s="235">
        <v>0</v>
      </c>
      <c r="P33" s="236" t="s">
        <v>891</v>
      </c>
      <c r="Q33" s="234" t="s">
        <v>873</v>
      </c>
      <c r="R33" s="234" t="s">
        <v>891</v>
      </c>
      <c r="S33" s="235">
        <v>0</v>
      </c>
      <c r="T33" s="236" t="s">
        <v>891</v>
      </c>
      <c r="U33" s="235">
        <v>0</v>
      </c>
      <c r="V33" s="236" t="s">
        <v>891</v>
      </c>
      <c r="W33" s="234" t="s">
        <v>873</v>
      </c>
      <c r="X33" s="237" t="s">
        <v>891</v>
      </c>
    </row>
    <row r="34" spans="1:24" x14ac:dyDescent="0.2">
      <c r="A34" s="227" t="s">
        <v>379</v>
      </c>
      <c r="B34" s="224" t="s">
        <v>378</v>
      </c>
      <c r="C34" s="234" t="s">
        <v>19</v>
      </c>
      <c r="D34" s="234" t="s">
        <v>1129</v>
      </c>
      <c r="E34" s="234" t="s">
        <v>1232</v>
      </c>
      <c r="F34" s="234" t="s">
        <v>2781</v>
      </c>
      <c r="G34" s="235">
        <v>1</v>
      </c>
      <c r="H34" s="236" t="s">
        <v>2943</v>
      </c>
      <c r="I34" s="235">
        <v>1</v>
      </c>
      <c r="J34" s="236" t="s">
        <v>2852</v>
      </c>
      <c r="K34" s="234" t="s">
        <v>873</v>
      </c>
      <c r="L34" s="234" t="s">
        <v>2694</v>
      </c>
      <c r="M34" s="302" t="s">
        <v>16</v>
      </c>
      <c r="N34" s="302" t="s">
        <v>16</v>
      </c>
      <c r="O34" s="302" t="s">
        <v>16</v>
      </c>
      <c r="P34" s="302" t="s">
        <v>16</v>
      </c>
      <c r="Q34" s="234" t="s">
        <v>873</v>
      </c>
      <c r="R34" s="302" t="s">
        <v>16</v>
      </c>
      <c r="S34" s="302" t="s">
        <v>16</v>
      </c>
      <c r="T34" s="302" t="s">
        <v>16</v>
      </c>
      <c r="U34" s="302" t="s">
        <v>16</v>
      </c>
      <c r="V34" s="302" t="s">
        <v>16</v>
      </c>
      <c r="W34" s="234" t="s">
        <v>873</v>
      </c>
      <c r="X34" s="303" t="s">
        <v>16</v>
      </c>
    </row>
    <row r="35" spans="1:24" x14ac:dyDescent="0.2">
      <c r="A35" s="227" t="s">
        <v>395</v>
      </c>
      <c r="B35" s="224" t="s">
        <v>394</v>
      </c>
      <c r="C35" s="234" t="s">
        <v>19</v>
      </c>
      <c r="D35" s="234" t="s">
        <v>1184</v>
      </c>
      <c r="E35" s="234" t="s">
        <v>3126</v>
      </c>
      <c r="F35" s="234" t="s">
        <v>2664</v>
      </c>
      <c r="G35" s="235">
        <v>0.3</v>
      </c>
      <c r="H35" s="236" t="s">
        <v>3127</v>
      </c>
      <c r="I35" s="235">
        <v>0.29649999999999999</v>
      </c>
      <c r="J35" s="302" t="s">
        <v>16</v>
      </c>
      <c r="K35" s="234" t="s">
        <v>872</v>
      </c>
      <c r="L35" s="234" t="s">
        <v>2694</v>
      </c>
      <c r="M35" s="235">
        <v>0</v>
      </c>
      <c r="N35" s="236" t="s">
        <v>891</v>
      </c>
      <c r="O35" s="235">
        <v>0</v>
      </c>
      <c r="P35" s="236" t="s">
        <v>891</v>
      </c>
      <c r="Q35" s="234" t="s">
        <v>873</v>
      </c>
      <c r="R35" s="234" t="s">
        <v>891</v>
      </c>
      <c r="S35" s="235">
        <v>0</v>
      </c>
      <c r="T35" s="236" t="s">
        <v>891</v>
      </c>
      <c r="U35" s="235">
        <v>0</v>
      </c>
      <c r="V35" s="236" t="s">
        <v>891</v>
      </c>
      <c r="W35" s="234" t="s">
        <v>873</v>
      </c>
      <c r="X35" s="237" t="s">
        <v>891</v>
      </c>
    </row>
    <row r="36" spans="1:24" x14ac:dyDescent="0.2">
      <c r="A36" s="227" t="s">
        <v>427</v>
      </c>
      <c r="B36" s="224" t="s">
        <v>426</v>
      </c>
      <c r="C36" s="234" t="s">
        <v>19</v>
      </c>
      <c r="D36" s="234" t="s">
        <v>1171</v>
      </c>
      <c r="E36" s="234" t="s">
        <v>3150</v>
      </c>
      <c r="F36" s="234" t="s">
        <v>2836</v>
      </c>
      <c r="G36" s="235">
        <v>0</v>
      </c>
      <c r="H36" s="302" t="s">
        <v>16</v>
      </c>
      <c r="I36" s="235">
        <v>0</v>
      </c>
      <c r="J36" s="302" t="s">
        <v>16</v>
      </c>
      <c r="K36" s="234" t="s">
        <v>873</v>
      </c>
      <c r="L36" s="302" t="s">
        <v>16</v>
      </c>
      <c r="M36" s="235">
        <v>0</v>
      </c>
      <c r="N36" s="302" t="s">
        <v>16</v>
      </c>
      <c r="O36" s="235">
        <v>0</v>
      </c>
      <c r="P36" s="302" t="s">
        <v>16</v>
      </c>
      <c r="Q36" s="234" t="s">
        <v>873</v>
      </c>
      <c r="R36" s="302" t="s">
        <v>16</v>
      </c>
      <c r="S36" s="235">
        <v>0</v>
      </c>
      <c r="T36" s="302" t="s">
        <v>16</v>
      </c>
      <c r="U36" s="235">
        <v>0</v>
      </c>
      <c r="V36" s="302" t="s">
        <v>16</v>
      </c>
      <c r="W36" s="234" t="s">
        <v>873</v>
      </c>
      <c r="X36" s="303" t="s">
        <v>16</v>
      </c>
    </row>
    <row r="37" spans="1:24" x14ac:dyDescent="0.2">
      <c r="A37" s="227" t="s">
        <v>433</v>
      </c>
      <c r="B37" s="224" t="s">
        <v>432</v>
      </c>
      <c r="C37" s="234" t="s">
        <v>19</v>
      </c>
      <c r="D37" s="234" t="s">
        <v>1149</v>
      </c>
      <c r="E37" s="234" t="s">
        <v>1244</v>
      </c>
      <c r="F37" s="234" t="s">
        <v>2691</v>
      </c>
      <c r="G37" s="235">
        <v>0</v>
      </c>
      <c r="H37" s="236" t="s">
        <v>891</v>
      </c>
      <c r="I37" s="235">
        <v>0</v>
      </c>
      <c r="J37" s="236" t="s">
        <v>891</v>
      </c>
      <c r="K37" s="234" t="s">
        <v>873</v>
      </c>
      <c r="L37" s="234" t="s">
        <v>891</v>
      </c>
      <c r="M37" s="235">
        <v>0</v>
      </c>
      <c r="N37" s="236" t="s">
        <v>891</v>
      </c>
      <c r="O37" s="235">
        <v>0</v>
      </c>
      <c r="P37" s="302" t="s">
        <v>16</v>
      </c>
      <c r="Q37" s="234" t="s">
        <v>873</v>
      </c>
      <c r="R37" s="234" t="s">
        <v>891</v>
      </c>
      <c r="S37" s="235">
        <v>0</v>
      </c>
      <c r="T37" s="236" t="s">
        <v>891</v>
      </c>
      <c r="U37" s="235">
        <v>0</v>
      </c>
      <c r="V37" s="236" t="s">
        <v>891</v>
      </c>
      <c r="W37" s="234" t="s">
        <v>873</v>
      </c>
      <c r="X37" s="237" t="s">
        <v>891</v>
      </c>
    </row>
    <row r="38" spans="1:24" x14ac:dyDescent="0.2">
      <c r="A38" s="227" t="s">
        <v>435</v>
      </c>
      <c r="B38" s="224" t="s">
        <v>434</v>
      </c>
      <c r="C38" s="234" t="s">
        <v>19</v>
      </c>
      <c r="D38" s="234" t="s">
        <v>1229</v>
      </c>
      <c r="E38" s="234" t="s">
        <v>3157</v>
      </c>
      <c r="F38" s="234" t="s">
        <v>2781</v>
      </c>
      <c r="G38" s="235">
        <v>1</v>
      </c>
      <c r="H38" s="236" t="s">
        <v>3158</v>
      </c>
      <c r="I38" s="235">
        <v>0.91</v>
      </c>
      <c r="J38" s="302" t="s">
        <v>16</v>
      </c>
      <c r="K38" s="234" t="s">
        <v>872</v>
      </c>
      <c r="L38" s="234" t="s">
        <v>2694</v>
      </c>
      <c r="M38" s="302" t="s">
        <v>16</v>
      </c>
      <c r="N38" s="302" t="s">
        <v>16</v>
      </c>
      <c r="O38" s="302" t="s">
        <v>16</v>
      </c>
      <c r="P38" s="302" t="s">
        <v>16</v>
      </c>
      <c r="Q38" s="234" t="s">
        <v>873</v>
      </c>
      <c r="R38" s="302" t="s">
        <v>16</v>
      </c>
      <c r="S38" s="302" t="s">
        <v>16</v>
      </c>
      <c r="T38" s="236" t="s">
        <v>3159</v>
      </c>
      <c r="U38" s="302" t="s">
        <v>16</v>
      </c>
      <c r="V38" s="302" t="s">
        <v>16</v>
      </c>
      <c r="W38" s="234" t="s">
        <v>873</v>
      </c>
      <c r="X38" s="303" t="s">
        <v>16</v>
      </c>
    </row>
    <row r="39" spans="1:24" x14ac:dyDescent="0.2">
      <c r="A39" s="227" t="s">
        <v>439</v>
      </c>
      <c r="B39" s="224" t="s">
        <v>438</v>
      </c>
      <c r="C39" s="234" t="s">
        <v>19</v>
      </c>
      <c r="D39" s="234" t="s">
        <v>1222</v>
      </c>
      <c r="E39" s="234" t="s">
        <v>1222</v>
      </c>
      <c r="F39" s="234" t="s">
        <v>2664</v>
      </c>
      <c r="G39" s="235">
        <v>0</v>
      </c>
      <c r="H39" s="236" t="s">
        <v>891</v>
      </c>
      <c r="I39" s="235">
        <v>0</v>
      </c>
      <c r="J39" s="302" t="s">
        <v>16</v>
      </c>
      <c r="K39" s="234" t="s">
        <v>873</v>
      </c>
      <c r="L39" s="234" t="s">
        <v>891</v>
      </c>
      <c r="M39" s="235">
        <v>0</v>
      </c>
      <c r="N39" s="302" t="s">
        <v>16</v>
      </c>
      <c r="O39" s="235">
        <v>0</v>
      </c>
      <c r="P39" s="302" t="s">
        <v>16</v>
      </c>
      <c r="Q39" s="234" t="s">
        <v>873</v>
      </c>
      <c r="R39" s="234" t="s">
        <v>13</v>
      </c>
      <c r="S39" s="235">
        <v>0</v>
      </c>
      <c r="T39" s="302" t="s">
        <v>16</v>
      </c>
      <c r="U39" s="235">
        <v>0</v>
      </c>
      <c r="V39" s="302" t="s">
        <v>16</v>
      </c>
      <c r="W39" s="234" t="s">
        <v>873</v>
      </c>
      <c r="X39" s="237" t="s">
        <v>13</v>
      </c>
    </row>
    <row r="40" spans="1:24" x14ac:dyDescent="0.2">
      <c r="A40" s="227" t="s">
        <v>449</v>
      </c>
      <c r="B40" s="224" t="s">
        <v>448</v>
      </c>
      <c r="C40" s="234" t="s">
        <v>19</v>
      </c>
      <c r="D40" s="234" t="s">
        <v>1207</v>
      </c>
      <c r="E40" s="234" t="s">
        <v>1246</v>
      </c>
      <c r="F40" s="234" t="s">
        <v>2691</v>
      </c>
      <c r="G40" s="235">
        <v>0</v>
      </c>
      <c r="H40" s="236" t="s">
        <v>3171</v>
      </c>
      <c r="I40" s="235">
        <v>0</v>
      </c>
      <c r="J40" s="302" t="s">
        <v>16</v>
      </c>
      <c r="K40" s="234" t="s">
        <v>873</v>
      </c>
      <c r="L40" s="302" t="s">
        <v>16</v>
      </c>
      <c r="M40" s="302" t="s">
        <v>16</v>
      </c>
      <c r="N40" s="302" t="s">
        <v>16</v>
      </c>
      <c r="O40" s="302" t="s">
        <v>16</v>
      </c>
      <c r="P40" s="302" t="s">
        <v>16</v>
      </c>
      <c r="Q40" s="234" t="s">
        <v>873</v>
      </c>
      <c r="R40" s="302" t="s">
        <v>16</v>
      </c>
      <c r="S40" s="302" t="s">
        <v>16</v>
      </c>
      <c r="T40" s="302" t="s">
        <v>16</v>
      </c>
      <c r="U40" s="302" t="s">
        <v>16</v>
      </c>
      <c r="V40" s="302" t="s">
        <v>16</v>
      </c>
      <c r="W40" s="234" t="s">
        <v>873</v>
      </c>
      <c r="X40" s="303" t="s">
        <v>16</v>
      </c>
    </row>
    <row r="41" spans="1:24" x14ac:dyDescent="0.2">
      <c r="A41" s="227" t="s">
        <v>455</v>
      </c>
      <c r="B41" s="224" t="s">
        <v>454</v>
      </c>
      <c r="C41" s="234" t="s">
        <v>19</v>
      </c>
      <c r="D41" s="234" t="s">
        <v>1173</v>
      </c>
      <c r="E41" s="234" t="s">
        <v>1248</v>
      </c>
      <c r="F41" s="234" t="s">
        <v>2691</v>
      </c>
      <c r="G41" s="235">
        <v>0.99750000000000005</v>
      </c>
      <c r="H41" s="236" t="s">
        <v>3177</v>
      </c>
      <c r="I41" s="235">
        <v>1</v>
      </c>
      <c r="J41" s="236" t="s">
        <v>891</v>
      </c>
      <c r="K41" s="234" t="s">
        <v>872</v>
      </c>
      <c r="L41" s="234" t="s">
        <v>3178</v>
      </c>
      <c r="M41" s="302" t="s">
        <v>16</v>
      </c>
      <c r="N41" s="302" t="s">
        <v>16</v>
      </c>
      <c r="O41" s="302" t="s">
        <v>16</v>
      </c>
      <c r="P41" s="302" t="s">
        <v>16</v>
      </c>
      <c r="Q41" s="234" t="s">
        <v>872</v>
      </c>
      <c r="R41" s="302" t="s">
        <v>16</v>
      </c>
      <c r="S41" s="302" t="s">
        <v>16</v>
      </c>
      <c r="T41" s="302" t="s">
        <v>16</v>
      </c>
      <c r="U41" s="302" t="s">
        <v>16</v>
      </c>
      <c r="V41" s="302" t="s">
        <v>16</v>
      </c>
      <c r="W41" s="234" t="s">
        <v>872</v>
      </c>
      <c r="X41" s="237" t="s">
        <v>2723</v>
      </c>
    </row>
    <row r="42" spans="1:24" x14ac:dyDescent="0.2">
      <c r="A42" s="227" t="s">
        <v>469</v>
      </c>
      <c r="B42" s="224" t="s">
        <v>468</v>
      </c>
      <c r="C42" s="234" t="s">
        <v>19</v>
      </c>
      <c r="D42" s="234" t="s">
        <v>1143</v>
      </c>
      <c r="E42" s="234" t="s">
        <v>1250</v>
      </c>
      <c r="F42" s="234" t="s">
        <v>2691</v>
      </c>
      <c r="G42" s="235">
        <v>1</v>
      </c>
      <c r="H42" s="236" t="s">
        <v>2890</v>
      </c>
      <c r="I42" s="235">
        <v>0.93389999999999995</v>
      </c>
      <c r="J42" s="236" t="s">
        <v>2743</v>
      </c>
      <c r="K42" s="234" t="s">
        <v>873</v>
      </c>
      <c r="L42" s="234" t="s">
        <v>2694</v>
      </c>
      <c r="M42" s="235">
        <v>1.2339</v>
      </c>
      <c r="N42" s="236" t="s">
        <v>3192</v>
      </c>
      <c r="O42" s="235">
        <v>1.2324999999999999</v>
      </c>
      <c r="P42" s="236" t="s">
        <v>3130</v>
      </c>
      <c r="Q42" s="234" t="s">
        <v>873</v>
      </c>
      <c r="R42" s="234" t="s">
        <v>2694</v>
      </c>
      <c r="S42" s="302" t="s">
        <v>16</v>
      </c>
      <c r="T42" s="302" t="s">
        <v>16</v>
      </c>
      <c r="U42" s="302" t="s">
        <v>16</v>
      </c>
      <c r="V42" s="302" t="s">
        <v>16</v>
      </c>
      <c r="W42" s="234" t="s">
        <v>873</v>
      </c>
      <c r="X42" s="303" t="s">
        <v>16</v>
      </c>
    </row>
    <row r="43" spans="1:24" x14ac:dyDescent="0.2">
      <c r="A43" s="227" t="s">
        <v>476</v>
      </c>
      <c r="B43" s="224" t="s">
        <v>475</v>
      </c>
      <c r="C43" s="234" t="s">
        <v>19</v>
      </c>
      <c r="D43" s="234" t="s">
        <v>1251</v>
      </c>
      <c r="E43" s="234" t="s">
        <v>3197</v>
      </c>
      <c r="F43" s="234" t="s">
        <v>1135</v>
      </c>
      <c r="G43" s="235">
        <v>0</v>
      </c>
      <c r="H43" s="302" t="s">
        <v>16</v>
      </c>
      <c r="I43" s="235">
        <v>0</v>
      </c>
      <c r="J43" s="302" t="s">
        <v>16</v>
      </c>
      <c r="K43" s="234" t="s">
        <v>873</v>
      </c>
      <c r="L43" s="302" t="s">
        <v>16</v>
      </c>
      <c r="M43" s="235">
        <v>0</v>
      </c>
      <c r="N43" s="302" t="s">
        <v>16</v>
      </c>
      <c r="O43" s="235">
        <v>0</v>
      </c>
      <c r="P43" s="302" t="s">
        <v>16</v>
      </c>
      <c r="Q43" s="234" t="s">
        <v>873</v>
      </c>
      <c r="R43" s="302" t="s">
        <v>16</v>
      </c>
      <c r="S43" s="235">
        <v>0</v>
      </c>
      <c r="T43" s="302" t="s">
        <v>16</v>
      </c>
      <c r="U43" s="235">
        <v>0</v>
      </c>
      <c r="V43" s="302" t="s">
        <v>16</v>
      </c>
      <c r="W43" s="234" t="s">
        <v>873</v>
      </c>
      <c r="X43" s="303" t="s">
        <v>16</v>
      </c>
    </row>
    <row r="44" spans="1:24" x14ac:dyDescent="0.2">
      <c r="A44" s="227" t="s">
        <v>492</v>
      </c>
      <c r="B44" s="224" t="s">
        <v>491</v>
      </c>
      <c r="C44" s="234" t="s">
        <v>19</v>
      </c>
      <c r="D44" s="234" t="s">
        <v>1152</v>
      </c>
      <c r="E44" s="234" t="s">
        <v>3206</v>
      </c>
      <c r="F44" s="234" t="s">
        <v>2781</v>
      </c>
      <c r="G44" s="235">
        <v>1</v>
      </c>
      <c r="H44" s="236" t="s">
        <v>3207</v>
      </c>
      <c r="I44" s="235">
        <v>0.89049999999999996</v>
      </c>
      <c r="J44" s="302" t="s">
        <v>16</v>
      </c>
      <c r="K44" s="234" t="s">
        <v>872</v>
      </c>
      <c r="L44" s="234" t="s">
        <v>2694</v>
      </c>
      <c r="M44" s="235">
        <v>0</v>
      </c>
      <c r="N44" s="236" t="s">
        <v>891</v>
      </c>
      <c r="O44" s="235">
        <v>0</v>
      </c>
      <c r="P44" s="236" t="s">
        <v>891</v>
      </c>
      <c r="Q44" s="234" t="s">
        <v>873</v>
      </c>
      <c r="R44" s="302" t="s">
        <v>16</v>
      </c>
      <c r="S44" s="235">
        <v>0</v>
      </c>
      <c r="T44" s="236" t="s">
        <v>891</v>
      </c>
      <c r="U44" s="235">
        <v>0</v>
      </c>
      <c r="V44" s="236" t="s">
        <v>891</v>
      </c>
      <c r="W44" s="234" t="s">
        <v>873</v>
      </c>
      <c r="X44" s="303" t="s">
        <v>16</v>
      </c>
    </row>
    <row r="45" spans="1:24" x14ac:dyDescent="0.2">
      <c r="A45" s="227" t="s">
        <v>508</v>
      </c>
      <c r="B45" s="224" t="s">
        <v>507</v>
      </c>
      <c r="C45" s="234" t="s">
        <v>19</v>
      </c>
      <c r="D45" s="234" t="s">
        <v>1177</v>
      </c>
      <c r="E45" s="234" t="s">
        <v>3218</v>
      </c>
      <c r="F45" s="234" t="s">
        <v>2664</v>
      </c>
      <c r="G45" s="235">
        <v>0.05</v>
      </c>
      <c r="H45" s="236" t="s">
        <v>3219</v>
      </c>
      <c r="I45" s="235">
        <v>0</v>
      </c>
      <c r="J45" s="236" t="s">
        <v>3220</v>
      </c>
      <c r="K45" s="234" t="s">
        <v>873</v>
      </c>
      <c r="L45" s="234" t="s">
        <v>2723</v>
      </c>
      <c r="M45" s="235">
        <v>0</v>
      </c>
      <c r="N45" s="236" t="s">
        <v>891</v>
      </c>
      <c r="O45" s="235">
        <v>0</v>
      </c>
      <c r="P45" s="302" t="s">
        <v>16</v>
      </c>
      <c r="Q45" s="234" t="s">
        <v>873</v>
      </c>
      <c r="R45" s="302" t="s">
        <v>16</v>
      </c>
      <c r="S45" s="235">
        <v>0</v>
      </c>
      <c r="T45" s="302" t="s">
        <v>16</v>
      </c>
      <c r="U45" s="235">
        <v>0</v>
      </c>
      <c r="V45" s="302" t="s">
        <v>16</v>
      </c>
      <c r="W45" s="234" t="s">
        <v>873</v>
      </c>
      <c r="X45" s="303" t="s">
        <v>16</v>
      </c>
    </row>
    <row r="46" spans="1:24" x14ac:dyDescent="0.2">
      <c r="A46" s="227" t="s">
        <v>516</v>
      </c>
      <c r="B46" s="224" t="s">
        <v>515</v>
      </c>
      <c r="C46" s="234" t="s">
        <v>19</v>
      </c>
      <c r="D46" s="234" t="s">
        <v>1164</v>
      </c>
      <c r="E46" s="234" t="s">
        <v>3221</v>
      </c>
      <c r="F46" s="234" t="s">
        <v>2691</v>
      </c>
      <c r="G46" s="235">
        <v>0.8</v>
      </c>
      <c r="H46" s="236" t="s">
        <v>3222</v>
      </c>
      <c r="I46" s="235">
        <v>0.8</v>
      </c>
      <c r="J46" s="236" t="s">
        <v>3223</v>
      </c>
      <c r="K46" s="234" t="s">
        <v>873</v>
      </c>
      <c r="L46" s="234" t="s">
        <v>2694</v>
      </c>
      <c r="M46" s="235">
        <v>0</v>
      </c>
      <c r="N46" s="236" t="s">
        <v>891</v>
      </c>
      <c r="O46" s="302" t="s">
        <v>16</v>
      </c>
      <c r="P46" s="302" t="s">
        <v>16</v>
      </c>
      <c r="Q46" s="234" t="s">
        <v>873</v>
      </c>
      <c r="R46" s="302" t="s">
        <v>16</v>
      </c>
      <c r="S46" s="302" t="s">
        <v>16</v>
      </c>
      <c r="T46" s="302" t="s">
        <v>16</v>
      </c>
      <c r="U46" s="302" t="s">
        <v>16</v>
      </c>
      <c r="V46" s="302" t="s">
        <v>16</v>
      </c>
      <c r="W46" s="234" t="s">
        <v>873</v>
      </c>
      <c r="X46" s="303" t="s">
        <v>16</v>
      </c>
    </row>
    <row r="47" spans="1:24" x14ac:dyDescent="0.2">
      <c r="A47" s="227" t="s">
        <v>536</v>
      </c>
      <c r="B47" s="224" t="s">
        <v>535</v>
      </c>
      <c r="C47" s="234" t="s">
        <v>19</v>
      </c>
      <c r="D47" s="234" t="s">
        <v>1155</v>
      </c>
      <c r="E47" s="234" t="s">
        <v>3244</v>
      </c>
      <c r="F47" s="234" t="s">
        <v>2691</v>
      </c>
      <c r="G47" s="235">
        <v>1</v>
      </c>
      <c r="H47" s="236" t="s">
        <v>2734</v>
      </c>
      <c r="I47" s="235">
        <v>0.84830000000000005</v>
      </c>
      <c r="J47" s="236" t="s">
        <v>3245</v>
      </c>
      <c r="K47" s="234" t="s">
        <v>872</v>
      </c>
      <c r="L47" s="234" t="s">
        <v>2687</v>
      </c>
      <c r="M47" s="235">
        <v>0.3</v>
      </c>
      <c r="N47" s="236" t="s">
        <v>3246</v>
      </c>
      <c r="O47" s="235">
        <v>0.84830000000000005</v>
      </c>
      <c r="P47" s="302" t="s">
        <v>16</v>
      </c>
      <c r="Q47" s="234" t="s">
        <v>872</v>
      </c>
      <c r="R47" s="234" t="s">
        <v>2687</v>
      </c>
      <c r="S47" s="235">
        <v>0</v>
      </c>
      <c r="T47" s="302" t="s">
        <v>16</v>
      </c>
      <c r="U47" s="235">
        <v>0</v>
      </c>
      <c r="V47" s="302" t="s">
        <v>16</v>
      </c>
      <c r="W47" s="234" t="s">
        <v>873</v>
      </c>
      <c r="X47" s="303" t="s">
        <v>16</v>
      </c>
    </row>
    <row r="48" spans="1:24" x14ac:dyDescent="0.2">
      <c r="A48" s="227" t="s">
        <v>552</v>
      </c>
      <c r="B48" s="224" t="s">
        <v>551</v>
      </c>
      <c r="C48" s="234" t="s">
        <v>19</v>
      </c>
      <c r="D48" s="234" t="s">
        <v>1140</v>
      </c>
      <c r="E48" s="234" t="s">
        <v>1271</v>
      </c>
      <c r="F48" s="234" t="s">
        <v>2664</v>
      </c>
      <c r="G48" s="235">
        <v>1</v>
      </c>
      <c r="H48" s="236" t="s">
        <v>2885</v>
      </c>
      <c r="I48" s="235">
        <v>1</v>
      </c>
      <c r="J48" s="236" t="s">
        <v>3262</v>
      </c>
      <c r="K48" s="234" t="s">
        <v>873</v>
      </c>
      <c r="L48" s="234" t="s">
        <v>2723</v>
      </c>
      <c r="M48" s="235">
        <v>0</v>
      </c>
      <c r="N48" s="236" t="s">
        <v>891</v>
      </c>
      <c r="O48" s="235">
        <v>0</v>
      </c>
      <c r="P48" s="236" t="s">
        <v>891</v>
      </c>
      <c r="Q48" s="234" t="s">
        <v>873</v>
      </c>
      <c r="R48" s="234" t="s">
        <v>1161</v>
      </c>
      <c r="S48" s="235">
        <v>0</v>
      </c>
      <c r="T48" s="236" t="s">
        <v>891</v>
      </c>
      <c r="U48" s="235">
        <v>0</v>
      </c>
      <c r="V48" s="236" t="s">
        <v>891</v>
      </c>
      <c r="W48" s="234" t="s">
        <v>873</v>
      </c>
      <c r="X48" s="237" t="s">
        <v>891</v>
      </c>
    </row>
    <row r="49" spans="1:24" x14ac:dyDescent="0.2">
      <c r="A49" s="227" t="s">
        <v>566</v>
      </c>
      <c r="B49" s="224" t="s">
        <v>565</v>
      </c>
      <c r="C49" s="234" t="s">
        <v>19</v>
      </c>
      <c r="D49" s="234" t="s">
        <v>1177</v>
      </c>
      <c r="E49" s="234" t="s">
        <v>1177</v>
      </c>
      <c r="F49" s="234" t="s">
        <v>2664</v>
      </c>
      <c r="G49" s="235">
        <v>0.5</v>
      </c>
      <c r="H49" s="236" t="s">
        <v>3281</v>
      </c>
      <c r="I49" s="235">
        <v>0.5</v>
      </c>
      <c r="J49" s="236" t="s">
        <v>3282</v>
      </c>
      <c r="K49" s="234" t="s">
        <v>873</v>
      </c>
      <c r="L49" s="234" t="s">
        <v>2694</v>
      </c>
      <c r="M49" s="302" t="s">
        <v>16</v>
      </c>
      <c r="N49" s="302" t="s">
        <v>16</v>
      </c>
      <c r="O49" s="302" t="s">
        <v>16</v>
      </c>
      <c r="P49" s="302" t="s">
        <v>16</v>
      </c>
      <c r="Q49" s="302" t="s">
        <v>16</v>
      </c>
      <c r="R49" s="302" t="s">
        <v>16</v>
      </c>
      <c r="S49" s="302" t="s">
        <v>16</v>
      </c>
      <c r="T49" s="302" t="s">
        <v>16</v>
      </c>
      <c r="U49" s="302" t="s">
        <v>16</v>
      </c>
      <c r="V49" s="302" t="s">
        <v>16</v>
      </c>
      <c r="W49" s="234" t="s">
        <v>873</v>
      </c>
      <c r="X49" s="303" t="s">
        <v>16</v>
      </c>
    </row>
    <row r="50" spans="1:24" x14ac:dyDescent="0.2">
      <c r="A50" s="227" t="s">
        <v>570</v>
      </c>
      <c r="B50" s="224" t="s">
        <v>569</v>
      </c>
      <c r="C50" s="234" t="s">
        <v>19</v>
      </c>
      <c r="D50" s="234" t="s">
        <v>1171</v>
      </c>
      <c r="E50" s="234" t="s">
        <v>1207</v>
      </c>
      <c r="F50" s="234" t="s">
        <v>2836</v>
      </c>
      <c r="G50" s="235">
        <v>0</v>
      </c>
      <c r="H50" s="302" t="s">
        <v>16</v>
      </c>
      <c r="I50" s="235">
        <v>0</v>
      </c>
      <c r="J50" s="302" t="s">
        <v>16</v>
      </c>
      <c r="K50" s="234" t="s">
        <v>873</v>
      </c>
      <c r="L50" s="302" t="s">
        <v>16</v>
      </c>
      <c r="M50" s="235">
        <v>0</v>
      </c>
      <c r="N50" s="302" t="s">
        <v>16</v>
      </c>
      <c r="O50" s="235">
        <v>0</v>
      </c>
      <c r="P50" s="302" t="s">
        <v>16</v>
      </c>
      <c r="Q50" s="234" t="s">
        <v>873</v>
      </c>
      <c r="R50" s="302" t="s">
        <v>16</v>
      </c>
      <c r="S50" s="302" t="s">
        <v>16</v>
      </c>
      <c r="T50" s="302" t="s">
        <v>16</v>
      </c>
      <c r="U50" s="302" t="s">
        <v>16</v>
      </c>
      <c r="V50" s="302" t="s">
        <v>16</v>
      </c>
      <c r="W50" s="234" t="s">
        <v>873</v>
      </c>
      <c r="X50" s="303" t="s">
        <v>16</v>
      </c>
    </row>
    <row r="51" spans="1:24" x14ac:dyDescent="0.2">
      <c r="A51" s="227" t="s">
        <v>592</v>
      </c>
      <c r="B51" s="224" t="s">
        <v>591</v>
      </c>
      <c r="C51" s="234" t="s">
        <v>19</v>
      </c>
      <c r="D51" s="234" t="s">
        <v>1228</v>
      </c>
      <c r="E51" s="234" t="s">
        <v>1279</v>
      </c>
      <c r="F51" s="234" t="s">
        <v>2664</v>
      </c>
      <c r="G51" s="235">
        <v>1</v>
      </c>
      <c r="H51" s="236" t="s">
        <v>3307</v>
      </c>
      <c r="I51" s="235">
        <v>0.83850000000000002</v>
      </c>
      <c r="J51" s="302" t="s">
        <v>16</v>
      </c>
      <c r="K51" s="234" t="s">
        <v>872</v>
      </c>
      <c r="L51" s="234" t="s">
        <v>2694</v>
      </c>
      <c r="M51" s="235">
        <v>0</v>
      </c>
      <c r="N51" s="302" t="s">
        <v>16</v>
      </c>
      <c r="O51" s="235">
        <v>0</v>
      </c>
      <c r="P51" s="236" t="s">
        <v>891</v>
      </c>
      <c r="Q51" s="234" t="s">
        <v>873</v>
      </c>
      <c r="R51" s="302" t="s">
        <v>16</v>
      </c>
      <c r="S51" s="235">
        <v>0</v>
      </c>
      <c r="T51" s="302" t="s">
        <v>16</v>
      </c>
      <c r="U51" s="235">
        <v>0</v>
      </c>
      <c r="V51" s="302" t="s">
        <v>16</v>
      </c>
      <c r="W51" s="234" t="s">
        <v>873</v>
      </c>
      <c r="X51" s="237" t="s">
        <v>2694</v>
      </c>
    </row>
    <row r="52" spans="1:24" x14ac:dyDescent="0.2">
      <c r="A52" s="227" t="s">
        <v>612</v>
      </c>
      <c r="B52" s="224" t="s">
        <v>611</v>
      </c>
      <c r="C52" s="234" t="s">
        <v>19</v>
      </c>
      <c r="D52" s="234" t="s">
        <v>1150</v>
      </c>
      <c r="E52" s="234" t="s">
        <v>1282</v>
      </c>
      <c r="F52" s="234" t="s">
        <v>2664</v>
      </c>
      <c r="G52" s="235">
        <v>0.5</v>
      </c>
      <c r="H52" s="236" t="s">
        <v>3331</v>
      </c>
      <c r="I52" s="235">
        <v>0.5</v>
      </c>
      <c r="J52" s="236" t="s">
        <v>3332</v>
      </c>
      <c r="K52" s="234" t="s">
        <v>873</v>
      </c>
      <c r="L52" s="234" t="s">
        <v>2723</v>
      </c>
      <c r="M52" s="235">
        <v>0.5</v>
      </c>
      <c r="N52" s="236" t="s">
        <v>3333</v>
      </c>
      <c r="O52" s="235">
        <v>0.5</v>
      </c>
      <c r="P52" s="236" t="s">
        <v>3334</v>
      </c>
      <c r="Q52" s="234" t="s">
        <v>873</v>
      </c>
      <c r="R52" s="234" t="s">
        <v>2721</v>
      </c>
      <c r="S52" s="235">
        <v>0.35</v>
      </c>
      <c r="T52" s="236" t="s">
        <v>3333</v>
      </c>
      <c r="U52" s="235">
        <v>0.35</v>
      </c>
      <c r="V52" s="236" t="s">
        <v>3335</v>
      </c>
      <c r="W52" s="234" t="s">
        <v>873</v>
      </c>
      <c r="X52" s="237" t="s">
        <v>2723</v>
      </c>
    </row>
    <row r="53" spans="1:24" x14ac:dyDescent="0.2">
      <c r="A53" s="227" t="s">
        <v>632</v>
      </c>
      <c r="B53" s="224" t="s">
        <v>631</v>
      </c>
      <c r="C53" s="234" t="s">
        <v>19</v>
      </c>
      <c r="D53" s="234" t="s">
        <v>1146</v>
      </c>
      <c r="E53" s="234" t="s">
        <v>1285</v>
      </c>
      <c r="F53" s="234" t="s">
        <v>2664</v>
      </c>
      <c r="G53" s="235">
        <v>0.2949</v>
      </c>
      <c r="H53" s="236" t="s">
        <v>3359</v>
      </c>
      <c r="I53" s="235">
        <v>0.3</v>
      </c>
      <c r="J53" s="302" t="s">
        <v>16</v>
      </c>
      <c r="K53" s="234" t="s">
        <v>872</v>
      </c>
      <c r="L53" s="234" t="s">
        <v>2723</v>
      </c>
      <c r="M53" s="235">
        <v>0</v>
      </c>
      <c r="N53" s="236" t="s">
        <v>891</v>
      </c>
      <c r="O53" s="235">
        <v>0</v>
      </c>
      <c r="P53" s="236" t="s">
        <v>891</v>
      </c>
      <c r="Q53" s="234" t="s">
        <v>873</v>
      </c>
      <c r="R53" s="234" t="s">
        <v>891</v>
      </c>
      <c r="S53" s="235">
        <v>0</v>
      </c>
      <c r="T53" s="236" t="s">
        <v>891</v>
      </c>
      <c r="U53" s="235">
        <v>0</v>
      </c>
      <c r="V53" s="236" t="s">
        <v>891</v>
      </c>
      <c r="W53" s="234" t="s">
        <v>873</v>
      </c>
      <c r="X53" s="237" t="s">
        <v>891</v>
      </c>
    </row>
    <row r="54" spans="1:24" x14ac:dyDescent="0.2">
      <c r="A54" s="227" t="s">
        <v>642</v>
      </c>
      <c r="B54" s="224" t="s">
        <v>641</v>
      </c>
      <c r="C54" s="234" t="s">
        <v>19</v>
      </c>
      <c r="D54" s="234" t="s">
        <v>1213</v>
      </c>
      <c r="E54" s="234" t="s">
        <v>1288</v>
      </c>
      <c r="F54" s="234" t="s">
        <v>2836</v>
      </c>
      <c r="G54" s="235">
        <v>0</v>
      </c>
      <c r="H54" s="302" t="s">
        <v>16</v>
      </c>
      <c r="I54" s="235">
        <v>0</v>
      </c>
      <c r="J54" s="302" t="s">
        <v>16</v>
      </c>
      <c r="K54" s="234" t="s">
        <v>873</v>
      </c>
      <c r="L54" s="302" t="s">
        <v>16</v>
      </c>
      <c r="M54" s="235">
        <v>0</v>
      </c>
      <c r="N54" s="302" t="s">
        <v>16</v>
      </c>
      <c r="O54" s="235">
        <v>0</v>
      </c>
      <c r="P54" s="302" t="s">
        <v>16</v>
      </c>
      <c r="Q54" s="234" t="s">
        <v>873</v>
      </c>
      <c r="R54" s="302" t="s">
        <v>16</v>
      </c>
      <c r="S54" s="235">
        <v>0</v>
      </c>
      <c r="T54" s="302" t="s">
        <v>16</v>
      </c>
      <c r="U54" s="235">
        <v>0</v>
      </c>
      <c r="V54" s="302" t="s">
        <v>16</v>
      </c>
      <c r="W54" s="234" t="s">
        <v>873</v>
      </c>
      <c r="X54" s="303" t="s">
        <v>16</v>
      </c>
    </row>
    <row r="55" spans="1:24" x14ac:dyDescent="0.2">
      <c r="A55" s="227" t="s">
        <v>644</v>
      </c>
      <c r="B55" s="224" t="s">
        <v>643</v>
      </c>
      <c r="C55" s="234" t="s">
        <v>19</v>
      </c>
      <c r="D55" s="234" t="s">
        <v>1234</v>
      </c>
      <c r="E55" s="234" t="s">
        <v>3368</v>
      </c>
      <c r="F55" s="234" t="s">
        <v>2664</v>
      </c>
      <c r="G55" s="235">
        <v>0</v>
      </c>
      <c r="H55" s="302" t="s">
        <v>16</v>
      </c>
      <c r="I55" s="235">
        <v>0</v>
      </c>
      <c r="J55" s="302" t="s">
        <v>16</v>
      </c>
      <c r="K55" s="234" t="s">
        <v>873</v>
      </c>
      <c r="L55" s="302" t="s">
        <v>16</v>
      </c>
      <c r="M55" s="235">
        <v>0</v>
      </c>
      <c r="N55" s="302" t="s">
        <v>16</v>
      </c>
      <c r="O55" s="235">
        <v>0</v>
      </c>
      <c r="P55" s="302" t="s">
        <v>16</v>
      </c>
      <c r="Q55" s="234" t="s">
        <v>873</v>
      </c>
      <c r="R55" s="302" t="s">
        <v>16</v>
      </c>
      <c r="S55" s="235">
        <v>0</v>
      </c>
      <c r="T55" s="302" t="s">
        <v>16</v>
      </c>
      <c r="U55" s="235">
        <v>0</v>
      </c>
      <c r="V55" s="302" t="s">
        <v>16</v>
      </c>
      <c r="W55" s="234" t="s">
        <v>873</v>
      </c>
      <c r="X55" s="303" t="s">
        <v>16</v>
      </c>
    </row>
    <row r="56" spans="1:24" x14ac:dyDescent="0.2">
      <c r="A56" s="227" t="s">
        <v>650</v>
      </c>
      <c r="B56" s="224" t="s">
        <v>649</v>
      </c>
      <c r="C56" s="234" t="s">
        <v>19</v>
      </c>
      <c r="D56" s="234" t="s">
        <v>1178</v>
      </c>
      <c r="E56" s="234" t="s">
        <v>1284</v>
      </c>
      <c r="F56" s="234" t="s">
        <v>2664</v>
      </c>
      <c r="G56" s="235">
        <v>0.5</v>
      </c>
      <c r="H56" s="236" t="s">
        <v>3372</v>
      </c>
      <c r="I56" s="235">
        <v>0.5</v>
      </c>
      <c r="J56" s="236" t="s">
        <v>2864</v>
      </c>
      <c r="K56" s="234" t="s">
        <v>873</v>
      </c>
      <c r="L56" s="234" t="s">
        <v>2694</v>
      </c>
      <c r="M56" s="302" t="s">
        <v>16</v>
      </c>
      <c r="N56" s="302" t="s">
        <v>16</v>
      </c>
      <c r="O56" s="302" t="s">
        <v>16</v>
      </c>
      <c r="P56" s="302" t="s">
        <v>16</v>
      </c>
      <c r="Q56" s="234" t="s">
        <v>873</v>
      </c>
      <c r="R56" s="302" t="s">
        <v>16</v>
      </c>
      <c r="S56" s="302" t="s">
        <v>16</v>
      </c>
      <c r="T56" s="302" t="s">
        <v>16</v>
      </c>
      <c r="U56" s="302" t="s">
        <v>16</v>
      </c>
      <c r="V56" s="302" t="s">
        <v>16</v>
      </c>
      <c r="W56" s="234" t="s">
        <v>873</v>
      </c>
      <c r="X56" s="303" t="s">
        <v>16</v>
      </c>
    </row>
    <row r="57" spans="1:24" x14ac:dyDescent="0.2">
      <c r="A57" s="227" t="s">
        <v>652</v>
      </c>
      <c r="B57" s="224" t="s">
        <v>651</v>
      </c>
      <c r="C57" s="234" t="s">
        <v>19</v>
      </c>
      <c r="D57" s="234" t="s">
        <v>1213</v>
      </c>
      <c r="E57" s="234" t="s">
        <v>1289</v>
      </c>
      <c r="F57" s="234" t="s">
        <v>2664</v>
      </c>
      <c r="G57" s="235">
        <v>0</v>
      </c>
      <c r="H57" s="302" t="s">
        <v>16</v>
      </c>
      <c r="I57" s="235">
        <v>0</v>
      </c>
      <c r="J57" s="302" t="s">
        <v>16</v>
      </c>
      <c r="K57" s="234" t="s">
        <v>873</v>
      </c>
      <c r="L57" s="302" t="s">
        <v>16</v>
      </c>
      <c r="M57" s="235">
        <v>0</v>
      </c>
      <c r="N57" s="302" t="s">
        <v>16</v>
      </c>
      <c r="O57" s="235">
        <v>0</v>
      </c>
      <c r="P57" s="302" t="s">
        <v>16</v>
      </c>
      <c r="Q57" s="234" t="s">
        <v>873</v>
      </c>
      <c r="R57" s="302" t="s">
        <v>16</v>
      </c>
      <c r="S57" s="235">
        <v>0</v>
      </c>
      <c r="T57" s="302" t="s">
        <v>16</v>
      </c>
      <c r="U57" s="235">
        <v>0</v>
      </c>
      <c r="V57" s="302" t="s">
        <v>16</v>
      </c>
      <c r="W57" s="234" t="s">
        <v>873</v>
      </c>
      <c r="X57" s="303" t="s">
        <v>16</v>
      </c>
    </row>
    <row r="58" spans="1:24" x14ac:dyDescent="0.2">
      <c r="A58" s="227" t="s">
        <v>672</v>
      </c>
      <c r="B58" s="224" t="s">
        <v>671</v>
      </c>
      <c r="C58" s="234" t="s">
        <v>19</v>
      </c>
      <c r="D58" s="234" t="s">
        <v>1125</v>
      </c>
      <c r="E58" s="234" t="s">
        <v>3392</v>
      </c>
      <c r="F58" s="234" t="s">
        <v>2664</v>
      </c>
      <c r="G58" s="235">
        <v>1.2834000000000001</v>
      </c>
      <c r="H58" s="236" t="s">
        <v>3393</v>
      </c>
      <c r="I58" s="235">
        <v>1.2834000000000001</v>
      </c>
      <c r="J58" s="236" t="s">
        <v>3394</v>
      </c>
      <c r="K58" s="234" t="s">
        <v>872</v>
      </c>
      <c r="L58" s="234" t="s">
        <v>2723</v>
      </c>
      <c r="M58" s="302" t="s">
        <v>16</v>
      </c>
      <c r="N58" s="236" t="s">
        <v>3395</v>
      </c>
      <c r="O58" s="235">
        <v>0.71660000000000001</v>
      </c>
      <c r="P58" s="302" t="s">
        <v>16</v>
      </c>
      <c r="Q58" s="234" t="s">
        <v>872</v>
      </c>
      <c r="R58" s="234" t="s">
        <v>2687</v>
      </c>
      <c r="S58" s="302" t="s">
        <v>16</v>
      </c>
      <c r="T58" s="302" t="s">
        <v>16</v>
      </c>
      <c r="U58" s="302" t="s">
        <v>16</v>
      </c>
      <c r="V58" s="302" t="s">
        <v>16</v>
      </c>
      <c r="W58" s="234" t="s">
        <v>873</v>
      </c>
      <c r="X58" s="303" t="s">
        <v>16</v>
      </c>
    </row>
    <row r="59" spans="1:24" x14ac:dyDescent="0.2">
      <c r="A59" s="227" t="s">
        <v>698</v>
      </c>
      <c r="B59" s="224" t="s">
        <v>697</v>
      </c>
      <c r="C59" s="234" t="s">
        <v>19</v>
      </c>
      <c r="D59" s="234" t="s">
        <v>1149</v>
      </c>
      <c r="E59" s="234" t="s">
        <v>1255</v>
      </c>
      <c r="F59" s="234" t="s">
        <v>2781</v>
      </c>
      <c r="G59" s="235">
        <v>0.5</v>
      </c>
      <c r="H59" s="236" t="s">
        <v>3427</v>
      </c>
      <c r="I59" s="235">
        <v>0.5</v>
      </c>
      <c r="J59" s="302" t="s">
        <v>16</v>
      </c>
      <c r="K59" s="234" t="s">
        <v>872</v>
      </c>
      <c r="L59" s="234" t="s">
        <v>2694</v>
      </c>
      <c r="M59" s="235">
        <v>0.5</v>
      </c>
      <c r="N59" s="236" t="s">
        <v>3428</v>
      </c>
      <c r="O59" s="235">
        <v>0.4597</v>
      </c>
      <c r="P59" s="302" t="s">
        <v>16</v>
      </c>
      <c r="Q59" s="234" t="s">
        <v>872</v>
      </c>
      <c r="R59" s="234" t="s">
        <v>2694</v>
      </c>
      <c r="S59" s="235">
        <v>0.5</v>
      </c>
      <c r="T59" s="236" t="s">
        <v>3429</v>
      </c>
      <c r="U59" s="235">
        <v>0.5</v>
      </c>
      <c r="V59" s="302" t="s">
        <v>16</v>
      </c>
      <c r="W59" s="234" t="s">
        <v>872</v>
      </c>
      <c r="X59" s="237" t="s">
        <v>2694</v>
      </c>
    </row>
    <row r="60" spans="1:24" x14ac:dyDescent="0.2">
      <c r="A60" s="227" t="s">
        <v>704</v>
      </c>
      <c r="B60" s="224" t="s">
        <v>703</v>
      </c>
      <c r="C60" s="234" t="s">
        <v>19</v>
      </c>
      <c r="D60" s="234" t="s">
        <v>1138</v>
      </c>
      <c r="E60" s="234" t="s">
        <v>3435</v>
      </c>
      <c r="F60" s="234" t="s">
        <v>2664</v>
      </c>
      <c r="G60" s="235">
        <v>0.5</v>
      </c>
      <c r="H60" s="236" t="s">
        <v>3070</v>
      </c>
      <c r="I60" s="235">
        <v>0.5</v>
      </c>
      <c r="J60" s="236" t="s">
        <v>2934</v>
      </c>
      <c r="K60" s="234" t="s">
        <v>873</v>
      </c>
      <c r="L60" s="234" t="s">
        <v>2694</v>
      </c>
      <c r="M60" s="235">
        <v>0</v>
      </c>
      <c r="N60" s="236" t="s">
        <v>891</v>
      </c>
      <c r="O60" s="235">
        <v>0</v>
      </c>
      <c r="P60" s="236" t="s">
        <v>891</v>
      </c>
      <c r="Q60" s="234" t="s">
        <v>873</v>
      </c>
      <c r="R60" s="234" t="s">
        <v>1145</v>
      </c>
      <c r="S60" s="235">
        <v>0</v>
      </c>
      <c r="T60" s="236" t="s">
        <v>891</v>
      </c>
      <c r="U60" s="235">
        <v>0</v>
      </c>
      <c r="V60" s="236" t="s">
        <v>891</v>
      </c>
      <c r="W60" s="234" t="s">
        <v>873</v>
      </c>
      <c r="X60" s="237" t="s">
        <v>891</v>
      </c>
    </row>
    <row r="61" spans="1:24" x14ac:dyDescent="0.2">
      <c r="A61" s="227" t="s">
        <v>714</v>
      </c>
      <c r="B61" s="224" t="s">
        <v>713</v>
      </c>
      <c r="C61" s="234" t="s">
        <v>19</v>
      </c>
      <c r="D61" s="234" t="s">
        <v>1150</v>
      </c>
      <c r="E61" s="234" t="s">
        <v>2818</v>
      </c>
      <c r="F61" s="234" t="s">
        <v>2781</v>
      </c>
      <c r="G61" s="235">
        <v>0.3</v>
      </c>
      <c r="H61" s="236" t="s">
        <v>3074</v>
      </c>
      <c r="I61" s="235">
        <v>0.3</v>
      </c>
      <c r="J61" s="302" t="s">
        <v>16</v>
      </c>
      <c r="K61" s="234" t="s">
        <v>872</v>
      </c>
      <c r="L61" s="234" t="s">
        <v>2687</v>
      </c>
      <c r="M61" s="235">
        <v>1.4</v>
      </c>
      <c r="N61" s="236" t="s">
        <v>3443</v>
      </c>
      <c r="O61" s="235">
        <v>1.4</v>
      </c>
      <c r="P61" s="236" t="s">
        <v>3444</v>
      </c>
      <c r="Q61" s="234" t="s">
        <v>873</v>
      </c>
      <c r="R61" s="234" t="s">
        <v>2687</v>
      </c>
      <c r="S61" s="302" t="s">
        <v>16</v>
      </c>
      <c r="T61" s="302" t="s">
        <v>16</v>
      </c>
      <c r="U61" s="302" t="s">
        <v>16</v>
      </c>
      <c r="V61" s="302" t="s">
        <v>16</v>
      </c>
      <c r="W61" s="234" t="s">
        <v>873</v>
      </c>
      <c r="X61" s="303" t="s">
        <v>16</v>
      </c>
    </row>
    <row r="62" spans="1:24" x14ac:dyDescent="0.2">
      <c r="A62" s="227" t="s">
        <v>716</v>
      </c>
      <c r="B62" s="224" t="s">
        <v>715</v>
      </c>
      <c r="C62" s="234" t="s">
        <v>19</v>
      </c>
      <c r="D62" s="234" t="s">
        <v>1157</v>
      </c>
      <c r="E62" s="234" t="s">
        <v>3445</v>
      </c>
      <c r="F62" s="234" t="s">
        <v>2664</v>
      </c>
      <c r="G62" s="235">
        <v>0.4</v>
      </c>
      <c r="H62" s="236" t="s">
        <v>3446</v>
      </c>
      <c r="I62" s="235">
        <v>0.4</v>
      </c>
      <c r="J62" s="236" t="s">
        <v>3438</v>
      </c>
      <c r="K62" s="234" t="s">
        <v>873</v>
      </c>
      <c r="L62" s="234" t="s">
        <v>2687</v>
      </c>
      <c r="M62" s="302" t="s">
        <v>16</v>
      </c>
      <c r="N62" s="302" t="s">
        <v>16</v>
      </c>
      <c r="O62" s="302" t="s">
        <v>16</v>
      </c>
      <c r="P62" s="302" t="s">
        <v>16</v>
      </c>
      <c r="Q62" s="234" t="s">
        <v>873</v>
      </c>
      <c r="R62" s="302" t="s">
        <v>16</v>
      </c>
      <c r="S62" s="302" t="s">
        <v>16</v>
      </c>
      <c r="T62" s="302" t="s">
        <v>16</v>
      </c>
      <c r="U62" s="302" t="s">
        <v>16</v>
      </c>
      <c r="V62" s="302" t="s">
        <v>16</v>
      </c>
      <c r="W62" s="234" t="s">
        <v>873</v>
      </c>
      <c r="X62" s="237" t="s">
        <v>2687</v>
      </c>
    </row>
    <row r="63" spans="1:24" x14ac:dyDescent="0.2">
      <c r="A63" s="227" t="s">
        <v>738</v>
      </c>
      <c r="B63" s="224" t="s">
        <v>737</v>
      </c>
      <c r="C63" s="234" t="s">
        <v>19</v>
      </c>
      <c r="D63" s="234" t="s">
        <v>1155</v>
      </c>
      <c r="E63" s="234" t="s">
        <v>1301</v>
      </c>
      <c r="F63" s="234" t="s">
        <v>2691</v>
      </c>
      <c r="G63" s="235">
        <v>0.7</v>
      </c>
      <c r="H63" s="236" t="s">
        <v>2981</v>
      </c>
      <c r="I63" s="235">
        <v>0.65910000000000002</v>
      </c>
      <c r="J63" s="236" t="s">
        <v>3472</v>
      </c>
      <c r="K63" s="234" t="s">
        <v>873</v>
      </c>
      <c r="L63" s="234" t="s">
        <v>2694</v>
      </c>
      <c r="M63" s="302" t="s">
        <v>16</v>
      </c>
      <c r="N63" s="302" t="s">
        <v>16</v>
      </c>
      <c r="O63" s="302" t="s">
        <v>16</v>
      </c>
      <c r="P63" s="302" t="s">
        <v>16</v>
      </c>
      <c r="Q63" s="234" t="s">
        <v>873</v>
      </c>
      <c r="R63" s="302" t="s">
        <v>16</v>
      </c>
      <c r="S63" s="302" t="s">
        <v>16</v>
      </c>
      <c r="T63" s="302" t="s">
        <v>16</v>
      </c>
      <c r="U63" s="302" t="s">
        <v>16</v>
      </c>
      <c r="V63" s="302" t="s">
        <v>16</v>
      </c>
      <c r="W63" s="234" t="s">
        <v>873</v>
      </c>
      <c r="X63" s="303" t="s">
        <v>16</v>
      </c>
    </row>
    <row r="64" spans="1:24" x14ac:dyDescent="0.2">
      <c r="A64" s="227" t="s">
        <v>757</v>
      </c>
      <c r="B64" s="224" t="s">
        <v>756</v>
      </c>
      <c r="C64" s="234" t="s">
        <v>19</v>
      </c>
      <c r="D64" s="234" t="s">
        <v>1129</v>
      </c>
      <c r="E64" s="234" t="s">
        <v>1305</v>
      </c>
      <c r="F64" s="234" t="s">
        <v>2664</v>
      </c>
      <c r="G64" s="235">
        <v>0.95699999999999996</v>
      </c>
      <c r="H64" s="236" t="s">
        <v>3488</v>
      </c>
      <c r="I64" s="235">
        <v>0.95699999999999996</v>
      </c>
      <c r="J64" s="236" t="s">
        <v>3489</v>
      </c>
      <c r="K64" s="234" t="s">
        <v>873</v>
      </c>
      <c r="L64" s="234" t="s">
        <v>2687</v>
      </c>
      <c r="M64" s="302" t="s">
        <v>16</v>
      </c>
      <c r="N64" s="302" t="s">
        <v>16</v>
      </c>
      <c r="O64" s="302" t="s">
        <v>16</v>
      </c>
      <c r="P64" s="302" t="s">
        <v>16</v>
      </c>
      <c r="Q64" s="234" t="s">
        <v>873</v>
      </c>
      <c r="R64" s="302" t="s">
        <v>16</v>
      </c>
      <c r="S64" s="302" t="s">
        <v>16</v>
      </c>
      <c r="T64" s="302" t="s">
        <v>16</v>
      </c>
      <c r="U64" s="302" t="s">
        <v>16</v>
      </c>
      <c r="V64" s="302" t="s">
        <v>16</v>
      </c>
      <c r="W64" s="234" t="s">
        <v>873</v>
      </c>
      <c r="X64" s="303" t="s">
        <v>16</v>
      </c>
    </row>
    <row r="65" spans="1:24" x14ac:dyDescent="0.2">
      <c r="A65" s="227" t="s">
        <v>775</v>
      </c>
      <c r="B65" s="224" t="s">
        <v>774</v>
      </c>
      <c r="C65" s="234" t="s">
        <v>19</v>
      </c>
      <c r="D65" s="234" t="s">
        <v>1184</v>
      </c>
      <c r="E65" s="234" t="s">
        <v>3508</v>
      </c>
      <c r="F65" s="234" t="s">
        <v>2664</v>
      </c>
      <c r="G65" s="235">
        <v>0</v>
      </c>
      <c r="H65" s="302" t="s">
        <v>16</v>
      </c>
      <c r="I65" s="235">
        <v>0</v>
      </c>
      <c r="J65" s="302" t="s">
        <v>16</v>
      </c>
      <c r="K65" s="234" t="s">
        <v>873</v>
      </c>
      <c r="L65" s="302" t="s">
        <v>16</v>
      </c>
      <c r="M65" s="235">
        <v>0</v>
      </c>
      <c r="N65" s="302" t="s">
        <v>16</v>
      </c>
      <c r="O65" s="235">
        <v>0</v>
      </c>
      <c r="P65" s="302" t="s">
        <v>16</v>
      </c>
      <c r="Q65" s="234" t="s">
        <v>873</v>
      </c>
      <c r="R65" s="302" t="s">
        <v>16</v>
      </c>
      <c r="S65" s="235">
        <v>0</v>
      </c>
      <c r="T65" s="302" t="s">
        <v>16</v>
      </c>
      <c r="U65" s="235">
        <v>0</v>
      </c>
      <c r="V65" s="302" t="s">
        <v>16</v>
      </c>
      <c r="W65" s="234" t="s">
        <v>873</v>
      </c>
      <c r="X65" s="303" t="s">
        <v>16</v>
      </c>
    </row>
    <row r="66" spans="1:24" x14ac:dyDescent="0.2">
      <c r="A66" s="227" t="s">
        <v>787</v>
      </c>
      <c r="B66" s="224" t="s">
        <v>786</v>
      </c>
      <c r="C66" s="234" t="s">
        <v>19</v>
      </c>
      <c r="D66" s="234" t="s">
        <v>1155</v>
      </c>
      <c r="E66" s="234" t="s">
        <v>1309</v>
      </c>
      <c r="F66" s="234" t="s">
        <v>2664</v>
      </c>
      <c r="G66" s="235">
        <v>1</v>
      </c>
      <c r="H66" s="236" t="s">
        <v>2786</v>
      </c>
      <c r="I66" s="235">
        <v>1</v>
      </c>
      <c r="J66" s="236" t="s">
        <v>3518</v>
      </c>
      <c r="K66" s="234" t="s">
        <v>873</v>
      </c>
      <c r="L66" s="234" t="s">
        <v>2723</v>
      </c>
      <c r="M66" s="235">
        <v>0</v>
      </c>
      <c r="N66" s="236" t="s">
        <v>891</v>
      </c>
      <c r="O66" s="235">
        <v>0</v>
      </c>
      <c r="P66" s="236" t="s">
        <v>891</v>
      </c>
      <c r="Q66" s="302" t="s">
        <v>16</v>
      </c>
      <c r="R66" s="234" t="s">
        <v>891</v>
      </c>
      <c r="S66" s="235">
        <v>0</v>
      </c>
      <c r="T66" s="236" t="s">
        <v>891</v>
      </c>
      <c r="U66" s="235">
        <v>0</v>
      </c>
      <c r="V66" s="236" t="s">
        <v>891</v>
      </c>
      <c r="W66" s="302" t="s">
        <v>16</v>
      </c>
      <c r="X66" s="237" t="s">
        <v>891</v>
      </c>
    </row>
    <row r="67" spans="1:24" x14ac:dyDescent="0.2">
      <c r="A67" s="227" t="s">
        <v>793</v>
      </c>
      <c r="B67" s="224" t="s">
        <v>792</v>
      </c>
      <c r="C67" s="234" t="s">
        <v>19</v>
      </c>
      <c r="D67" s="234" t="s">
        <v>1160</v>
      </c>
      <c r="E67" s="234" t="s">
        <v>3522</v>
      </c>
      <c r="F67" s="234" t="s">
        <v>1135</v>
      </c>
      <c r="G67" s="235">
        <v>1</v>
      </c>
      <c r="H67" s="236" t="s">
        <v>3229</v>
      </c>
      <c r="I67" s="235">
        <v>1</v>
      </c>
      <c r="J67" s="302" t="s">
        <v>16</v>
      </c>
      <c r="K67" s="234" t="s">
        <v>873</v>
      </c>
      <c r="L67" s="234" t="s">
        <v>2694</v>
      </c>
      <c r="M67" s="235">
        <v>1</v>
      </c>
      <c r="N67" s="236" t="s">
        <v>2976</v>
      </c>
      <c r="O67" s="235">
        <v>1</v>
      </c>
      <c r="P67" s="236" t="s">
        <v>3523</v>
      </c>
      <c r="Q67" s="234" t="s">
        <v>873</v>
      </c>
      <c r="R67" s="234" t="s">
        <v>2694</v>
      </c>
      <c r="S67" s="302" t="s">
        <v>16</v>
      </c>
      <c r="T67" s="302" t="s">
        <v>16</v>
      </c>
      <c r="U67" s="302" t="s">
        <v>16</v>
      </c>
      <c r="V67" s="302" t="s">
        <v>16</v>
      </c>
      <c r="W67" s="234" t="s">
        <v>873</v>
      </c>
      <c r="X67" s="303" t="s">
        <v>16</v>
      </c>
    </row>
    <row r="68" spans="1:24" x14ac:dyDescent="0.2">
      <c r="A68" s="227" t="s">
        <v>795</v>
      </c>
      <c r="B68" s="224" t="s">
        <v>794</v>
      </c>
      <c r="C68" s="234" t="s">
        <v>19</v>
      </c>
      <c r="D68" s="234" t="s">
        <v>1173</v>
      </c>
      <c r="E68" s="234" t="s">
        <v>3524</v>
      </c>
      <c r="F68" s="234" t="s">
        <v>2691</v>
      </c>
      <c r="G68" s="235">
        <v>1</v>
      </c>
      <c r="H68" s="236" t="s">
        <v>3525</v>
      </c>
      <c r="I68" s="235">
        <v>0.99460000000000004</v>
      </c>
      <c r="J68" s="302" t="s">
        <v>16</v>
      </c>
      <c r="K68" s="234" t="s">
        <v>872</v>
      </c>
      <c r="L68" s="234" t="s">
        <v>2694</v>
      </c>
      <c r="M68" s="235">
        <v>0</v>
      </c>
      <c r="N68" s="302" t="s">
        <v>16</v>
      </c>
      <c r="O68" s="235">
        <v>0</v>
      </c>
      <c r="P68" s="302" t="s">
        <v>16</v>
      </c>
      <c r="Q68" s="302" t="s">
        <v>16</v>
      </c>
      <c r="R68" s="302" t="s">
        <v>16</v>
      </c>
      <c r="S68" s="235">
        <v>0</v>
      </c>
      <c r="T68" s="302" t="s">
        <v>16</v>
      </c>
      <c r="U68" s="235">
        <v>0</v>
      </c>
      <c r="V68" s="302" t="s">
        <v>16</v>
      </c>
      <c r="W68" s="302" t="s">
        <v>16</v>
      </c>
      <c r="X68" s="303" t="s">
        <v>16</v>
      </c>
    </row>
    <row r="69" spans="1:24" x14ac:dyDescent="0.2">
      <c r="A69" s="227" t="s">
        <v>799</v>
      </c>
      <c r="B69" s="224" t="s">
        <v>798</v>
      </c>
      <c r="C69" s="234" t="s">
        <v>19</v>
      </c>
      <c r="D69" s="234" t="s">
        <v>1228</v>
      </c>
      <c r="E69" s="234" t="s">
        <v>3526</v>
      </c>
      <c r="F69" s="234" t="s">
        <v>2836</v>
      </c>
      <c r="G69" s="302" t="s">
        <v>16</v>
      </c>
      <c r="H69" s="302" t="s">
        <v>16</v>
      </c>
      <c r="I69" s="302" t="s">
        <v>16</v>
      </c>
      <c r="J69" s="302" t="s">
        <v>16</v>
      </c>
      <c r="K69" s="234" t="s">
        <v>873</v>
      </c>
      <c r="L69" s="302" t="s">
        <v>16</v>
      </c>
      <c r="M69" s="302" t="s">
        <v>16</v>
      </c>
      <c r="N69" s="302" t="s">
        <v>16</v>
      </c>
      <c r="O69" s="302" t="s">
        <v>16</v>
      </c>
      <c r="P69" s="302" t="s">
        <v>16</v>
      </c>
      <c r="Q69" s="234" t="s">
        <v>873</v>
      </c>
      <c r="R69" s="302" t="s">
        <v>16</v>
      </c>
      <c r="S69" s="302" t="s">
        <v>16</v>
      </c>
      <c r="T69" s="302" t="s">
        <v>16</v>
      </c>
      <c r="U69" s="302" t="s">
        <v>16</v>
      </c>
      <c r="V69" s="302" t="s">
        <v>16</v>
      </c>
      <c r="W69" s="234" t="s">
        <v>873</v>
      </c>
      <c r="X69" s="303" t="s">
        <v>16</v>
      </c>
    </row>
    <row r="70" spans="1:24" x14ac:dyDescent="0.2">
      <c r="A70" s="227" t="s">
        <v>809</v>
      </c>
      <c r="B70" s="224" t="s">
        <v>808</v>
      </c>
      <c r="C70" s="234" t="s">
        <v>19</v>
      </c>
      <c r="D70" s="234" t="s">
        <v>1166</v>
      </c>
      <c r="E70" s="234" t="s">
        <v>3535</v>
      </c>
      <c r="F70" s="234" t="s">
        <v>2664</v>
      </c>
      <c r="G70" s="235">
        <v>0</v>
      </c>
      <c r="H70" s="302" t="s">
        <v>16</v>
      </c>
      <c r="I70" s="235">
        <v>0</v>
      </c>
      <c r="J70" s="302" t="s">
        <v>16</v>
      </c>
      <c r="K70" s="234" t="s">
        <v>873</v>
      </c>
      <c r="L70" s="302" t="s">
        <v>16</v>
      </c>
      <c r="M70" s="235">
        <v>0</v>
      </c>
      <c r="N70" s="302" t="s">
        <v>16</v>
      </c>
      <c r="O70" s="235">
        <v>0</v>
      </c>
      <c r="P70" s="302" t="s">
        <v>16</v>
      </c>
      <c r="Q70" s="234" t="s">
        <v>873</v>
      </c>
      <c r="R70" s="302" t="s">
        <v>16</v>
      </c>
      <c r="S70" s="235">
        <v>0</v>
      </c>
      <c r="T70" s="302" t="s">
        <v>16</v>
      </c>
      <c r="U70" s="235">
        <v>0</v>
      </c>
      <c r="V70" s="302" t="s">
        <v>16</v>
      </c>
      <c r="W70" s="234" t="s">
        <v>873</v>
      </c>
      <c r="X70" s="303" t="s">
        <v>16</v>
      </c>
    </row>
    <row r="71" spans="1:24" x14ac:dyDescent="0.2">
      <c r="A71" s="227" t="s">
        <v>821</v>
      </c>
      <c r="B71" s="224" t="s">
        <v>820</v>
      </c>
      <c r="C71" s="234" t="s">
        <v>19</v>
      </c>
      <c r="D71" s="234" t="s">
        <v>1151</v>
      </c>
      <c r="E71" s="234" t="s">
        <v>3546</v>
      </c>
      <c r="F71" s="234" t="s">
        <v>2664</v>
      </c>
      <c r="G71" s="235">
        <v>0.8</v>
      </c>
      <c r="H71" s="236" t="s">
        <v>3470</v>
      </c>
      <c r="I71" s="235">
        <v>0.8</v>
      </c>
      <c r="J71" s="236" t="s">
        <v>3547</v>
      </c>
      <c r="K71" s="234" t="s">
        <v>873</v>
      </c>
      <c r="L71" s="234" t="s">
        <v>2694</v>
      </c>
      <c r="M71" s="235">
        <v>0.43</v>
      </c>
      <c r="N71" s="236" t="s">
        <v>3548</v>
      </c>
      <c r="O71" s="235">
        <v>0.43</v>
      </c>
      <c r="P71" s="236" t="s">
        <v>3549</v>
      </c>
      <c r="Q71" s="234" t="s">
        <v>873</v>
      </c>
      <c r="R71" s="234" t="s">
        <v>2772</v>
      </c>
      <c r="S71" s="235">
        <v>0</v>
      </c>
      <c r="T71" s="236" t="s">
        <v>3470</v>
      </c>
      <c r="U71" s="235">
        <v>0.4</v>
      </c>
      <c r="V71" s="236" t="s">
        <v>3547</v>
      </c>
      <c r="W71" s="234" t="s">
        <v>873</v>
      </c>
      <c r="X71" s="237" t="s">
        <v>2694</v>
      </c>
    </row>
    <row r="72" spans="1:24" x14ac:dyDescent="0.2">
      <c r="A72" s="227" t="s">
        <v>833</v>
      </c>
      <c r="B72" s="224" t="s">
        <v>832</v>
      </c>
      <c r="C72" s="234" t="s">
        <v>19</v>
      </c>
      <c r="D72" s="234" t="s">
        <v>1201</v>
      </c>
      <c r="E72" s="234" t="s">
        <v>3561</v>
      </c>
      <c r="F72" s="234" t="s">
        <v>2664</v>
      </c>
      <c r="G72" s="235">
        <v>1.5</v>
      </c>
      <c r="H72" s="236" t="s">
        <v>3190</v>
      </c>
      <c r="I72" s="235">
        <v>0.44950000000000001</v>
      </c>
      <c r="J72" s="236" t="s">
        <v>3562</v>
      </c>
      <c r="K72" s="234" t="s">
        <v>873</v>
      </c>
      <c r="L72" s="234" t="s">
        <v>2694</v>
      </c>
      <c r="M72" s="235">
        <v>0</v>
      </c>
      <c r="N72" s="236" t="s">
        <v>3190</v>
      </c>
      <c r="O72" s="235">
        <v>0</v>
      </c>
      <c r="P72" s="236" t="s">
        <v>3563</v>
      </c>
      <c r="Q72" s="234" t="s">
        <v>873</v>
      </c>
      <c r="R72" s="234" t="s">
        <v>2723</v>
      </c>
      <c r="S72" s="235">
        <v>0</v>
      </c>
      <c r="T72" s="236" t="s">
        <v>891</v>
      </c>
      <c r="U72" s="235">
        <v>0</v>
      </c>
      <c r="V72" s="236" t="s">
        <v>891</v>
      </c>
      <c r="W72" s="234" t="s">
        <v>873</v>
      </c>
      <c r="X72" s="237" t="s">
        <v>891</v>
      </c>
    </row>
    <row r="73" spans="1:24" ht="13.5" thickBot="1" x14ac:dyDescent="0.25">
      <c r="A73" s="227" t="s">
        <v>841</v>
      </c>
      <c r="B73" s="224" t="s">
        <v>840</v>
      </c>
      <c r="C73" s="275" t="s">
        <v>19</v>
      </c>
      <c r="D73" s="275" t="s">
        <v>1184</v>
      </c>
      <c r="E73" s="275" t="s">
        <v>3570</v>
      </c>
      <c r="F73" s="275" t="s">
        <v>2691</v>
      </c>
      <c r="G73" s="276">
        <v>0.75</v>
      </c>
      <c r="H73" s="277" t="s">
        <v>3152</v>
      </c>
      <c r="I73" s="276">
        <v>0.62439999999999996</v>
      </c>
      <c r="J73" s="304" t="s">
        <v>16</v>
      </c>
      <c r="K73" s="275" t="s">
        <v>872</v>
      </c>
      <c r="L73" s="275" t="s">
        <v>2694</v>
      </c>
      <c r="M73" s="304" t="s">
        <v>16</v>
      </c>
      <c r="N73" s="304" t="s">
        <v>16</v>
      </c>
      <c r="O73" s="304" t="s">
        <v>16</v>
      </c>
      <c r="P73" s="304" t="s">
        <v>16</v>
      </c>
      <c r="Q73" s="275" t="s">
        <v>873</v>
      </c>
      <c r="R73" s="304" t="s">
        <v>16</v>
      </c>
      <c r="S73" s="304" t="s">
        <v>16</v>
      </c>
      <c r="T73" s="304" t="s">
        <v>16</v>
      </c>
      <c r="U73" s="304" t="s">
        <v>16</v>
      </c>
      <c r="V73" s="304" t="s">
        <v>16</v>
      </c>
      <c r="W73" s="275" t="s">
        <v>873</v>
      </c>
      <c r="X73" s="305" t="s">
        <v>16</v>
      </c>
    </row>
    <row r="74" spans="1:24" x14ac:dyDescent="0.2">
      <c r="A74" s="227" t="s">
        <v>21</v>
      </c>
      <c r="B74" s="266" t="s">
        <v>20</v>
      </c>
      <c r="C74" s="281" t="s">
        <v>24</v>
      </c>
      <c r="D74" s="282" t="s">
        <v>1125</v>
      </c>
      <c r="E74" s="282" t="s">
        <v>2684</v>
      </c>
      <c r="F74" s="282" t="s">
        <v>2664</v>
      </c>
      <c r="G74" s="283">
        <v>0.75</v>
      </c>
      <c r="H74" s="284" t="s">
        <v>2685</v>
      </c>
      <c r="I74" s="283">
        <v>0.56000000000000005</v>
      </c>
      <c r="J74" s="284" t="s">
        <v>2686</v>
      </c>
      <c r="K74" s="282" t="s">
        <v>872</v>
      </c>
      <c r="L74" s="282" t="s">
        <v>2687</v>
      </c>
      <c r="M74" s="283">
        <v>0.2</v>
      </c>
      <c r="N74" s="284" t="s">
        <v>2688</v>
      </c>
      <c r="O74" s="283">
        <v>0.1966</v>
      </c>
      <c r="P74" s="284" t="s">
        <v>2689</v>
      </c>
      <c r="Q74" s="282" t="s">
        <v>873</v>
      </c>
      <c r="R74" s="282" t="s">
        <v>2687</v>
      </c>
      <c r="S74" s="300" t="s">
        <v>16</v>
      </c>
      <c r="T74" s="300" t="s">
        <v>16</v>
      </c>
      <c r="U74" s="300" t="s">
        <v>16</v>
      </c>
      <c r="V74" s="300" t="s">
        <v>16</v>
      </c>
      <c r="W74" s="282" t="s">
        <v>873</v>
      </c>
      <c r="X74" s="301" t="s">
        <v>16</v>
      </c>
    </row>
    <row r="75" spans="1:24" x14ac:dyDescent="0.2">
      <c r="A75" s="227" t="s">
        <v>51</v>
      </c>
      <c r="B75" s="266" t="s">
        <v>50</v>
      </c>
      <c r="C75" s="285" t="s">
        <v>24</v>
      </c>
      <c r="D75" s="238" t="s">
        <v>1140</v>
      </c>
      <c r="E75" s="238" t="s">
        <v>1141</v>
      </c>
      <c r="F75" s="238" t="s">
        <v>2691</v>
      </c>
      <c r="G75" s="239">
        <v>1.2277</v>
      </c>
      <c r="H75" s="240" t="s">
        <v>2696</v>
      </c>
      <c r="I75" s="239">
        <v>1.25</v>
      </c>
      <c r="J75" s="240" t="s">
        <v>2724</v>
      </c>
      <c r="K75" s="238" t="s">
        <v>873</v>
      </c>
      <c r="L75" s="238" t="s">
        <v>2694</v>
      </c>
      <c r="M75" s="302" t="s">
        <v>16</v>
      </c>
      <c r="N75" s="302" t="s">
        <v>16</v>
      </c>
      <c r="O75" s="302" t="s">
        <v>16</v>
      </c>
      <c r="P75" s="302" t="s">
        <v>16</v>
      </c>
      <c r="Q75" s="238" t="s">
        <v>873</v>
      </c>
      <c r="R75" s="302" t="s">
        <v>16</v>
      </c>
      <c r="S75" s="302" t="s">
        <v>16</v>
      </c>
      <c r="T75" s="302" t="s">
        <v>16</v>
      </c>
      <c r="U75" s="302" t="s">
        <v>16</v>
      </c>
      <c r="V75" s="302" t="s">
        <v>16</v>
      </c>
      <c r="W75" s="238" t="s">
        <v>873</v>
      </c>
      <c r="X75" s="303" t="s">
        <v>16</v>
      </c>
    </row>
    <row r="76" spans="1:24" x14ac:dyDescent="0.2">
      <c r="A76" s="227" t="s">
        <v>62</v>
      </c>
      <c r="B76" s="266" t="s">
        <v>61</v>
      </c>
      <c r="C76" s="285" t="s">
        <v>24</v>
      </c>
      <c r="D76" s="238" t="s">
        <v>1146</v>
      </c>
      <c r="E76" s="238" t="s">
        <v>1147</v>
      </c>
      <c r="F76" s="238" t="s">
        <v>2664</v>
      </c>
      <c r="G76" s="239">
        <v>0.75</v>
      </c>
      <c r="H76" s="240" t="s">
        <v>2733</v>
      </c>
      <c r="I76" s="239">
        <v>0.63360000000000005</v>
      </c>
      <c r="J76" s="240" t="s">
        <v>891</v>
      </c>
      <c r="K76" s="238" t="s">
        <v>872</v>
      </c>
      <c r="L76" s="238" t="s">
        <v>2694</v>
      </c>
      <c r="M76" s="239">
        <v>0.5</v>
      </c>
      <c r="N76" s="240" t="s">
        <v>2734</v>
      </c>
      <c r="O76" s="239">
        <v>0.44919999999999999</v>
      </c>
      <c r="P76" s="240" t="s">
        <v>891</v>
      </c>
      <c r="Q76" s="238" t="s">
        <v>872</v>
      </c>
      <c r="R76" s="238" t="s">
        <v>2694</v>
      </c>
      <c r="S76" s="239">
        <v>0</v>
      </c>
      <c r="T76" s="240" t="s">
        <v>891</v>
      </c>
      <c r="U76" s="239">
        <v>0</v>
      </c>
      <c r="V76" s="240" t="s">
        <v>891</v>
      </c>
      <c r="W76" s="238" t="s">
        <v>873</v>
      </c>
      <c r="X76" s="241" t="s">
        <v>891</v>
      </c>
    </row>
    <row r="77" spans="1:24" x14ac:dyDescent="0.2">
      <c r="A77" s="227" t="s">
        <v>66</v>
      </c>
      <c r="B77" s="266" t="s">
        <v>65</v>
      </c>
      <c r="C77" s="285" t="s">
        <v>24</v>
      </c>
      <c r="D77" s="238" t="s">
        <v>1129</v>
      </c>
      <c r="E77" s="238" t="s">
        <v>1148</v>
      </c>
      <c r="F77" s="238" t="s">
        <v>2664</v>
      </c>
      <c r="G77" s="239">
        <v>0.5</v>
      </c>
      <c r="H77" s="240" t="s">
        <v>2738</v>
      </c>
      <c r="I77" s="239">
        <v>0.5</v>
      </c>
      <c r="J77" s="240" t="s">
        <v>2739</v>
      </c>
      <c r="K77" s="238" t="s">
        <v>873</v>
      </c>
      <c r="L77" s="238" t="s">
        <v>2694</v>
      </c>
      <c r="M77" s="239">
        <v>0</v>
      </c>
      <c r="N77" s="302" t="s">
        <v>16</v>
      </c>
      <c r="O77" s="239">
        <v>0</v>
      </c>
      <c r="P77" s="302" t="s">
        <v>16</v>
      </c>
      <c r="Q77" s="238" t="s">
        <v>873</v>
      </c>
      <c r="R77" s="302" t="s">
        <v>16</v>
      </c>
      <c r="S77" s="239">
        <v>0</v>
      </c>
      <c r="T77" s="302" t="s">
        <v>16</v>
      </c>
      <c r="U77" s="239">
        <v>0</v>
      </c>
      <c r="V77" s="302" t="s">
        <v>16</v>
      </c>
      <c r="W77" s="238" t="s">
        <v>873</v>
      </c>
      <c r="X77" s="241" t="s">
        <v>2694</v>
      </c>
    </row>
    <row r="78" spans="1:24" x14ac:dyDescent="0.2">
      <c r="A78" s="227" t="s">
        <v>78</v>
      </c>
      <c r="B78" s="266" t="s">
        <v>77</v>
      </c>
      <c r="C78" s="285" t="s">
        <v>24</v>
      </c>
      <c r="D78" s="238" t="s">
        <v>1150</v>
      </c>
      <c r="E78" s="238" t="s">
        <v>2747</v>
      </c>
      <c r="F78" s="238" t="s">
        <v>2691</v>
      </c>
      <c r="G78" s="239">
        <v>0.9</v>
      </c>
      <c r="H78" s="240" t="s">
        <v>2748</v>
      </c>
      <c r="I78" s="239">
        <v>0.9</v>
      </c>
      <c r="J78" s="240" t="s">
        <v>2749</v>
      </c>
      <c r="K78" s="238" t="s">
        <v>872</v>
      </c>
      <c r="L78" s="238" t="s">
        <v>2694</v>
      </c>
      <c r="M78" s="302" t="s">
        <v>16</v>
      </c>
      <c r="N78" s="302" t="s">
        <v>16</v>
      </c>
      <c r="O78" s="302" t="s">
        <v>16</v>
      </c>
      <c r="P78" s="302" t="s">
        <v>16</v>
      </c>
      <c r="Q78" s="238" t="s">
        <v>873</v>
      </c>
      <c r="R78" s="302" t="s">
        <v>16</v>
      </c>
      <c r="S78" s="302" t="s">
        <v>16</v>
      </c>
      <c r="T78" s="302" t="s">
        <v>16</v>
      </c>
      <c r="U78" s="302" t="s">
        <v>16</v>
      </c>
      <c r="V78" s="302" t="s">
        <v>16</v>
      </c>
      <c r="W78" s="238" t="s">
        <v>873</v>
      </c>
      <c r="X78" s="303" t="s">
        <v>16</v>
      </c>
    </row>
    <row r="79" spans="1:24" x14ac:dyDescent="0.2">
      <c r="A79" s="227" t="s">
        <v>82</v>
      </c>
      <c r="B79" s="266" t="s">
        <v>81</v>
      </c>
      <c r="C79" s="285" t="s">
        <v>24</v>
      </c>
      <c r="D79" s="238" t="s">
        <v>1151</v>
      </c>
      <c r="E79" s="238" t="s">
        <v>2752</v>
      </c>
      <c r="F79" s="238" t="s">
        <v>2691</v>
      </c>
      <c r="G79" s="239">
        <v>0.99570000000000003</v>
      </c>
      <c r="H79" s="240" t="s">
        <v>2753</v>
      </c>
      <c r="I79" s="239">
        <v>0.99229999999999996</v>
      </c>
      <c r="J79" s="240" t="s">
        <v>2754</v>
      </c>
      <c r="K79" s="238" t="s">
        <v>873</v>
      </c>
      <c r="L79" s="238" t="s">
        <v>2694</v>
      </c>
      <c r="M79" s="302" t="s">
        <v>16</v>
      </c>
      <c r="N79" s="240" t="s">
        <v>2755</v>
      </c>
      <c r="O79" s="302" t="s">
        <v>16</v>
      </c>
      <c r="P79" s="240" t="s">
        <v>2756</v>
      </c>
      <c r="Q79" s="238" t="s">
        <v>873</v>
      </c>
      <c r="R79" s="238" t="s">
        <v>2694</v>
      </c>
      <c r="S79" s="302" t="s">
        <v>16</v>
      </c>
      <c r="T79" s="302" t="s">
        <v>16</v>
      </c>
      <c r="U79" s="302" t="s">
        <v>16</v>
      </c>
      <c r="V79" s="302" t="s">
        <v>16</v>
      </c>
      <c r="W79" s="238" t="s">
        <v>873</v>
      </c>
      <c r="X79" s="303" t="s">
        <v>16</v>
      </c>
    </row>
    <row r="80" spans="1:24" x14ac:dyDescent="0.2">
      <c r="A80" s="227" t="s">
        <v>106</v>
      </c>
      <c r="B80" s="266" t="s">
        <v>105</v>
      </c>
      <c r="C80" s="285" t="s">
        <v>24</v>
      </c>
      <c r="D80" s="238" t="s">
        <v>1160</v>
      </c>
      <c r="E80" s="238" t="s">
        <v>2787</v>
      </c>
      <c r="F80" s="238" t="s">
        <v>1135</v>
      </c>
      <c r="G80" s="239">
        <v>0</v>
      </c>
      <c r="H80" s="302" t="s">
        <v>16</v>
      </c>
      <c r="I80" s="239">
        <v>0</v>
      </c>
      <c r="J80" s="302" t="s">
        <v>16</v>
      </c>
      <c r="K80" s="238" t="s">
        <v>873</v>
      </c>
      <c r="L80" s="302" t="s">
        <v>16</v>
      </c>
      <c r="M80" s="239">
        <v>0</v>
      </c>
      <c r="N80" s="302" t="s">
        <v>16</v>
      </c>
      <c r="O80" s="239">
        <v>0</v>
      </c>
      <c r="P80" s="302" t="s">
        <v>16</v>
      </c>
      <c r="Q80" s="238" t="s">
        <v>873</v>
      </c>
      <c r="R80" s="302" t="s">
        <v>16</v>
      </c>
      <c r="S80" s="239">
        <v>0</v>
      </c>
      <c r="T80" s="302" t="s">
        <v>16</v>
      </c>
      <c r="U80" s="239">
        <v>0</v>
      </c>
      <c r="V80" s="302" t="s">
        <v>16</v>
      </c>
      <c r="W80" s="238" t="s">
        <v>873</v>
      </c>
      <c r="X80" s="303" t="s">
        <v>16</v>
      </c>
    </row>
    <row r="81" spans="1:24" x14ac:dyDescent="0.2">
      <c r="A81" s="227" t="s">
        <v>126</v>
      </c>
      <c r="B81" s="266" t="s">
        <v>125</v>
      </c>
      <c r="C81" s="285" t="s">
        <v>24</v>
      </c>
      <c r="D81" s="238" t="s">
        <v>1157</v>
      </c>
      <c r="E81" s="238" t="s">
        <v>2814</v>
      </c>
      <c r="F81" s="238" t="s">
        <v>1135</v>
      </c>
      <c r="G81" s="239">
        <v>1</v>
      </c>
      <c r="H81" s="240" t="s">
        <v>2815</v>
      </c>
      <c r="I81" s="239">
        <v>0.72440000000000004</v>
      </c>
      <c r="J81" s="302" t="s">
        <v>16</v>
      </c>
      <c r="K81" s="238" t="s">
        <v>872</v>
      </c>
      <c r="L81" s="238" t="s">
        <v>2687</v>
      </c>
      <c r="M81" s="239">
        <v>0.98609999999999998</v>
      </c>
      <c r="N81" s="240" t="s">
        <v>2816</v>
      </c>
      <c r="O81" s="239">
        <v>1</v>
      </c>
      <c r="P81" s="240" t="s">
        <v>2817</v>
      </c>
      <c r="Q81" s="238" t="s">
        <v>873</v>
      </c>
      <c r="R81" s="238" t="s">
        <v>2694</v>
      </c>
      <c r="S81" s="302" t="s">
        <v>16</v>
      </c>
      <c r="T81" s="302" t="s">
        <v>16</v>
      </c>
      <c r="U81" s="302" t="s">
        <v>16</v>
      </c>
      <c r="V81" s="302" t="s">
        <v>16</v>
      </c>
      <c r="W81" s="238" t="s">
        <v>873</v>
      </c>
      <c r="X81" s="303" t="s">
        <v>16</v>
      </c>
    </row>
    <row r="82" spans="1:24" x14ac:dyDescent="0.2">
      <c r="A82" s="227" t="s">
        <v>132</v>
      </c>
      <c r="B82" s="266" t="s">
        <v>131</v>
      </c>
      <c r="C82" s="285" t="s">
        <v>24</v>
      </c>
      <c r="D82" s="238" t="s">
        <v>1127</v>
      </c>
      <c r="E82" s="238" t="s">
        <v>2825</v>
      </c>
      <c r="F82" s="238" t="s">
        <v>1135</v>
      </c>
      <c r="G82" s="239">
        <v>0.2</v>
      </c>
      <c r="H82" s="240" t="s">
        <v>2826</v>
      </c>
      <c r="I82" s="239">
        <v>0.02</v>
      </c>
      <c r="J82" s="240" t="s">
        <v>2827</v>
      </c>
      <c r="K82" s="238" t="s">
        <v>873</v>
      </c>
      <c r="L82" s="238" t="s">
        <v>2694</v>
      </c>
      <c r="M82" s="239">
        <v>0</v>
      </c>
      <c r="N82" s="240" t="s">
        <v>2828</v>
      </c>
      <c r="O82" s="239">
        <v>0.2</v>
      </c>
      <c r="P82" s="240" t="s">
        <v>2827</v>
      </c>
      <c r="Q82" s="238" t="s">
        <v>873</v>
      </c>
      <c r="R82" s="238" t="s">
        <v>2694</v>
      </c>
      <c r="S82" s="239">
        <v>0.2</v>
      </c>
      <c r="T82" s="240" t="s">
        <v>2828</v>
      </c>
      <c r="U82" s="239">
        <v>0.2</v>
      </c>
      <c r="V82" s="240" t="s">
        <v>2827</v>
      </c>
      <c r="W82" s="238" t="s">
        <v>873</v>
      </c>
      <c r="X82" s="241" t="s">
        <v>2694</v>
      </c>
    </row>
    <row r="83" spans="1:24" x14ac:dyDescent="0.2">
      <c r="A83" s="227" t="s">
        <v>146</v>
      </c>
      <c r="B83" s="266" t="s">
        <v>145</v>
      </c>
      <c r="C83" s="285" t="s">
        <v>24</v>
      </c>
      <c r="D83" s="238" t="s">
        <v>1173</v>
      </c>
      <c r="E83" s="238" t="s">
        <v>1174</v>
      </c>
      <c r="F83" s="238" t="s">
        <v>2664</v>
      </c>
      <c r="G83" s="239">
        <v>0.75</v>
      </c>
      <c r="H83" s="240" t="s">
        <v>2837</v>
      </c>
      <c r="I83" s="239">
        <v>0.75</v>
      </c>
      <c r="J83" s="302" t="s">
        <v>16</v>
      </c>
      <c r="K83" s="238" t="s">
        <v>872</v>
      </c>
      <c r="L83" s="238" t="s">
        <v>2723</v>
      </c>
      <c r="M83" s="302" t="s">
        <v>16</v>
      </c>
      <c r="N83" s="302" t="s">
        <v>16</v>
      </c>
      <c r="O83" s="302" t="s">
        <v>16</v>
      </c>
      <c r="P83" s="302" t="s">
        <v>16</v>
      </c>
      <c r="Q83" s="238" t="s">
        <v>873</v>
      </c>
      <c r="R83" s="302" t="s">
        <v>16</v>
      </c>
      <c r="S83" s="302" t="s">
        <v>16</v>
      </c>
      <c r="T83" s="302" t="s">
        <v>16</v>
      </c>
      <c r="U83" s="302" t="s">
        <v>16</v>
      </c>
      <c r="V83" s="302" t="s">
        <v>16</v>
      </c>
      <c r="W83" s="238" t="s">
        <v>873</v>
      </c>
      <c r="X83" s="303" t="s">
        <v>16</v>
      </c>
    </row>
    <row r="84" spans="1:24" x14ac:dyDescent="0.2">
      <c r="A84" s="227" t="s">
        <v>188</v>
      </c>
      <c r="B84" s="266" t="s">
        <v>187</v>
      </c>
      <c r="C84" s="285" t="s">
        <v>24</v>
      </c>
      <c r="D84" s="238" t="s">
        <v>1187</v>
      </c>
      <c r="E84" s="238" t="s">
        <v>2891</v>
      </c>
      <c r="F84" s="238" t="s">
        <v>2691</v>
      </c>
      <c r="G84" s="239">
        <v>1</v>
      </c>
      <c r="H84" s="240" t="s">
        <v>2892</v>
      </c>
      <c r="I84" s="239">
        <v>0.99970000000000003</v>
      </c>
      <c r="J84" s="240" t="s">
        <v>2730</v>
      </c>
      <c r="K84" s="238" t="s">
        <v>873</v>
      </c>
      <c r="L84" s="238" t="s">
        <v>2694</v>
      </c>
      <c r="M84" s="239">
        <v>0</v>
      </c>
      <c r="N84" s="302" t="s">
        <v>16</v>
      </c>
      <c r="O84" s="239">
        <v>0</v>
      </c>
      <c r="P84" s="302" t="s">
        <v>16</v>
      </c>
      <c r="Q84" s="238" t="s">
        <v>873</v>
      </c>
      <c r="R84" s="302" t="s">
        <v>16</v>
      </c>
      <c r="S84" s="239">
        <v>0</v>
      </c>
      <c r="T84" s="302" t="s">
        <v>16</v>
      </c>
      <c r="U84" s="239">
        <v>0</v>
      </c>
      <c r="V84" s="302" t="s">
        <v>16</v>
      </c>
      <c r="W84" s="238" t="s">
        <v>873</v>
      </c>
      <c r="X84" s="303" t="s">
        <v>16</v>
      </c>
    </row>
    <row r="85" spans="1:24" x14ac:dyDescent="0.2">
      <c r="A85" s="227" t="s">
        <v>202</v>
      </c>
      <c r="B85" s="266" t="s">
        <v>201</v>
      </c>
      <c r="C85" s="285" t="s">
        <v>24</v>
      </c>
      <c r="D85" s="238" t="s">
        <v>1167</v>
      </c>
      <c r="E85" s="238" t="s">
        <v>1192</v>
      </c>
      <c r="F85" s="238" t="s">
        <v>2664</v>
      </c>
      <c r="G85" s="239">
        <v>1</v>
      </c>
      <c r="H85" s="240" t="s">
        <v>2909</v>
      </c>
      <c r="I85" s="239">
        <v>0.94520000000000004</v>
      </c>
      <c r="J85" s="302" t="s">
        <v>16</v>
      </c>
      <c r="K85" s="238" t="s">
        <v>872</v>
      </c>
      <c r="L85" s="238" t="s">
        <v>2694</v>
      </c>
      <c r="M85" s="302" t="s">
        <v>16</v>
      </c>
      <c r="N85" s="302" t="s">
        <v>16</v>
      </c>
      <c r="O85" s="302" t="s">
        <v>16</v>
      </c>
      <c r="P85" s="302" t="s">
        <v>16</v>
      </c>
      <c r="Q85" s="238" t="s">
        <v>873</v>
      </c>
      <c r="R85" s="302" t="s">
        <v>16</v>
      </c>
      <c r="S85" s="302" t="s">
        <v>16</v>
      </c>
      <c r="T85" s="302" t="s">
        <v>16</v>
      </c>
      <c r="U85" s="302" t="s">
        <v>16</v>
      </c>
      <c r="V85" s="302" t="s">
        <v>16</v>
      </c>
      <c r="W85" s="238" t="s">
        <v>873</v>
      </c>
      <c r="X85" s="303" t="s">
        <v>16</v>
      </c>
    </row>
    <row r="86" spans="1:24" x14ac:dyDescent="0.2">
      <c r="A86" s="227" t="s">
        <v>225</v>
      </c>
      <c r="B86" s="266" t="s">
        <v>224</v>
      </c>
      <c r="C86" s="285" t="s">
        <v>24</v>
      </c>
      <c r="D86" s="238" t="s">
        <v>1127</v>
      </c>
      <c r="E86" s="238" t="s">
        <v>1198</v>
      </c>
      <c r="F86" s="238" t="s">
        <v>2781</v>
      </c>
      <c r="G86" s="239">
        <v>0.2</v>
      </c>
      <c r="H86" s="240" t="s">
        <v>2816</v>
      </c>
      <c r="I86" s="239">
        <v>0.2</v>
      </c>
      <c r="J86" s="240" t="s">
        <v>2937</v>
      </c>
      <c r="K86" s="238" t="s">
        <v>873</v>
      </c>
      <c r="L86" s="238" t="s">
        <v>2723</v>
      </c>
      <c r="M86" s="239">
        <v>0</v>
      </c>
      <c r="N86" s="302" t="s">
        <v>16</v>
      </c>
      <c r="O86" s="239">
        <v>0</v>
      </c>
      <c r="P86" s="302" t="s">
        <v>16</v>
      </c>
      <c r="Q86" s="238" t="s">
        <v>873</v>
      </c>
      <c r="R86" s="302" t="s">
        <v>16</v>
      </c>
      <c r="S86" s="239">
        <v>0</v>
      </c>
      <c r="T86" s="302" t="s">
        <v>16</v>
      </c>
      <c r="U86" s="239">
        <v>0</v>
      </c>
      <c r="V86" s="302" t="s">
        <v>16</v>
      </c>
      <c r="W86" s="238" t="s">
        <v>873</v>
      </c>
      <c r="X86" s="303" t="s">
        <v>16</v>
      </c>
    </row>
    <row r="87" spans="1:24" x14ac:dyDescent="0.2">
      <c r="A87" s="227" t="s">
        <v>241</v>
      </c>
      <c r="B87" s="266" t="s">
        <v>240</v>
      </c>
      <c r="C87" s="285" t="s">
        <v>24</v>
      </c>
      <c r="D87" s="238" t="s">
        <v>1155</v>
      </c>
      <c r="E87" s="238" t="s">
        <v>2954</v>
      </c>
      <c r="F87" s="238" t="s">
        <v>2664</v>
      </c>
      <c r="G87" s="239">
        <v>0</v>
      </c>
      <c r="H87" s="302" t="s">
        <v>16</v>
      </c>
      <c r="I87" s="239">
        <v>0</v>
      </c>
      <c r="J87" s="302" t="s">
        <v>16</v>
      </c>
      <c r="K87" s="238" t="s">
        <v>873</v>
      </c>
      <c r="L87" s="302" t="s">
        <v>16</v>
      </c>
      <c r="M87" s="239">
        <v>0</v>
      </c>
      <c r="N87" s="302" t="s">
        <v>16</v>
      </c>
      <c r="O87" s="239">
        <v>0</v>
      </c>
      <c r="P87" s="302" t="s">
        <v>16</v>
      </c>
      <c r="Q87" s="238" t="s">
        <v>873</v>
      </c>
      <c r="R87" s="302" t="s">
        <v>16</v>
      </c>
      <c r="S87" s="239">
        <v>0</v>
      </c>
      <c r="T87" s="302" t="s">
        <v>16</v>
      </c>
      <c r="U87" s="239">
        <v>0</v>
      </c>
      <c r="V87" s="302" t="s">
        <v>16</v>
      </c>
      <c r="W87" s="238" t="s">
        <v>873</v>
      </c>
      <c r="X87" s="303" t="s">
        <v>16</v>
      </c>
    </row>
    <row r="88" spans="1:24" x14ac:dyDescent="0.2">
      <c r="A88" s="227" t="s">
        <v>247</v>
      </c>
      <c r="B88" s="266" t="s">
        <v>246</v>
      </c>
      <c r="C88" s="285" t="s">
        <v>24</v>
      </c>
      <c r="D88" s="238" t="s">
        <v>1200</v>
      </c>
      <c r="E88" s="238" t="s">
        <v>2961</v>
      </c>
      <c r="F88" s="238" t="s">
        <v>2664</v>
      </c>
      <c r="G88" s="239">
        <v>2.9999999999999997E-4</v>
      </c>
      <c r="H88" s="240" t="s">
        <v>2916</v>
      </c>
      <c r="I88" s="239">
        <v>2.9999999999999997E-4</v>
      </c>
      <c r="J88" s="240" t="s">
        <v>2827</v>
      </c>
      <c r="K88" s="238" t="s">
        <v>873</v>
      </c>
      <c r="L88" s="238" t="s">
        <v>2694</v>
      </c>
      <c r="M88" s="239">
        <v>2.9999999999999997E-4</v>
      </c>
      <c r="N88" s="240" t="s">
        <v>2916</v>
      </c>
      <c r="O88" s="239">
        <v>2.9999999999999997E-4</v>
      </c>
      <c r="P88" s="240" t="s">
        <v>2827</v>
      </c>
      <c r="Q88" s="238" t="s">
        <v>873</v>
      </c>
      <c r="R88" s="238" t="s">
        <v>2694</v>
      </c>
      <c r="S88" s="239">
        <v>0</v>
      </c>
      <c r="T88" s="240" t="s">
        <v>891</v>
      </c>
      <c r="U88" s="239">
        <v>0</v>
      </c>
      <c r="V88" s="240" t="s">
        <v>891</v>
      </c>
      <c r="W88" s="238" t="s">
        <v>873</v>
      </c>
      <c r="X88" s="241" t="s">
        <v>891</v>
      </c>
    </row>
    <row r="89" spans="1:24" x14ac:dyDescent="0.2">
      <c r="A89" s="227" t="s">
        <v>249</v>
      </c>
      <c r="B89" s="266" t="s">
        <v>248</v>
      </c>
      <c r="C89" s="285" t="s">
        <v>24</v>
      </c>
      <c r="D89" s="238" t="s">
        <v>1140</v>
      </c>
      <c r="E89" s="238" t="s">
        <v>1205</v>
      </c>
      <c r="F89" s="238" t="s">
        <v>2664</v>
      </c>
      <c r="G89" s="239">
        <v>0.36449999999999999</v>
      </c>
      <c r="H89" s="240" t="s">
        <v>2962</v>
      </c>
      <c r="I89" s="239">
        <v>0.36449999999999999</v>
      </c>
      <c r="J89" s="240" t="s">
        <v>2872</v>
      </c>
      <c r="K89" s="238" t="s">
        <v>872</v>
      </c>
      <c r="L89" s="302" t="s">
        <v>16</v>
      </c>
      <c r="M89" s="239">
        <v>0</v>
      </c>
      <c r="N89" s="240" t="s">
        <v>891</v>
      </c>
      <c r="O89" s="239">
        <v>0</v>
      </c>
      <c r="P89" s="240" t="s">
        <v>891</v>
      </c>
      <c r="Q89" s="238" t="s">
        <v>873</v>
      </c>
      <c r="R89" s="238" t="s">
        <v>891</v>
      </c>
      <c r="S89" s="239">
        <v>0</v>
      </c>
      <c r="T89" s="240" t="s">
        <v>891</v>
      </c>
      <c r="U89" s="239">
        <v>0</v>
      </c>
      <c r="V89" s="240" t="s">
        <v>891</v>
      </c>
      <c r="W89" s="238" t="s">
        <v>873</v>
      </c>
      <c r="X89" s="303" t="s">
        <v>16</v>
      </c>
    </row>
    <row r="90" spans="1:24" x14ac:dyDescent="0.2">
      <c r="A90" s="227" t="s">
        <v>263</v>
      </c>
      <c r="B90" s="266" t="s">
        <v>262</v>
      </c>
      <c r="C90" s="285" t="s">
        <v>24</v>
      </c>
      <c r="D90" s="238" t="s">
        <v>1132</v>
      </c>
      <c r="E90" s="238" t="s">
        <v>1206</v>
      </c>
      <c r="F90" s="238" t="s">
        <v>2691</v>
      </c>
      <c r="G90" s="239">
        <v>0.51819999999999999</v>
      </c>
      <c r="H90" s="240" t="s">
        <v>2977</v>
      </c>
      <c r="I90" s="239">
        <v>0.6</v>
      </c>
      <c r="J90" s="240" t="s">
        <v>1145</v>
      </c>
      <c r="K90" s="238" t="s">
        <v>872</v>
      </c>
      <c r="L90" s="238" t="s">
        <v>2694</v>
      </c>
      <c r="M90" s="302" t="s">
        <v>16</v>
      </c>
      <c r="N90" s="302" t="s">
        <v>16</v>
      </c>
      <c r="O90" s="302" t="s">
        <v>16</v>
      </c>
      <c r="P90" s="302" t="s">
        <v>16</v>
      </c>
      <c r="Q90" s="238" t="s">
        <v>873</v>
      </c>
      <c r="R90" s="302" t="s">
        <v>16</v>
      </c>
      <c r="S90" s="302" t="s">
        <v>16</v>
      </c>
      <c r="T90" s="302" t="s">
        <v>16</v>
      </c>
      <c r="U90" s="302" t="s">
        <v>16</v>
      </c>
      <c r="V90" s="302" t="s">
        <v>16</v>
      </c>
      <c r="W90" s="238" t="s">
        <v>873</v>
      </c>
      <c r="X90" s="303" t="s">
        <v>16</v>
      </c>
    </row>
    <row r="91" spans="1:24" x14ac:dyDescent="0.2">
      <c r="A91" s="227" t="s">
        <v>293</v>
      </c>
      <c r="B91" s="266" t="s">
        <v>292</v>
      </c>
      <c r="C91" s="285" t="s">
        <v>24</v>
      </c>
      <c r="D91" s="238" t="s">
        <v>1213</v>
      </c>
      <c r="E91" s="238" t="s">
        <v>3013</v>
      </c>
      <c r="F91" s="238" t="s">
        <v>2664</v>
      </c>
      <c r="G91" s="239">
        <v>0.5</v>
      </c>
      <c r="H91" s="240" t="s">
        <v>2755</v>
      </c>
      <c r="I91" s="239">
        <v>0.4965</v>
      </c>
      <c r="J91" s="240" t="s">
        <v>2761</v>
      </c>
      <c r="K91" s="238" t="s">
        <v>873</v>
      </c>
      <c r="L91" s="238" t="s">
        <v>2694</v>
      </c>
      <c r="M91" s="239">
        <v>0</v>
      </c>
      <c r="N91" s="302" t="s">
        <v>16</v>
      </c>
      <c r="O91" s="239">
        <v>0</v>
      </c>
      <c r="P91" s="302" t="s">
        <v>16</v>
      </c>
      <c r="Q91" s="238" t="s">
        <v>873</v>
      </c>
      <c r="R91" s="302" t="s">
        <v>16</v>
      </c>
      <c r="S91" s="239">
        <v>0</v>
      </c>
      <c r="T91" s="302" t="s">
        <v>16</v>
      </c>
      <c r="U91" s="239">
        <v>0</v>
      </c>
      <c r="V91" s="302" t="s">
        <v>16</v>
      </c>
      <c r="W91" s="238" t="s">
        <v>873</v>
      </c>
      <c r="X91" s="303" t="s">
        <v>16</v>
      </c>
    </row>
    <row r="92" spans="1:24" x14ac:dyDescent="0.2">
      <c r="A92" s="227" t="s">
        <v>303</v>
      </c>
      <c r="B92" s="266" t="s">
        <v>302</v>
      </c>
      <c r="C92" s="285" t="s">
        <v>24</v>
      </c>
      <c r="D92" s="238" t="s">
        <v>1200</v>
      </c>
      <c r="E92" s="238" t="s">
        <v>3024</v>
      </c>
      <c r="F92" s="238" t="s">
        <v>2691</v>
      </c>
      <c r="G92" s="239">
        <v>0.4955</v>
      </c>
      <c r="H92" s="240" t="s">
        <v>3025</v>
      </c>
      <c r="I92" s="239">
        <v>0.5</v>
      </c>
      <c r="J92" s="240" t="s">
        <v>3026</v>
      </c>
      <c r="K92" s="238" t="s">
        <v>873</v>
      </c>
      <c r="L92" s="238" t="s">
        <v>2694</v>
      </c>
      <c r="M92" s="239">
        <v>0</v>
      </c>
      <c r="N92" s="302" t="s">
        <v>16</v>
      </c>
      <c r="O92" s="302" t="s">
        <v>16</v>
      </c>
      <c r="P92" s="302" t="s">
        <v>16</v>
      </c>
      <c r="Q92" s="238" t="s">
        <v>873</v>
      </c>
      <c r="R92" s="302" t="s">
        <v>16</v>
      </c>
      <c r="S92" s="239">
        <v>0</v>
      </c>
      <c r="T92" s="302" t="s">
        <v>16</v>
      </c>
      <c r="U92" s="302" t="s">
        <v>16</v>
      </c>
      <c r="V92" s="302" t="s">
        <v>16</v>
      </c>
      <c r="W92" s="238" t="s">
        <v>873</v>
      </c>
      <c r="X92" s="303" t="s">
        <v>16</v>
      </c>
    </row>
    <row r="93" spans="1:24" x14ac:dyDescent="0.2">
      <c r="A93" s="227" t="s">
        <v>347</v>
      </c>
      <c r="B93" s="266" t="s">
        <v>346</v>
      </c>
      <c r="C93" s="285" t="s">
        <v>24</v>
      </c>
      <c r="D93" s="238" t="s">
        <v>1171</v>
      </c>
      <c r="E93" s="238" t="s">
        <v>1225</v>
      </c>
      <c r="F93" s="238" t="s">
        <v>2836</v>
      </c>
      <c r="G93" s="239">
        <v>0</v>
      </c>
      <c r="H93" s="302" t="s">
        <v>16</v>
      </c>
      <c r="I93" s="302" t="s">
        <v>16</v>
      </c>
      <c r="J93" s="302" t="s">
        <v>16</v>
      </c>
      <c r="K93" s="238" t="s">
        <v>873</v>
      </c>
      <c r="L93" s="302" t="s">
        <v>16</v>
      </c>
      <c r="M93" s="239">
        <v>0</v>
      </c>
      <c r="N93" s="302" t="s">
        <v>16</v>
      </c>
      <c r="O93" s="239">
        <v>0</v>
      </c>
      <c r="P93" s="302" t="s">
        <v>16</v>
      </c>
      <c r="Q93" s="238" t="s">
        <v>873</v>
      </c>
      <c r="R93" s="302" t="s">
        <v>16</v>
      </c>
      <c r="S93" s="239">
        <v>0</v>
      </c>
      <c r="T93" s="302" t="s">
        <v>16</v>
      </c>
      <c r="U93" s="239">
        <v>0</v>
      </c>
      <c r="V93" s="302" t="s">
        <v>16</v>
      </c>
      <c r="W93" s="238" t="s">
        <v>873</v>
      </c>
      <c r="X93" s="303" t="s">
        <v>16</v>
      </c>
    </row>
    <row r="94" spans="1:24" x14ac:dyDescent="0.2">
      <c r="A94" s="227" t="s">
        <v>349</v>
      </c>
      <c r="B94" s="266" t="s">
        <v>348</v>
      </c>
      <c r="C94" s="285" t="s">
        <v>24</v>
      </c>
      <c r="D94" s="238" t="s">
        <v>1150</v>
      </c>
      <c r="E94" s="238" t="s">
        <v>3079</v>
      </c>
      <c r="F94" s="238" t="s">
        <v>2691</v>
      </c>
      <c r="G94" s="239">
        <v>1.6</v>
      </c>
      <c r="H94" s="240" t="s">
        <v>3080</v>
      </c>
      <c r="I94" s="239">
        <v>1.5781000000000001</v>
      </c>
      <c r="J94" s="240" t="s">
        <v>1139</v>
      </c>
      <c r="K94" s="238" t="s">
        <v>872</v>
      </c>
      <c r="L94" s="238" t="s">
        <v>2723</v>
      </c>
      <c r="M94" s="302" t="s">
        <v>16</v>
      </c>
      <c r="N94" s="302" t="s">
        <v>16</v>
      </c>
      <c r="O94" s="302" t="s">
        <v>16</v>
      </c>
      <c r="P94" s="302" t="s">
        <v>16</v>
      </c>
      <c r="Q94" s="238" t="s">
        <v>873</v>
      </c>
      <c r="R94" s="302" t="s">
        <v>16</v>
      </c>
      <c r="S94" s="302" t="s">
        <v>16</v>
      </c>
      <c r="T94" s="302" t="s">
        <v>16</v>
      </c>
      <c r="U94" s="302" t="s">
        <v>16</v>
      </c>
      <c r="V94" s="302" t="s">
        <v>16</v>
      </c>
      <c r="W94" s="238" t="s">
        <v>873</v>
      </c>
      <c r="X94" s="303" t="s">
        <v>16</v>
      </c>
    </row>
    <row r="95" spans="1:24" x14ac:dyDescent="0.2">
      <c r="A95" s="227" t="s">
        <v>359</v>
      </c>
      <c r="B95" s="266" t="s">
        <v>358</v>
      </c>
      <c r="C95" s="285" t="s">
        <v>24</v>
      </c>
      <c r="D95" s="238" t="s">
        <v>1229</v>
      </c>
      <c r="E95" s="238" t="s">
        <v>3092</v>
      </c>
      <c r="F95" s="238" t="s">
        <v>2691</v>
      </c>
      <c r="G95" s="239">
        <v>0.85</v>
      </c>
      <c r="H95" s="240" t="s">
        <v>3093</v>
      </c>
      <c r="I95" s="239">
        <v>0.76239999999999997</v>
      </c>
      <c r="J95" s="240" t="s">
        <v>891</v>
      </c>
      <c r="K95" s="238" t="s">
        <v>872</v>
      </c>
      <c r="L95" s="238" t="s">
        <v>2694</v>
      </c>
      <c r="M95" s="239">
        <v>0.85</v>
      </c>
      <c r="N95" s="240" t="s">
        <v>3094</v>
      </c>
      <c r="O95" s="239">
        <v>0.77829999999999999</v>
      </c>
      <c r="P95" s="240" t="s">
        <v>891</v>
      </c>
      <c r="Q95" s="238" t="s">
        <v>872</v>
      </c>
      <c r="R95" s="238" t="s">
        <v>2694</v>
      </c>
      <c r="S95" s="239">
        <v>0</v>
      </c>
      <c r="T95" s="240" t="s">
        <v>891</v>
      </c>
      <c r="U95" s="239">
        <v>0</v>
      </c>
      <c r="V95" s="240" t="s">
        <v>891</v>
      </c>
      <c r="W95" s="238" t="s">
        <v>873</v>
      </c>
      <c r="X95" s="241" t="s">
        <v>891</v>
      </c>
    </row>
    <row r="96" spans="1:24" x14ac:dyDescent="0.2">
      <c r="A96" s="227" t="s">
        <v>369</v>
      </c>
      <c r="B96" s="266" t="s">
        <v>368</v>
      </c>
      <c r="C96" s="285" t="s">
        <v>24</v>
      </c>
      <c r="D96" s="238" t="s">
        <v>1195</v>
      </c>
      <c r="E96" s="238" t="s">
        <v>3104</v>
      </c>
      <c r="F96" s="238" t="s">
        <v>2691</v>
      </c>
      <c r="G96" s="239">
        <v>0.85</v>
      </c>
      <c r="H96" s="240" t="s">
        <v>2789</v>
      </c>
      <c r="I96" s="239">
        <v>0.85</v>
      </c>
      <c r="J96" s="240" t="s">
        <v>2754</v>
      </c>
      <c r="K96" s="238" t="s">
        <v>873</v>
      </c>
      <c r="L96" s="238" t="s">
        <v>2723</v>
      </c>
      <c r="M96" s="239">
        <v>0.96</v>
      </c>
      <c r="N96" s="240" t="s">
        <v>3105</v>
      </c>
      <c r="O96" s="239">
        <v>0.96</v>
      </c>
      <c r="P96" s="240" t="s">
        <v>2754</v>
      </c>
      <c r="Q96" s="238" t="s">
        <v>873</v>
      </c>
      <c r="R96" s="238" t="s">
        <v>2772</v>
      </c>
      <c r="S96" s="302" t="s">
        <v>16</v>
      </c>
      <c r="T96" s="302" t="s">
        <v>16</v>
      </c>
      <c r="U96" s="302" t="s">
        <v>16</v>
      </c>
      <c r="V96" s="302" t="s">
        <v>16</v>
      </c>
      <c r="W96" s="238" t="s">
        <v>873</v>
      </c>
      <c r="X96" s="303" t="s">
        <v>16</v>
      </c>
    </row>
    <row r="97" spans="1:24" x14ac:dyDescent="0.2">
      <c r="A97" s="227" t="s">
        <v>377</v>
      </c>
      <c r="B97" s="266" t="s">
        <v>376</v>
      </c>
      <c r="C97" s="285" t="s">
        <v>24</v>
      </c>
      <c r="D97" s="238" t="s">
        <v>1178</v>
      </c>
      <c r="E97" s="238" t="s">
        <v>3114</v>
      </c>
      <c r="F97" s="238" t="s">
        <v>2664</v>
      </c>
      <c r="G97" s="239">
        <v>0.5</v>
      </c>
      <c r="H97" s="240" t="s">
        <v>2830</v>
      </c>
      <c r="I97" s="239">
        <v>0.46560000000000001</v>
      </c>
      <c r="J97" s="240" t="s">
        <v>3115</v>
      </c>
      <c r="K97" s="238" t="s">
        <v>873</v>
      </c>
      <c r="L97" s="238" t="s">
        <v>2694</v>
      </c>
      <c r="M97" s="302" t="s">
        <v>16</v>
      </c>
      <c r="N97" s="302" t="s">
        <v>16</v>
      </c>
      <c r="O97" s="302" t="s">
        <v>16</v>
      </c>
      <c r="P97" s="302" t="s">
        <v>16</v>
      </c>
      <c r="Q97" s="238" t="s">
        <v>873</v>
      </c>
      <c r="R97" s="302" t="s">
        <v>16</v>
      </c>
      <c r="S97" s="302" t="s">
        <v>16</v>
      </c>
      <c r="T97" s="302" t="s">
        <v>16</v>
      </c>
      <c r="U97" s="302" t="s">
        <v>16</v>
      </c>
      <c r="V97" s="302" t="s">
        <v>16</v>
      </c>
      <c r="W97" s="238" t="s">
        <v>873</v>
      </c>
      <c r="X97" s="303" t="s">
        <v>16</v>
      </c>
    </row>
    <row r="98" spans="1:24" x14ac:dyDescent="0.2">
      <c r="A98" s="227" t="s">
        <v>381</v>
      </c>
      <c r="B98" s="266" t="s">
        <v>380</v>
      </c>
      <c r="C98" s="285" t="s">
        <v>24</v>
      </c>
      <c r="D98" s="238" t="s">
        <v>1133</v>
      </c>
      <c r="E98" s="238" t="s">
        <v>1233</v>
      </c>
      <c r="F98" s="238" t="s">
        <v>2691</v>
      </c>
      <c r="G98" s="239">
        <v>0.6</v>
      </c>
      <c r="H98" s="240" t="s">
        <v>2848</v>
      </c>
      <c r="I98" s="239">
        <v>0.6</v>
      </c>
      <c r="J98" s="240" t="s">
        <v>2710</v>
      </c>
      <c r="K98" s="238" t="s">
        <v>872</v>
      </c>
      <c r="L98" s="238" t="s">
        <v>2694</v>
      </c>
      <c r="M98" s="302" t="s">
        <v>16</v>
      </c>
      <c r="N98" s="302" t="s">
        <v>16</v>
      </c>
      <c r="O98" s="302" t="s">
        <v>16</v>
      </c>
      <c r="P98" s="302" t="s">
        <v>16</v>
      </c>
      <c r="Q98" s="238" t="s">
        <v>873</v>
      </c>
      <c r="R98" s="302" t="s">
        <v>16</v>
      </c>
      <c r="S98" s="302" t="s">
        <v>16</v>
      </c>
      <c r="T98" s="302" t="s">
        <v>16</v>
      </c>
      <c r="U98" s="302" t="s">
        <v>16</v>
      </c>
      <c r="V98" s="302" t="s">
        <v>16</v>
      </c>
      <c r="W98" s="238" t="s">
        <v>873</v>
      </c>
      <c r="X98" s="303" t="s">
        <v>16</v>
      </c>
    </row>
    <row r="99" spans="1:24" x14ac:dyDescent="0.2">
      <c r="A99" s="227" t="s">
        <v>387</v>
      </c>
      <c r="B99" s="266" t="s">
        <v>386</v>
      </c>
      <c r="C99" s="285" t="s">
        <v>24</v>
      </c>
      <c r="D99" s="238" t="s">
        <v>1138</v>
      </c>
      <c r="E99" s="238" t="s">
        <v>3118</v>
      </c>
      <c r="F99" s="238" t="s">
        <v>2781</v>
      </c>
      <c r="G99" s="239">
        <v>0.5</v>
      </c>
      <c r="H99" s="240" t="s">
        <v>3119</v>
      </c>
      <c r="I99" s="239">
        <v>0.5</v>
      </c>
      <c r="J99" s="240" t="s">
        <v>3120</v>
      </c>
      <c r="K99" s="238" t="s">
        <v>873</v>
      </c>
      <c r="L99" s="238" t="s">
        <v>891</v>
      </c>
      <c r="M99" s="239">
        <v>0</v>
      </c>
      <c r="N99" s="240" t="s">
        <v>891</v>
      </c>
      <c r="O99" s="239">
        <v>0</v>
      </c>
      <c r="P99" s="240" t="s">
        <v>891</v>
      </c>
      <c r="Q99" s="238" t="s">
        <v>873</v>
      </c>
      <c r="R99" s="238" t="s">
        <v>891</v>
      </c>
      <c r="S99" s="239">
        <v>0</v>
      </c>
      <c r="T99" s="240" t="s">
        <v>891</v>
      </c>
      <c r="U99" s="239">
        <v>0</v>
      </c>
      <c r="V99" s="240" t="s">
        <v>891</v>
      </c>
      <c r="W99" s="238" t="s">
        <v>873</v>
      </c>
      <c r="X99" s="241" t="s">
        <v>891</v>
      </c>
    </row>
    <row r="100" spans="1:24" x14ac:dyDescent="0.2">
      <c r="A100" s="227" t="s">
        <v>391</v>
      </c>
      <c r="B100" s="266" t="s">
        <v>390</v>
      </c>
      <c r="C100" s="285" t="s">
        <v>24</v>
      </c>
      <c r="D100" s="238" t="s">
        <v>1126</v>
      </c>
      <c r="E100" s="238" t="s">
        <v>1235</v>
      </c>
      <c r="F100" s="238" t="s">
        <v>2691</v>
      </c>
      <c r="G100" s="239">
        <v>0.75</v>
      </c>
      <c r="H100" s="240" t="s">
        <v>2945</v>
      </c>
      <c r="I100" s="239">
        <v>0.75</v>
      </c>
      <c r="J100" s="240" t="s">
        <v>2897</v>
      </c>
      <c r="K100" s="238" t="s">
        <v>873</v>
      </c>
      <c r="L100" s="238" t="s">
        <v>2687</v>
      </c>
      <c r="M100" s="302" t="s">
        <v>16</v>
      </c>
      <c r="N100" s="302" t="s">
        <v>16</v>
      </c>
      <c r="O100" s="302" t="s">
        <v>16</v>
      </c>
      <c r="P100" s="302" t="s">
        <v>16</v>
      </c>
      <c r="Q100" s="238" t="s">
        <v>873</v>
      </c>
      <c r="R100" s="302" t="s">
        <v>16</v>
      </c>
      <c r="S100" s="302" t="s">
        <v>16</v>
      </c>
      <c r="T100" s="302" t="s">
        <v>16</v>
      </c>
      <c r="U100" s="302" t="s">
        <v>16</v>
      </c>
      <c r="V100" s="302" t="s">
        <v>16</v>
      </c>
      <c r="W100" s="238" t="s">
        <v>873</v>
      </c>
      <c r="X100" s="303" t="s">
        <v>16</v>
      </c>
    </row>
    <row r="101" spans="1:24" x14ac:dyDescent="0.2">
      <c r="A101" s="227" t="s">
        <v>397</v>
      </c>
      <c r="B101" s="266" t="s">
        <v>396</v>
      </c>
      <c r="C101" s="285" t="s">
        <v>24</v>
      </c>
      <c r="D101" s="238" t="s">
        <v>1210</v>
      </c>
      <c r="E101" s="238" t="s">
        <v>3128</v>
      </c>
      <c r="F101" s="238" t="s">
        <v>2664</v>
      </c>
      <c r="G101" s="239">
        <v>0</v>
      </c>
      <c r="H101" s="240" t="s">
        <v>891</v>
      </c>
      <c r="I101" s="239">
        <v>0</v>
      </c>
      <c r="J101" s="240" t="s">
        <v>891</v>
      </c>
      <c r="K101" s="238" t="s">
        <v>873</v>
      </c>
      <c r="L101" s="238" t="s">
        <v>891</v>
      </c>
      <c r="M101" s="302" t="s">
        <v>16</v>
      </c>
      <c r="N101" s="302" t="s">
        <v>16</v>
      </c>
      <c r="O101" s="302" t="s">
        <v>16</v>
      </c>
      <c r="P101" s="302" t="s">
        <v>16</v>
      </c>
      <c r="Q101" s="238" t="s">
        <v>873</v>
      </c>
      <c r="R101" s="302" t="s">
        <v>16</v>
      </c>
      <c r="S101" s="302" t="s">
        <v>16</v>
      </c>
      <c r="T101" s="302" t="s">
        <v>16</v>
      </c>
      <c r="U101" s="302" t="s">
        <v>16</v>
      </c>
      <c r="V101" s="302" t="s">
        <v>16</v>
      </c>
      <c r="W101" s="238" t="s">
        <v>873</v>
      </c>
      <c r="X101" s="303" t="s">
        <v>16</v>
      </c>
    </row>
    <row r="102" spans="1:24" x14ac:dyDescent="0.2">
      <c r="A102" s="227" t="s">
        <v>403</v>
      </c>
      <c r="B102" s="266" t="s">
        <v>402</v>
      </c>
      <c r="C102" s="285" t="s">
        <v>24</v>
      </c>
      <c r="D102" s="238" t="s">
        <v>1160</v>
      </c>
      <c r="E102" s="238" t="s">
        <v>1237</v>
      </c>
      <c r="F102" s="238" t="s">
        <v>1135</v>
      </c>
      <c r="G102" s="239">
        <v>1</v>
      </c>
      <c r="H102" s="240" t="s">
        <v>3132</v>
      </c>
      <c r="I102" s="239">
        <v>0.96579999999999999</v>
      </c>
      <c r="J102" s="240" t="s">
        <v>3133</v>
      </c>
      <c r="K102" s="238" t="s">
        <v>872</v>
      </c>
      <c r="L102" s="238" t="s">
        <v>2694</v>
      </c>
      <c r="M102" s="239">
        <v>0</v>
      </c>
      <c r="N102" s="302" t="s">
        <v>16</v>
      </c>
      <c r="O102" s="302" t="s">
        <v>16</v>
      </c>
      <c r="P102" s="302" t="s">
        <v>16</v>
      </c>
      <c r="Q102" s="238" t="s">
        <v>872</v>
      </c>
      <c r="R102" s="302" t="s">
        <v>16</v>
      </c>
      <c r="S102" s="239">
        <v>0</v>
      </c>
      <c r="T102" s="302" t="s">
        <v>16</v>
      </c>
      <c r="U102" s="302" t="s">
        <v>16</v>
      </c>
      <c r="V102" s="302" t="s">
        <v>16</v>
      </c>
      <c r="W102" s="238" t="s">
        <v>873</v>
      </c>
      <c r="X102" s="303" t="s">
        <v>16</v>
      </c>
    </row>
    <row r="103" spans="1:24" x14ac:dyDescent="0.2">
      <c r="A103" s="227" t="s">
        <v>407</v>
      </c>
      <c r="B103" s="266" t="s">
        <v>406</v>
      </c>
      <c r="C103" s="285" t="s">
        <v>24</v>
      </c>
      <c r="D103" s="238" t="s">
        <v>1133</v>
      </c>
      <c r="E103" s="238" t="s">
        <v>1238</v>
      </c>
      <c r="F103" s="238" t="s">
        <v>2664</v>
      </c>
      <c r="G103" s="239">
        <v>0</v>
      </c>
      <c r="H103" s="240" t="s">
        <v>891</v>
      </c>
      <c r="I103" s="239">
        <v>0</v>
      </c>
      <c r="J103" s="240" t="s">
        <v>891</v>
      </c>
      <c r="K103" s="238" t="s">
        <v>873</v>
      </c>
      <c r="L103" s="238" t="s">
        <v>891</v>
      </c>
      <c r="M103" s="239">
        <v>0</v>
      </c>
      <c r="N103" s="240" t="s">
        <v>891</v>
      </c>
      <c r="O103" s="239">
        <v>0</v>
      </c>
      <c r="P103" s="240" t="s">
        <v>891</v>
      </c>
      <c r="Q103" s="238" t="s">
        <v>873</v>
      </c>
      <c r="R103" s="238" t="s">
        <v>891</v>
      </c>
      <c r="S103" s="239">
        <v>0</v>
      </c>
      <c r="T103" s="240" t="s">
        <v>891</v>
      </c>
      <c r="U103" s="239">
        <v>0</v>
      </c>
      <c r="V103" s="240" t="s">
        <v>891</v>
      </c>
      <c r="W103" s="238" t="s">
        <v>873</v>
      </c>
      <c r="X103" s="241" t="s">
        <v>891</v>
      </c>
    </row>
    <row r="104" spans="1:24" x14ac:dyDescent="0.2">
      <c r="A104" s="227" t="s">
        <v>411</v>
      </c>
      <c r="B104" s="266" t="s">
        <v>410</v>
      </c>
      <c r="C104" s="285" t="s">
        <v>24</v>
      </c>
      <c r="D104" s="238" t="s">
        <v>1166</v>
      </c>
      <c r="E104" s="238" t="s">
        <v>1240</v>
      </c>
      <c r="F104" s="238" t="s">
        <v>2836</v>
      </c>
      <c r="G104" s="239">
        <v>0</v>
      </c>
      <c r="H104" s="240" t="s">
        <v>891</v>
      </c>
      <c r="I104" s="239">
        <v>0</v>
      </c>
      <c r="J104" s="240" t="s">
        <v>891</v>
      </c>
      <c r="K104" s="238" t="s">
        <v>873</v>
      </c>
      <c r="L104" s="238" t="s">
        <v>891</v>
      </c>
      <c r="M104" s="239">
        <v>0</v>
      </c>
      <c r="N104" s="240" t="s">
        <v>891</v>
      </c>
      <c r="O104" s="239">
        <v>0</v>
      </c>
      <c r="P104" s="240" t="s">
        <v>891</v>
      </c>
      <c r="Q104" s="238" t="s">
        <v>873</v>
      </c>
      <c r="R104" s="238" t="s">
        <v>891</v>
      </c>
      <c r="S104" s="239">
        <v>0</v>
      </c>
      <c r="T104" s="240" t="s">
        <v>891</v>
      </c>
      <c r="U104" s="239">
        <v>0</v>
      </c>
      <c r="V104" s="240" t="s">
        <v>891</v>
      </c>
      <c r="W104" s="238" t="s">
        <v>873</v>
      </c>
      <c r="X104" s="241" t="s">
        <v>891</v>
      </c>
    </row>
    <row r="105" spans="1:24" x14ac:dyDescent="0.2">
      <c r="A105" s="227" t="s">
        <v>413</v>
      </c>
      <c r="B105" s="266" t="s">
        <v>412</v>
      </c>
      <c r="C105" s="285" t="s">
        <v>24</v>
      </c>
      <c r="D105" s="238" t="s">
        <v>1173</v>
      </c>
      <c r="E105" s="238" t="s">
        <v>3136</v>
      </c>
      <c r="F105" s="238" t="s">
        <v>2691</v>
      </c>
      <c r="G105" s="239">
        <v>1</v>
      </c>
      <c r="H105" s="240" t="s">
        <v>3137</v>
      </c>
      <c r="I105" s="239">
        <v>1</v>
      </c>
      <c r="J105" s="302" t="s">
        <v>16</v>
      </c>
      <c r="K105" s="238" t="s">
        <v>872</v>
      </c>
      <c r="L105" s="238" t="s">
        <v>2687</v>
      </c>
      <c r="M105" s="302" t="s">
        <v>16</v>
      </c>
      <c r="N105" s="302" t="s">
        <v>16</v>
      </c>
      <c r="O105" s="302" t="s">
        <v>16</v>
      </c>
      <c r="P105" s="302" t="s">
        <v>16</v>
      </c>
      <c r="Q105" s="238" t="s">
        <v>873</v>
      </c>
      <c r="R105" s="302" t="s">
        <v>16</v>
      </c>
      <c r="S105" s="302" t="s">
        <v>16</v>
      </c>
      <c r="T105" s="302" t="s">
        <v>16</v>
      </c>
      <c r="U105" s="302" t="s">
        <v>16</v>
      </c>
      <c r="V105" s="302" t="s">
        <v>16</v>
      </c>
      <c r="W105" s="238" t="s">
        <v>873</v>
      </c>
      <c r="X105" s="303" t="s">
        <v>16</v>
      </c>
    </row>
    <row r="106" spans="1:24" x14ac:dyDescent="0.2">
      <c r="A106" s="227" t="s">
        <v>415</v>
      </c>
      <c r="B106" s="266" t="s">
        <v>414</v>
      </c>
      <c r="C106" s="285" t="s">
        <v>24</v>
      </c>
      <c r="D106" s="238" t="s">
        <v>1154</v>
      </c>
      <c r="E106" s="238" t="s">
        <v>3138</v>
      </c>
      <c r="F106" s="238" t="s">
        <v>2691</v>
      </c>
      <c r="G106" s="239">
        <v>1</v>
      </c>
      <c r="H106" s="240" t="s">
        <v>3139</v>
      </c>
      <c r="I106" s="239">
        <v>0.85819999999999996</v>
      </c>
      <c r="J106" s="240" t="s">
        <v>2686</v>
      </c>
      <c r="K106" s="238" t="s">
        <v>872</v>
      </c>
      <c r="L106" s="238" t="s">
        <v>2694</v>
      </c>
      <c r="M106" s="302" t="s">
        <v>16</v>
      </c>
      <c r="N106" s="302" t="s">
        <v>16</v>
      </c>
      <c r="O106" s="302" t="s">
        <v>16</v>
      </c>
      <c r="P106" s="302" t="s">
        <v>16</v>
      </c>
      <c r="Q106" s="238" t="s">
        <v>873</v>
      </c>
      <c r="R106" s="302" t="s">
        <v>16</v>
      </c>
      <c r="S106" s="302" t="s">
        <v>16</v>
      </c>
      <c r="T106" s="302" t="s">
        <v>16</v>
      </c>
      <c r="U106" s="302" t="s">
        <v>16</v>
      </c>
      <c r="V106" s="302" t="s">
        <v>16</v>
      </c>
      <c r="W106" s="238" t="s">
        <v>873</v>
      </c>
      <c r="X106" s="303" t="s">
        <v>16</v>
      </c>
    </row>
    <row r="107" spans="1:24" x14ac:dyDescent="0.2">
      <c r="A107" s="227" t="s">
        <v>429</v>
      </c>
      <c r="B107" s="266" t="s">
        <v>428</v>
      </c>
      <c r="C107" s="285" t="s">
        <v>24</v>
      </c>
      <c r="D107" s="238" t="s">
        <v>1143</v>
      </c>
      <c r="E107" s="238" t="s">
        <v>3151</v>
      </c>
      <c r="F107" s="238" t="s">
        <v>2691</v>
      </c>
      <c r="G107" s="239">
        <v>1</v>
      </c>
      <c r="H107" s="240" t="s">
        <v>2890</v>
      </c>
      <c r="I107" s="239">
        <v>0.95</v>
      </c>
      <c r="J107" s="240" t="s">
        <v>2873</v>
      </c>
      <c r="K107" s="238" t="s">
        <v>873</v>
      </c>
      <c r="L107" s="238" t="s">
        <v>2694</v>
      </c>
      <c r="M107" s="239">
        <v>1</v>
      </c>
      <c r="N107" s="240" t="s">
        <v>3152</v>
      </c>
      <c r="O107" s="239">
        <v>0.95</v>
      </c>
      <c r="P107" s="240" t="s">
        <v>3153</v>
      </c>
      <c r="Q107" s="238" t="s">
        <v>872</v>
      </c>
      <c r="R107" s="238" t="s">
        <v>2687</v>
      </c>
      <c r="S107" s="302" t="s">
        <v>16</v>
      </c>
      <c r="T107" s="302" t="s">
        <v>16</v>
      </c>
      <c r="U107" s="302" t="s">
        <v>16</v>
      </c>
      <c r="V107" s="302" t="s">
        <v>16</v>
      </c>
      <c r="W107" s="238" t="s">
        <v>873</v>
      </c>
      <c r="X107" s="303" t="s">
        <v>16</v>
      </c>
    </row>
    <row r="108" spans="1:24" x14ac:dyDescent="0.2">
      <c r="A108" s="227" t="s">
        <v>441</v>
      </c>
      <c r="B108" s="266" t="s">
        <v>440</v>
      </c>
      <c r="C108" s="285" t="s">
        <v>24</v>
      </c>
      <c r="D108" s="238" t="s">
        <v>1133</v>
      </c>
      <c r="E108" s="238" t="s">
        <v>3162</v>
      </c>
      <c r="F108" s="238" t="s">
        <v>2664</v>
      </c>
      <c r="G108" s="239">
        <v>2</v>
      </c>
      <c r="H108" s="240" t="s">
        <v>3163</v>
      </c>
      <c r="I108" s="239">
        <v>1</v>
      </c>
      <c r="J108" s="240" t="s">
        <v>1139</v>
      </c>
      <c r="K108" s="238" t="s">
        <v>872</v>
      </c>
      <c r="L108" s="238" t="s">
        <v>2723</v>
      </c>
      <c r="M108" s="302" t="s">
        <v>16</v>
      </c>
      <c r="N108" s="302" t="s">
        <v>16</v>
      </c>
      <c r="O108" s="302" t="s">
        <v>16</v>
      </c>
      <c r="P108" s="302" t="s">
        <v>16</v>
      </c>
      <c r="Q108" s="238" t="s">
        <v>873</v>
      </c>
      <c r="R108" s="302" t="s">
        <v>16</v>
      </c>
      <c r="S108" s="302" t="s">
        <v>16</v>
      </c>
      <c r="T108" s="302" t="s">
        <v>16</v>
      </c>
      <c r="U108" s="302" t="s">
        <v>16</v>
      </c>
      <c r="V108" s="302" t="s">
        <v>16</v>
      </c>
      <c r="W108" s="238" t="s">
        <v>873</v>
      </c>
      <c r="X108" s="303" t="s">
        <v>16</v>
      </c>
    </row>
    <row r="109" spans="1:24" x14ac:dyDescent="0.2">
      <c r="A109" s="227" t="s">
        <v>443</v>
      </c>
      <c r="B109" s="266" t="s">
        <v>442</v>
      </c>
      <c r="C109" s="285" t="s">
        <v>24</v>
      </c>
      <c r="D109" s="238" t="s">
        <v>1222</v>
      </c>
      <c r="E109" s="238" t="s">
        <v>1245</v>
      </c>
      <c r="F109" s="238" t="s">
        <v>2664</v>
      </c>
      <c r="G109" s="239">
        <v>0.4</v>
      </c>
      <c r="H109" s="240" t="s">
        <v>2696</v>
      </c>
      <c r="I109" s="239">
        <v>0.4</v>
      </c>
      <c r="J109" s="240" t="s">
        <v>3164</v>
      </c>
      <c r="K109" s="238" t="s">
        <v>873</v>
      </c>
      <c r="L109" s="238" t="s">
        <v>891</v>
      </c>
      <c r="M109" s="239">
        <v>0</v>
      </c>
      <c r="N109" s="240" t="s">
        <v>891</v>
      </c>
      <c r="O109" s="239">
        <v>0</v>
      </c>
      <c r="P109" s="240" t="s">
        <v>891</v>
      </c>
      <c r="Q109" s="238" t="s">
        <v>873</v>
      </c>
      <c r="R109" s="238" t="s">
        <v>891</v>
      </c>
      <c r="S109" s="239">
        <v>0</v>
      </c>
      <c r="T109" s="240" t="s">
        <v>891</v>
      </c>
      <c r="U109" s="239">
        <v>0</v>
      </c>
      <c r="V109" s="240" t="s">
        <v>891</v>
      </c>
      <c r="W109" s="238" t="s">
        <v>873</v>
      </c>
      <c r="X109" s="241" t="s">
        <v>891</v>
      </c>
    </row>
    <row r="110" spans="1:24" x14ac:dyDescent="0.2">
      <c r="A110" s="227" t="s">
        <v>465</v>
      </c>
      <c r="B110" s="266" t="s">
        <v>464</v>
      </c>
      <c r="C110" s="285" t="s">
        <v>24</v>
      </c>
      <c r="D110" s="238" t="s">
        <v>1182</v>
      </c>
      <c r="E110" s="238" t="s">
        <v>3187</v>
      </c>
      <c r="F110" s="238" t="s">
        <v>2691</v>
      </c>
      <c r="G110" s="239">
        <v>0.25</v>
      </c>
      <c r="H110" s="240" t="s">
        <v>2812</v>
      </c>
      <c r="I110" s="239">
        <v>0.25</v>
      </c>
      <c r="J110" s="240" t="s">
        <v>3188</v>
      </c>
      <c r="K110" s="238" t="s">
        <v>873</v>
      </c>
      <c r="L110" s="238" t="s">
        <v>2694</v>
      </c>
      <c r="M110" s="302" t="s">
        <v>16</v>
      </c>
      <c r="N110" s="302" t="s">
        <v>16</v>
      </c>
      <c r="O110" s="302" t="s">
        <v>16</v>
      </c>
      <c r="P110" s="302" t="s">
        <v>16</v>
      </c>
      <c r="Q110" s="238" t="s">
        <v>873</v>
      </c>
      <c r="R110" s="302" t="s">
        <v>16</v>
      </c>
      <c r="S110" s="302" t="s">
        <v>16</v>
      </c>
      <c r="T110" s="302" t="s">
        <v>16</v>
      </c>
      <c r="U110" s="302" t="s">
        <v>16</v>
      </c>
      <c r="V110" s="302" t="s">
        <v>16</v>
      </c>
      <c r="W110" s="238" t="s">
        <v>873</v>
      </c>
      <c r="X110" s="303" t="s">
        <v>16</v>
      </c>
    </row>
    <row r="111" spans="1:24" x14ac:dyDescent="0.2">
      <c r="A111" s="227" t="s">
        <v>472</v>
      </c>
      <c r="B111" s="266" t="s">
        <v>471</v>
      </c>
      <c r="C111" s="285" t="s">
        <v>24</v>
      </c>
      <c r="D111" s="238" t="s">
        <v>1207</v>
      </c>
      <c r="E111" s="238" t="s">
        <v>1198</v>
      </c>
      <c r="F111" s="238" t="s">
        <v>2781</v>
      </c>
      <c r="G111" s="239">
        <v>1</v>
      </c>
      <c r="H111" s="240" t="s">
        <v>3193</v>
      </c>
      <c r="I111" s="239">
        <v>1</v>
      </c>
      <c r="J111" s="302" t="s">
        <v>16</v>
      </c>
      <c r="K111" s="238" t="s">
        <v>872</v>
      </c>
      <c r="L111" s="238" t="s">
        <v>2694</v>
      </c>
      <c r="M111" s="239">
        <v>0</v>
      </c>
      <c r="N111" s="240" t="s">
        <v>891</v>
      </c>
      <c r="O111" s="239">
        <v>0</v>
      </c>
      <c r="P111" s="240" t="s">
        <v>891</v>
      </c>
      <c r="Q111" s="238" t="s">
        <v>873</v>
      </c>
      <c r="R111" s="238" t="s">
        <v>891</v>
      </c>
      <c r="S111" s="239">
        <v>0</v>
      </c>
      <c r="T111" s="240" t="s">
        <v>891</v>
      </c>
      <c r="U111" s="239">
        <v>0</v>
      </c>
      <c r="V111" s="240" t="s">
        <v>891</v>
      </c>
      <c r="W111" s="238" t="s">
        <v>873</v>
      </c>
      <c r="X111" s="241" t="s">
        <v>891</v>
      </c>
    </row>
    <row r="112" spans="1:24" x14ac:dyDescent="0.2">
      <c r="A112" s="227" t="s">
        <v>478</v>
      </c>
      <c r="B112" s="266" t="s">
        <v>477</v>
      </c>
      <c r="C112" s="285" t="s">
        <v>24</v>
      </c>
      <c r="D112" s="238" t="s">
        <v>1128</v>
      </c>
      <c r="E112" s="238" t="s">
        <v>3198</v>
      </c>
      <c r="F112" s="238" t="s">
        <v>2691</v>
      </c>
      <c r="G112" s="239">
        <v>1</v>
      </c>
      <c r="H112" s="240" t="s">
        <v>3199</v>
      </c>
      <c r="I112" s="239">
        <v>0.84950000000000003</v>
      </c>
      <c r="J112" s="302" t="s">
        <v>16</v>
      </c>
      <c r="K112" s="238" t="s">
        <v>872</v>
      </c>
      <c r="L112" s="238" t="s">
        <v>2694</v>
      </c>
      <c r="M112" s="302" t="s">
        <v>16</v>
      </c>
      <c r="N112" s="302" t="s">
        <v>16</v>
      </c>
      <c r="O112" s="302" t="s">
        <v>16</v>
      </c>
      <c r="P112" s="302" t="s">
        <v>16</v>
      </c>
      <c r="Q112" s="238" t="s">
        <v>873</v>
      </c>
      <c r="R112" s="302" t="s">
        <v>16</v>
      </c>
      <c r="S112" s="302" t="s">
        <v>16</v>
      </c>
      <c r="T112" s="302" t="s">
        <v>16</v>
      </c>
      <c r="U112" s="302" t="s">
        <v>16</v>
      </c>
      <c r="V112" s="302" t="s">
        <v>16</v>
      </c>
      <c r="W112" s="238" t="s">
        <v>873</v>
      </c>
      <c r="X112" s="303" t="s">
        <v>16</v>
      </c>
    </row>
    <row r="113" spans="1:24" x14ac:dyDescent="0.2">
      <c r="A113" s="227" t="s">
        <v>482</v>
      </c>
      <c r="B113" s="266" t="s">
        <v>481</v>
      </c>
      <c r="C113" s="285" t="s">
        <v>24</v>
      </c>
      <c r="D113" s="238" t="s">
        <v>1132</v>
      </c>
      <c r="E113" s="238" t="s">
        <v>1252</v>
      </c>
      <c r="F113" s="238" t="s">
        <v>2664</v>
      </c>
      <c r="G113" s="239">
        <v>0</v>
      </c>
      <c r="H113" s="302" t="s">
        <v>16</v>
      </c>
      <c r="I113" s="239">
        <v>0</v>
      </c>
      <c r="J113" s="302" t="s">
        <v>16</v>
      </c>
      <c r="K113" s="238" t="s">
        <v>873</v>
      </c>
      <c r="L113" s="302" t="s">
        <v>16</v>
      </c>
      <c r="M113" s="239">
        <v>0</v>
      </c>
      <c r="N113" s="302" t="s">
        <v>16</v>
      </c>
      <c r="O113" s="239">
        <v>0</v>
      </c>
      <c r="P113" s="302" t="s">
        <v>16</v>
      </c>
      <c r="Q113" s="238" t="s">
        <v>873</v>
      </c>
      <c r="R113" s="302" t="s">
        <v>16</v>
      </c>
      <c r="S113" s="239">
        <v>0</v>
      </c>
      <c r="T113" s="302" t="s">
        <v>16</v>
      </c>
      <c r="U113" s="239">
        <v>0</v>
      </c>
      <c r="V113" s="302" t="s">
        <v>16</v>
      </c>
      <c r="W113" s="238" t="s">
        <v>873</v>
      </c>
      <c r="X113" s="303" t="s">
        <v>16</v>
      </c>
    </row>
    <row r="114" spans="1:24" x14ac:dyDescent="0.2">
      <c r="A114" s="227" t="s">
        <v>494</v>
      </c>
      <c r="B114" s="266" t="s">
        <v>493</v>
      </c>
      <c r="C114" s="285" t="s">
        <v>24</v>
      </c>
      <c r="D114" s="238" t="s">
        <v>1179</v>
      </c>
      <c r="E114" s="238" t="s">
        <v>1256</v>
      </c>
      <c r="F114" s="238" t="s">
        <v>2664</v>
      </c>
      <c r="G114" s="239">
        <v>2</v>
      </c>
      <c r="H114" s="240" t="s">
        <v>3208</v>
      </c>
      <c r="I114" s="239">
        <v>2</v>
      </c>
      <c r="J114" s="240" t="s">
        <v>3209</v>
      </c>
      <c r="K114" s="238" t="s">
        <v>873</v>
      </c>
      <c r="L114" s="238" t="s">
        <v>2694</v>
      </c>
      <c r="M114" s="239">
        <v>0</v>
      </c>
      <c r="N114" s="240" t="s">
        <v>891</v>
      </c>
      <c r="O114" s="239">
        <v>0</v>
      </c>
      <c r="P114" s="240" t="s">
        <v>891</v>
      </c>
      <c r="Q114" s="238" t="s">
        <v>873</v>
      </c>
      <c r="R114" s="238" t="s">
        <v>891</v>
      </c>
      <c r="S114" s="239">
        <v>0</v>
      </c>
      <c r="T114" s="240" t="s">
        <v>891</v>
      </c>
      <c r="U114" s="239">
        <v>0</v>
      </c>
      <c r="V114" s="240" t="s">
        <v>891</v>
      </c>
      <c r="W114" s="238" t="s">
        <v>873</v>
      </c>
      <c r="X114" s="241" t="s">
        <v>891</v>
      </c>
    </row>
    <row r="115" spans="1:24" x14ac:dyDescent="0.2">
      <c r="A115" s="227" t="s">
        <v>496</v>
      </c>
      <c r="B115" s="266" t="s">
        <v>495</v>
      </c>
      <c r="C115" s="285" t="s">
        <v>24</v>
      </c>
      <c r="D115" s="238" t="s">
        <v>1127</v>
      </c>
      <c r="E115" s="238" t="s">
        <v>3210</v>
      </c>
      <c r="F115" s="238" t="s">
        <v>2691</v>
      </c>
      <c r="G115" s="239">
        <v>0.2</v>
      </c>
      <c r="H115" s="240" t="s">
        <v>2928</v>
      </c>
      <c r="I115" s="239">
        <v>0.2</v>
      </c>
      <c r="J115" s="240" t="s">
        <v>2827</v>
      </c>
      <c r="K115" s="238" t="s">
        <v>873</v>
      </c>
      <c r="L115" s="302" t="s">
        <v>16</v>
      </c>
      <c r="M115" s="302" t="s">
        <v>16</v>
      </c>
      <c r="N115" s="302" t="s">
        <v>16</v>
      </c>
      <c r="O115" s="302" t="s">
        <v>16</v>
      </c>
      <c r="P115" s="302" t="s">
        <v>16</v>
      </c>
      <c r="Q115" s="238" t="s">
        <v>873</v>
      </c>
      <c r="R115" s="302" t="s">
        <v>16</v>
      </c>
      <c r="S115" s="302" t="s">
        <v>16</v>
      </c>
      <c r="T115" s="302" t="s">
        <v>16</v>
      </c>
      <c r="U115" s="302" t="s">
        <v>16</v>
      </c>
      <c r="V115" s="302" t="s">
        <v>16</v>
      </c>
      <c r="W115" s="238" t="s">
        <v>873</v>
      </c>
      <c r="X115" s="303" t="s">
        <v>16</v>
      </c>
    </row>
    <row r="116" spans="1:24" x14ac:dyDescent="0.2">
      <c r="A116" s="227" t="s">
        <v>504</v>
      </c>
      <c r="B116" s="266" t="s">
        <v>503</v>
      </c>
      <c r="C116" s="285" t="s">
        <v>24</v>
      </c>
      <c r="D116" s="238" t="s">
        <v>1166</v>
      </c>
      <c r="E116" s="238" t="s">
        <v>1259</v>
      </c>
      <c r="F116" s="238" t="s">
        <v>2691</v>
      </c>
      <c r="G116" s="239">
        <v>0.75</v>
      </c>
      <c r="H116" s="240" t="s">
        <v>3215</v>
      </c>
      <c r="I116" s="239">
        <v>0.74080000000000001</v>
      </c>
      <c r="J116" s="240" t="s">
        <v>3216</v>
      </c>
      <c r="K116" s="238" t="s">
        <v>873</v>
      </c>
      <c r="L116" s="238" t="s">
        <v>2694</v>
      </c>
      <c r="M116" s="302" t="s">
        <v>16</v>
      </c>
      <c r="N116" s="302" t="s">
        <v>16</v>
      </c>
      <c r="O116" s="302" t="s">
        <v>16</v>
      </c>
      <c r="P116" s="302" t="s">
        <v>16</v>
      </c>
      <c r="Q116" s="238" t="s">
        <v>873</v>
      </c>
      <c r="R116" s="302" t="s">
        <v>16</v>
      </c>
      <c r="S116" s="302" t="s">
        <v>16</v>
      </c>
      <c r="T116" s="302" t="s">
        <v>16</v>
      </c>
      <c r="U116" s="302" t="s">
        <v>16</v>
      </c>
      <c r="V116" s="302" t="s">
        <v>16</v>
      </c>
      <c r="W116" s="238" t="s">
        <v>873</v>
      </c>
      <c r="X116" s="303" t="s">
        <v>16</v>
      </c>
    </row>
    <row r="117" spans="1:24" x14ac:dyDescent="0.2">
      <c r="A117" s="227" t="s">
        <v>506</v>
      </c>
      <c r="B117" s="266" t="s">
        <v>505</v>
      </c>
      <c r="C117" s="285" t="s">
        <v>24</v>
      </c>
      <c r="D117" s="238" t="s">
        <v>1209</v>
      </c>
      <c r="E117" s="238" t="s">
        <v>3217</v>
      </c>
      <c r="F117" s="238" t="s">
        <v>2836</v>
      </c>
      <c r="G117" s="239">
        <v>0</v>
      </c>
      <c r="H117" s="302" t="s">
        <v>16</v>
      </c>
      <c r="I117" s="239">
        <v>0</v>
      </c>
      <c r="J117" s="302" t="s">
        <v>16</v>
      </c>
      <c r="K117" s="238" t="s">
        <v>873</v>
      </c>
      <c r="L117" s="302" t="s">
        <v>16</v>
      </c>
      <c r="M117" s="239">
        <v>0</v>
      </c>
      <c r="N117" s="302" t="s">
        <v>16</v>
      </c>
      <c r="O117" s="239">
        <v>0</v>
      </c>
      <c r="P117" s="302" t="s">
        <v>16</v>
      </c>
      <c r="Q117" s="238" t="s">
        <v>873</v>
      </c>
      <c r="R117" s="302" t="s">
        <v>16</v>
      </c>
      <c r="S117" s="239">
        <v>0</v>
      </c>
      <c r="T117" s="302" t="s">
        <v>16</v>
      </c>
      <c r="U117" s="239">
        <v>0</v>
      </c>
      <c r="V117" s="302" t="s">
        <v>16</v>
      </c>
      <c r="W117" s="238" t="s">
        <v>873</v>
      </c>
      <c r="X117" s="303" t="s">
        <v>16</v>
      </c>
    </row>
    <row r="118" spans="1:24" x14ac:dyDescent="0.2">
      <c r="A118" s="227" t="s">
        <v>512</v>
      </c>
      <c r="B118" s="266" t="s">
        <v>511</v>
      </c>
      <c r="C118" s="285" t="s">
        <v>24</v>
      </c>
      <c r="D118" s="238" t="s">
        <v>1167</v>
      </c>
      <c r="E118" s="238" t="s">
        <v>1260</v>
      </c>
      <c r="F118" s="238" t="s">
        <v>2664</v>
      </c>
      <c r="G118" s="239">
        <v>1</v>
      </c>
      <c r="H118" s="240" t="s">
        <v>2762</v>
      </c>
      <c r="I118" s="239">
        <v>0.97519999999999996</v>
      </c>
      <c r="J118" s="240" t="s">
        <v>2762</v>
      </c>
      <c r="K118" s="238" t="s">
        <v>872</v>
      </c>
      <c r="L118" s="238" t="s">
        <v>2694</v>
      </c>
      <c r="M118" s="239">
        <v>0</v>
      </c>
      <c r="N118" s="240" t="s">
        <v>891</v>
      </c>
      <c r="O118" s="239">
        <v>0</v>
      </c>
      <c r="P118" s="240" t="s">
        <v>891</v>
      </c>
      <c r="Q118" s="238" t="s">
        <v>873</v>
      </c>
      <c r="R118" s="238" t="s">
        <v>891</v>
      </c>
      <c r="S118" s="239">
        <v>0</v>
      </c>
      <c r="T118" s="240" t="s">
        <v>891</v>
      </c>
      <c r="U118" s="239">
        <v>0</v>
      </c>
      <c r="V118" s="240" t="s">
        <v>891</v>
      </c>
      <c r="W118" s="238" t="s">
        <v>873</v>
      </c>
      <c r="X118" s="241" t="s">
        <v>891</v>
      </c>
    </row>
    <row r="119" spans="1:24" x14ac:dyDescent="0.2">
      <c r="A119" s="227" t="s">
        <v>530</v>
      </c>
      <c r="B119" s="266" t="s">
        <v>529</v>
      </c>
      <c r="C119" s="285" t="s">
        <v>24</v>
      </c>
      <c r="D119" s="238" t="s">
        <v>1127</v>
      </c>
      <c r="E119" s="238" t="s">
        <v>1267</v>
      </c>
      <c r="F119" s="238" t="s">
        <v>2691</v>
      </c>
      <c r="G119" s="239">
        <v>0.2</v>
      </c>
      <c r="H119" s="240" t="s">
        <v>2816</v>
      </c>
      <c r="I119" s="239">
        <v>0.2</v>
      </c>
      <c r="J119" s="240" t="s">
        <v>2937</v>
      </c>
      <c r="K119" s="238" t="s">
        <v>873</v>
      </c>
      <c r="L119" s="238" t="s">
        <v>2723</v>
      </c>
      <c r="M119" s="239">
        <v>0.59860000000000002</v>
      </c>
      <c r="N119" s="240" t="s">
        <v>3236</v>
      </c>
      <c r="O119" s="239">
        <v>0.59860000000000002</v>
      </c>
      <c r="P119" s="240" t="s">
        <v>3237</v>
      </c>
      <c r="Q119" s="238" t="s">
        <v>873</v>
      </c>
      <c r="R119" s="238" t="s">
        <v>2723</v>
      </c>
      <c r="S119" s="302" t="s">
        <v>16</v>
      </c>
      <c r="T119" s="302" t="s">
        <v>16</v>
      </c>
      <c r="U119" s="302" t="s">
        <v>16</v>
      </c>
      <c r="V119" s="302" t="s">
        <v>16</v>
      </c>
      <c r="W119" s="238" t="s">
        <v>873</v>
      </c>
      <c r="X119" s="303" t="s">
        <v>16</v>
      </c>
    </row>
    <row r="120" spans="1:24" x14ac:dyDescent="0.2">
      <c r="A120" s="227" t="s">
        <v>532</v>
      </c>
      <c r="B120" s="266" t="s">
        <v>531</v>
      </c>
      <c r="C120" s="285" t="s">
        <v>24</v>
      </c>
      <c r="D120" s="238" t="s">
        <v>1151</v>
      </c>
      <c r="E120" s="238" t="s">
        <v>3238</v>
      </c>
      <c r="F120" s="238" t="s">
        <v>2664</v>
      </c>
      <c r="G120" s="239">
        <v>0.8</v>
      </c>
      <c r="H120" s="240" t="s">
        <v>3239</v>
      </c>
      <c r="I120" s="239">
        <v>0.73960000000000004</v>
      </c>
      <c r="J120" s="240" t="s">
        <v>891</v>
      </c>
      <c r="K120" s="238" t="s">
        <v>872</v>
      </c>
      <c r="L120" s="238" t="s">
        <v>2694</v>
      </c>
      <c r="M120" s="239">
        <v>0.66</v>
      </c>
      <c r="N120" s="240" t="s">
        <v>3053</v>
      </c>
      <c r="O120" s="239">
        <v>0.62490000000000001</v>
      </c>
      <c r="P120" s="240" t="s">
        <v>3240</v>
      </c>
      <c r="Q120" s="238" t="s">
        <v>873</v>
      </c>
      <c r="R120" s="238" t="s">
        <v>2772</v>
      </c>
      <c r="S120" s="239">
        <v>6.0400000000000002E-2</v>
      </c>
      <c r="T120" s="240" t="s">
        <v>3241</v>
      </c>
      <c r="U120" s="239">
        <v>6.0400000000000002E-2</v>
      </c>
      <c r="V120" s="302" t="s">
        <v>16</v>
      </c>
      <c r="W120" s="238" t="s">
        <v>872</v>
      </c>
      <c r="X120" s="241" t="s">
        <v>2694</v>
      </c>
    </row>
    <row r="121" spans="1:24" x14ac:dyDescent="0.2">
      <c r="A121" s="227" t="s">
        <v>544</v>
      </c>
      <c r="B121" s="266" t="s">
        <v>543</v>
      </c>
      <c r="C121" s="285" t="s">
        <v>24</v>
      </c>
      <c r="D121" s="238" t="s">
        <v>1157</v>
      </c>
      <c r="E121" s="238" t="s">
        <v>1269</v>
      </c>
      <c r="F121" s="238" t="s">
        <v>2664</v>
      </c>
      <c r="G121" s="239">
        <v>0.5</v>
      </c>
      <c r="H121" s="240" t="s">
        <v>3250</v>
      </c>
      <c r="I121" s="239">
        <v>0.33629999999999999</v>
      </c>
      <c r="J121" s="240" t="s">
        <v>3251</v>
      </c>
      <c r="K121" s="238" t="s">
        <v>872</v>
      </c>
      <c r="L121" s="238" t="s">
        <v>2723</v>
      </c>
      <c r="M121" s="239">
        <v>0.45219999999999999</v>
      </c>
      <c r="N121" s="240" t="s">
        <v>3252</v>
      </c>
      <c r="O121" s="239">
        <v>0.35</v>
      </c>
      <c r="P121" s="240" t="s">
        <v>3253</v>
      </c>
      <c r="Q121" s="238" t="s">
        <v>873</v>
      </c>
      <c r="R121" s="238" t="s">
        <v>2721</v>
      </c>
      <c r="S121" s="239">
        <v>0</v>
      </c>
      <c r="T121" s="240" t="s">
        <v>3254</v>
      </c>
      <c r="U121" s="239">
        <v>0</v>
      </c>
      <c r="V121" s="240" t="s">
        <v>891</v>
      </c>
      <c r="W121" s="238" t="s">
        <v>873</v>
      </c>
      <c r="X121" s="241" t="s">
        <v>891</v>
      </c>
    </row>
    <row r="122" spans="1:24" x14ac:dyDescent="0.2">
      <c r="A122" s="227" t="s">
        <v>546</v>
      </c>
      <c r="B122" s="266" t="s">
        <v>545</v>
      </c>
      <c r="C122" s="285" t="s">
        <v>24</v>
      </c>
      <c r="D122" s="238" t="s">
        <v>1195</v>
      </c>
      <c r="E122" s="238" t="s">
        <v>3255</v>
      </c>
      <c r="F122" s="238" t="s">
        <v>2691</v>
      </c>
      <c r="G122" s="239">
        <v>1.1000000000000001</v>
      </c>
      <c r="H122" s="240" t="s">
        <v>3256</v>
      </c>
      <c r="I122" s="239">
        <v>1.0992</v>
      </c>
      <c r="J122" s="240" t="s">
        <v>2946</v>
      </c>
      <c r="K122" s="238" t="s">
        <v>873</v>
      </c>
      <c r="L122" s="238" t="s">
        <v>3257</v>
      </c>
      <c r="M122" s="239">
        <v>0</v>
      </c>
      <c r="N122" s="302" t="s">
        <v>16</v>
      </c>
      <c r="O122" s="239">
        <v>0</v>
      </c>
      <c r="P122" s="302" t="s">
        <v>16</v>
      </c>
      <c r="Q122" s="238" t="s">
        <v>873</v>
      </c>
      <c r="R122" s="302" t="s">
        <v>16</v>
      </c>
      <c r="S122" s="239">
        <v>0</v>
      </c>
      <c r="T122" s="302" t="s">
        <v>16</v>
      </c>
      <c r="U122" s="239">
        <v>0</v>
      </c>
      <c r="V122" s="302" t="s">
        <v>16</v>
      </c>
      <c r="W122" s="238" t="s">
        <v>873</v>
      </c>
      <c r="X122" s="303" t="s">
        <v>16</v>
      </c>
    </row>
    <row r="123" spans="1:24" x14ac:dyDescent="0.2">
      <c r="A123" s="227" t="s">
        <v>550</v>
      </c>
      <c r="B123" s="266" t="s">
        <v>549</v>
      </c>
      <c r="C123" s="285" t="s">
        <v>24</v>
      </c>
      <c r="D123" s="238" t="s">
        <v>1173</v>
      </c>
      <c r="E123" s="238" t="s">
        <v>3260</v>
      </c>
      <c r="F123" s="238" t="s">
        <v>2691</v>
      </c>
      <c r="G123" s="239">
        <v>8.9999999999999998E-4</v>
      </c>
      <c r="H123" s="240" t="s">
        <v>2696</v>
      </c>
      <c r="I123" s="239">
        <v>0.89300000000000002</v>
      </c>
      <c r="J123" s="240" t="s">
        <v>3261</v>
      </c>
      <c r="K123" s="238" t="s">
        <v>873</v>
      </c>
      <c r="L123" s="238" t="s">
        <v>2687</v>
      </c>
      <c r="M123" s="239">
        <v>0</v>
      </c>
      <c r="N123" s="302" t="s">
        <v>16</v>
      </c>
      <c r="O123" s="239">
        <v>0</v>
      </c>
      <c r="P123" s="302" t="s">
        <v>16</v>
      </c>
      <c r="Q123" s="238" t="s">
        <v>873</v>
      </c>
      <c r="R123" s="302" t="s">
        <v>16</v>
      </c>
      <c r="S123" s="239">
        <v>0</v>
      </c>
      <c r="T123" s="302" t="s">
        <v>16</v>
      </c>
      <c r="U123" s="239">
        <v>0</v>
      </c>
      <c r="V123" s="302" t="s">
        <v>16</v>
      </c>
      <c r="W123" s="238" t="s">
        <v>873</v>
      </c>
      <c r="X123" s="303" t="s">
        <v>16</v>
      </c>
    </row>
    <row r="124" spans="1:24" x14ac:dyDescent="0.2">
      <c r="A124" s="227" t="s">
        <v>558</v>
      </c>
      <c r="B124" s="266" t="s">
        <v>557</v>
      </c>
      <c r="C124" s="285" t="s">
        <v>24</v>
      </c>
      <c r="D124" s="238" t="s">
        <v>1167</v>
      </c>
      <c r="E124" s="238" t="s">
        <v>3269</v>
      </c>
      <c r="F124" s="238" t="s">
        <v>2664</v>
      </c>
      <c r="G124" s="239">
        <v>1.6351</v>
      </c>
      <c r="H124" s="240" t="s">
        <v>3270</v>
      </c>
      <c r="I124" s="239">
        <v>1.6351</v>
      </c>
      <c r="J124" s="240" t="s">
        <v>3271</v>
      </c>
      <c r="K124" s="238" t="s">
        <v>873</v>
      </c>
      <c r="L124" s="238" t="s">
        <v>2694</v>
      </c>
      <c r="M124" s="302" t="s">
        <v>16</v>
      </c>
      <c r="N124" s="302" t="s">
        <v>16</v>
      </c>
      <c r="O124" s="302" t="s">
        <v>16</v>
      </c>
      <c r="P124" s="302" t="s">
        <v>16</v>
      </c>
      <c r="Q124" s="238" t="s">
        <v>873</v>
      </c>
      <c r="R124" s="302" t="s">
        <v>16</v>
      </c>
      <c r="S124" s="302" t="s">
        <v>16</v>
      </c>
      <c r="T124" s="302" t="s">
        <v>16</v>
      </c>
      <c r="U124" s="302" t="s">
        <v>16</v>
      </c>
      <c r="V124" s="302" t="s">
        <v>16</v>
      </c>
      <c r="W124" s="238" t="s">
        <v>873</v>
      </c>
      <c r="X124" s="303" t="s">
        <v>16</v>
      </c>
    </row>
    <row r="125" spans="1:24" x14ac:dyDescent="0.2">
      <c r="A125" s="227" t="s">
        <v>578</v>
      </c>
      <c r="B125" s="266" t="s">
        <v>577</v>
      </c>
      <c r="C125" s="285" t="s">
        <v>24</v>
      </c>
      <c r="D125" s="238" t="s">
        <v>1152</v>
      </c>
      <c r="E125" s="238" t="s">
        <v>1275</v>
      </c>
      <c r="F125" s="238" t="s">
        <v>2691</v>
      </c>
      <c r="G125" s="239">
        <v>1</v>
      </c>
      <c r="H125" s="240" t="s">
        <v>3291</v>
      </c>
      <c r="I125" s="239">
        <v>0.75</v>
      </c>
      <c r="J125" s="302" t="s">
        <v>16</v>
      </c>
      <c r="K125" s="238" t="s">
        <v>872</v>
      </c>
      <c r="L125" s="238" t="s">
        <v>2723</v>
      </c>
      <c r="M125" s="239">
        <v>0</v>
      </c>
      <c r="N125" s="302" t="s">
        <v>16</v>
      </c>
      <c r="O125" s="239">
        <v>0</v>
      </c>
      <c r="P125" s="302" t="s">
        <v>16</v>
      </c>
      <c r="Q125" s="238" t="s">
        <v>873</v>
      </c>
      <c r="R125" s="302" t="s">
        <v>16</v>
      </c>
      <c r="S125" s="239">
        <v>0</v>
      </c>
      <c r="T125" s="302" t="s">
        <v>16</v>
      </c>
      <c r="U125" s="239">
        <v>0</v>
      </c>
      <c r="V125" s="302" t="s">
        <v>16</v>
      </c>
      <c r="W125" s="238" t="s">
        <v>873</v>
      </c>
      <c r="X125" s="303" t="s">
        <v>16</v>
      </c>
    </row>
    <row r="126" spans="1:24" x14ac:dyDescent="0.2">
      <c r="A126" s="227" t="s">
        <v>584</v>
      </c>
      <c r="B126" s="266" t="s">
        <v>583</v>
      </c>
      <c r="C126" s="285" t="s">
        <v>24</v>
      </c>
      <c r="D126" s="238" t="s">
        <v>1182</v>
      </c>
      <c r="E126" s="238" t="s">
        <v>3297</v>
      </c>
      <c r="F126" s="238" t="s">
        <v>2664</v>
      </c>
      <c r="G126" s="239">
        <v>1000</v>
      </c>
      <c r="H126" s="240" t="s">
        <v>3298</v>
      </c>
      <c r="I126" s="239">
        <v>1000</v>
      </c>
      <c r="J126" s="302" t="s">
        <v>16</v>
      </c>
      <c r="K126" s="238" t="s">
        <v>872</v>
      </c>
      <c r="L126" s="238" t="s">
        <v>2705</v>
      </c>
      <c r="M126" s="239">
        <v>0.25</v>
      </c>
      <c r="N126" s="240" t="s">
        <v>3299</v>
      </c>
      <c r="O126" s="239">
        <v>0.25</v>
      </c>
      <c r="P126" s="240" t="s">
        <v>3300</v>
      </c>
      <c r="Q126" s="238" t="s">
        <v>873</v>
      </c>
      <c r="R126" s="238" t="s">
        <v>2687</v>
      </c>
      <c r="S126" s="239">
        <v>0</v>
      </c>
      <c r="T126" s="302" t="s">
        <v>16</v>
      </c>
      <c r="U126" s="239">
        <v>0</v>
      </c>
      <c r="V126" s="302" t="s">
        <v>16</v>
      </c>
      <c r="W126" s="238" t="s">
        <v>873</v>
      </c>
      <c r="X126" s="241" t="s">
        <v>2723</v>
      </c>
    </row>
    <row r="127" spans="1:24" x14ac:dyDescent="0.2">
      <c r="A127" s="227" t="s">
        <v>590</v>
      </c>
      <c r="B127" s="266" t="s">
        <v>589</v>
      </c>
      <c r="C127" s="285" t="s">
        <v>24</v>
      </c>
      <c r="D127" s="238" t="s">
        <v>1210</v>
      </c>
      <c r="E127" s="238" t="s">
        <v>3306</v>
      </c>
      <c r="F127" s="238" t="s">
        <v>2664</v>
      </c>
      <c r="G127" s="239">
        <v>0</v>
      </c>
      <c r="H127" s="302" t="s">
        <v>16</v>
      </c>
      <c r="I127" s="239">
        <v>0</v>
      </c>
      <c r="J127" s="302" t="s">
        <v>16</v>
      </c>
      <c r="K127" s="238" t="s">
        <v>873</v>
      </c>
      <c r="L127" s="302" t="s">
        <v>16</v>
      </c>
      <c r="M127" s="239">
        <v>0</v>
      </c>
      <c r="N127" s="302" t="s">
        <v>16</v>
      </c>
      <c r="O127" s="239">
        <v>0</v>
      </c>
      <c r="P127" s="302" t="s">
        <v>16</v>
      </c>
      <c r="Q127" s="238" t="s">
        <v>873</v>
      </c>
      <c r="R127" s="302" t="s">
        <v>16</v>
      </c>
      <c r="S127" s="239">
        <v>0</v>
      </c>
      <c r="T127" s="302" t="s">
        <v>16</v>
      </c>
      <c r="U127" s="239">
        <v>0</v>
      </c>
      <c r="V127" s="302" t="s">
        <v>16</v>
      </c>
      <c r="W127" s="238" t="s">
        <v>873</v>
      </c>
      <c r="X127" s="303" t="s">
        <v>16</v>
      </c>
    </row>
    <row r="128" spans="1:24" x14ac:dyDescent="0.2">
      <c r="A128" s="227" t="s">
        <v>602</v>
      </c>
      <c r="B128" s="266" t="s">
        <v>601</v>
      </c>
      <c r="C128" s="285" t="s">
        <v>24</v>
      </c>
      <c r="D128" s="238" t="s">
        <v>1150</v>
      </c>
      <c r="E128" s="238" t="s">
        <v>3318</v>
      </c>
      <c r="F128" s="238" t="s">
        <v>2691</v>
      </c>
      <c r="G128" s="239">
        <v>1</v>
      </c>
      <c r="H128" s="240" t="s">
        <v>3319</v>
      </c>
      <c r="I128" s="239">
        <v>0.8</v>
      </c>
      <c r="J128" s="240" t="s">
        <v>3320</v>
      </c>
      <c r="K128" s="238" t="s">
        <v>873</v>
      </c>
      <c r="L128" s="238" t="s">
        <v>2694</v>
      </c>
      <c r="M128" s="239">
        <v>0</v>
      </c>
      <c r="N128" s="240" t="s">
        <v>891</v>
      </c>
      <c r="O128" s="239">
        <v>0</v>
      </c>
      <c r="P128" s="240" t="s">
        <v>891</v>
      </c>
      <c r="Q128" s="238" t="s">
        <v>873</v>
      </c>
      <c r="R128" s="238" t="s">
        <v>891</v>
      </c>
      <c r="S128" s="239">
        <v>0</v>
      </c>
      <c r="T128" s="240" t="s">
        <v>891</v>
      </c>
      <c r="U128" s="239">
        <v>0</v>
      </c>
      <c r="V128" s="240" t="s">
        <v>891</v>
      </c>
      <c r="W128" s="238" t="s">
        <v>873</v>
      </c>
      <c r="X128" s="241" t="s">
        <v>891</v>
      </c>
    </row>
    <row r="129" spans="1:24" x14ac:dyDescent="0.2">
      <c r="A129" s="227" t="s">
        <v>606</v>
      </c>
      <c r="B129" s="266" t="s">
        <v>605</v>
      </c>
      <c r="C129" s="285" t="s">
        <v>24</v>
      </c>
      <c r="D129" s="238" t="s">
        <v>1173</v>
      </c>
      <c r="E129" s="238" t="s">
        <v>1280</v>
      </c>
      <c r="F129" s="238" t="s">
        <v>2664</v>
      </c>
      <c r="G129" s="239">
        <v>0.93</v>
      </c>
      <c r="H129" s="240" t="s">
        <v>3325</v>
      </c>
      <c r="I129" s="239">
        <v>0.93</v>
      </c>
      <c r="J129" s="240" t="s">
        <v>3326</v>
      </c>
      <c r="K129" s="238" t="s">
        <v>873</v>
      </c>
      <c r="L129" s="238" t="s">
        <v>2694</v>
      </c>
      <c r="M129" s="239">
        <v>0</v>
      </c>
      <c r="N129" s="302" t="s">
        <v>16</v>
      </c>
      <c r="O129" s="239">
        <v>0</v>
      </c>
      <c r="P129" s="302" t="s">
        <v>16</v>
      </c>
      <c r="Q129" s="238" t="s">
        <v>873</v>
      </c>
      <c r="R129" s="302" t="s">
        <v>16</v>
      </c>
      <c r="S129" s="239">
        <v>0</v>
      </c>
      <c r="T129" s="302" t="s">
        <v>16</v>
      </c>
      <c r="U129" s="239">
        <v>0</v>
      </c>
      <c r="V129" s="302" t="s">
        <v>16</v>
      </c>
      <c r="W129" s="238" t="s">
        <v>873</v>
      </c>
      <c r="X129" s="303" t="s">
        <v>16</v>
      </c>
    </row>
    <row r="130" spans="1:24" x14ac:dyDescent="0.2">
      <c r="A130" s="227" t="s">
        <v>620</v>
      </c>
      <c r="B130" s="266" t="s">
        <v>619</v>
      </c>
      <c r="C130" s="285" t="s">
        <v>24</v>
      </c>
      <c r="D130" s="238" t="s">
        <v>1155</v>
      </c>
      <c r="E130" s="238" t="s">
        <v>2773</v>
      </c>
      <c r="F130" s="238" t="s">
        <v>2691</v>
      </c>
      <c r="G130" s="239">
        <v>0.5</v>
      </c>
      <c r="H130" s="240" t="s">
        <v>3346</v>
      </c>
      <c r="I130" s="239">
        <v>0.46210000000000001</v>
      </c>
      <c r="J130" s="302" t="s">
        <v>16</v>
      </c>
      <c r="K130" s="238" t="s">
        <v>872</v>
      </c>
      <c r="L130" s="238" t="s">
        <v>2694</v>
      </c>
      <c r="M130" s="239">
        <v>0</v>
      </c>
      <c r="N130" s="302" t="s">
        <v>16</v>
      </c>
      <c r="O130" s="239">
        <v>0</v>
      </c>
      <c r="P130" s="302" t="s">
        <v>16</v>
      </c>
      <c r="Q130" s="238" t="s">
        <v>873</v>
      </c>
      <c r="R130" s="302" t="s">
        <v>16</v>
      </c>
      <c r="S130" s="239">
        <v>0</v>
      </c>
      <c r="T130" s="302" t="s">
        <v>16</v>
      </c>
      <c r="U130" s="239">
        <v>0</v>
      </c>
      <c r="V130" s="302" t="s">
        <v>16</v>
      </c>
      <c r="W130" s="238" t="s">
        <v>873</v>
      </c>
      <c r="X130" s="303" t="s">
        <v>16</v>
      </c>
    </row>
    <row r="131" spans="1:24" x14ac:dyDescent="0.2">
      <c r="A131" s="227" t="s">
        <v>626</v>
      </c>
      <c r="B131" s="266" t="s">
        <v>625</v>
      </c>
      <c r="C131" s="285" t="s">
        <v>24</v>
      </c>
      <c r="D131" s="238" t="s">
        <v>1200</v>
      </c>
      <c r="E131" s="238" t="s">
        <v>3352</v>
      </c>
      <c r="F131" s="238" t="s">
        <v>2691</v>
      </c>
      <c r="G131" s="239">
        <v>1</v>
      </c>
      <c r="H131" s="240" t="s">
        <v>3353</v>
      </c>
      <c r="I131" s="239">
        <v>1</v>
      </c>
      <c r="J131" s="240" t="s">
        <v>3237</v>
      </c>
      <c r="K131" s="238" t="s">
        <v>873</v>
      </c>
      <c r="L131" s="238" t="s">
        <v>2694</v>
      </c>
      <c r="M131" s="302" t="s">
        <v>16</v>
      </c>
      <c r="N131" s="302" t="s">
        <v>16</v>
      </c>
      <c r="O131" s="302" t="s">
        <v>16</v>
      </c>
      <c r="P131" s="302" t="s">
        <v>16</v>
      </c>
      <c r="Q131" s="238" t="s">
        <v>873</v>
      </c>
      <c r="R131" s="302" t="s">
        <v>16</v>
      </c>
      <c r="S131" s="302" t="s">
        <v>16</v>
      </c>
      <c r="T131" s="302" t="s">
        <v>16</v>
      </c>
      <c r="U131" s="302" t="s">
        <v>16</v>
      </c>
      <c r="V131" s="302" t="s">
        <v>16</v>
      </c>
      <c r="W131" s="238" t="s">
        <v>873</v>
      </c>
      <c r="X131" s="303" t="s">
        <v>16</v>
      </c>
    </row>
    <row r="132" spans="1:24" x14ac:dyDescent="0.2">
      <c r="A132" s="227" t="s">
        <v>628</v>
      </c>
      <c r="B132" s="266" t="s">
        <v>627</v>
      </c>
      <c r="C132" s="285" t="s">
        <v>24</v>
      </c>
      <c r="D132" s="238" t="s">
        <v>1164</v>
      </c>
      <c r="E132" s="238" t="s">
        <v>1284</v>
      </c>
      <c r="F132" s="238" t="s">
        <v>2664</v>
      </c>
      <c r="G132" s="239">
        <v>0.75</v>
      </c>
      <c r="H132" s="240" t="s">
        <v>3354</v>
      </c>
      <c r="I132" s="239">
        <v>0.68120000000000003</v>
      </c>
      <c r="J132" s="302" t="s">
        <v>16</v>
      </c>
      <c r="K132" s="238" t="s">
        <v>872</v>
      </c>
      <c r="L132" s="238" t="s">
        <v>2694</v>
      </c>
      <c r="M132" s="239">
        <v>6.88E-2</v>
      </c>
      <c r="N132" s="240" t="s">
        <v>2798</v>
      </c>
      <c r="O132" s="239">
        <v>6.88E-2</v>
      </c>
      <c r="P132" s="302" t="s">
        <v>16</v>
      </c>
      <c r="Q132" s="238" t="s">
        <v>872</v>
      </c>
      <c r="R132" s="238" t="s">
        <v>2694</v>
      </c>
      <c r="S132" s="302" t="s">
        <v>16</v>
      </c>
      <c r="T132" s="302" t="s">
        <v>16</v>
      </c>
      <c r="U132" s="302" t="s">
        <v>16</v>
      </c>
      <c r="V132" s="302" t="s">
        <v>16</v>
      </c>
      <c r="W132" s="238" t="s">
        <v>873</v>
      </c>
      <c r="X132" s="303" t="s">
        <v>16</v>
      </c>
    </row>
    <row r="133" spans="1:24" x14ac:dyDescent="0.2">
      <c r="A133" s="227" t="s">
        <v>634</v>
      </c>
      <c r="B133" s="266" t="s">
        <v>633</v>
      </c>
      <c r="C133" s="285" t="s">
        <v>24</v>
      </c>
      <c r="D133" s="238" t="s">
        <v>1173</v>
      </c>
      <c r="E133" s="238" t="s">
        <v>1286</v>
      </c>
      <c r="F133" s="238" t="s">
        <v>2691</v>
      </c>
      <c r="G133" s="239">
        <v>1</v>
      </c>
      <c r="H133" s="240" t="s">
        <v>2943</v>
      </c>
      <c r="I133" s="239">
        <v>1</v>
      </c>
      <c r="J133" s="240" t="s">
        <v>3360</v>
      </c>
      <c r="K133" s="238" t="s">
        <v>873</v>
      </c>
      <c r="L133" s="238" t="s">
        <v>2723</v>
      </c>
      <c r="M133" s="239">
        <v>0</v>
      </c>
      <c r="N133" s="302" t="s">
        <v>16</v>
      </c>
      <c r="O133" s="239">
        <v>0</v>
      </c>
      <c r="P133" s="302" t="s">
        <v>16</v>
      </c>
      <c r="Q133" s="238" t="s">
        <v>873</v>
      </c>
      <c r="R133" s="302" t="s">
        <v>16</v>
      </c>
      <c r="S133" s="302" t="s">
        <v>16</v>
      </c>
      <c r="T133" s="302" t="s">
        <v>16</v>
      </c>
      <c r="U133" s="302" t="s">
        <v>16</v>
      </c>
      <c r="V133" s="302" t="s">
        <v>16</v>
      </c>
      <c r="W133" s="238" t="s">
        <v>873</v>
      </c>
      <c r="X133" s="241" t="s">
        <v>2723</v>
      </c>
    </row>
    <row r="134" spans="1:24" x14ac:dyDescent="0.2">
      <c r="A134" s="227" t="s">
        <v>640</v>
      </c>
      <c r="B134" s="266" t="s">
        <v>639</v>
      </c>
      <c r="C134" s="285" t="s">
        <v>24</v>
      </c>
      <c r="D134" s="238" t="s">
        <v>1166</v>
      </c>
      <c r="E134" s="238" t="s">
        <v>3365</v>
      </c>
      <c r="F134" s="238" t="s">
        <v>2691</v>
      </c>
      <c r="G134" s="239">
        <v>1</v>
      </c>
      <c r="H134" s="240" t="s">
        <v>2760</v>
      </c>
      <c r="I134" s="239">
        <v>0.99650000000000005</v>
      </c>
      <c r="J134" s="240" t="s">
        <v>3366</v>
      </c>
      <c r="K134" s="238" t="s">
        <v>873</v>
      </c>
      <c r="L134" s="238" t="s">
        <v>2694</v>
      </c>
      <c r="M134" s="302" t="s">
        <v>16</v>
      </c>
      <c r="N134" s="240" t="s">
        <v>3019</v>
      </c>
      <c r="O134" s="302" t="s">
        <v>16</v>
      </c>
      <c r="P134" s="240" t="s">
        <v>3367</v>
      </c>
      <c r="Q134" s="238" t="s">
        <v>873</v>
      </c>
      <c r="R134" s="238" t="s">
        <v>2772</v>
      </c>
      <c r="S134" s="302" t="s">
        <v>16</v>
      </c>
      <c r="T134" s="240" t="s">
        <v>3019</v>
      </c>
      <c r="U134" s="302" t="s">
        <v>16</v>
      </c>
      <c r="V134" s="240" t="s">
        <v>3367</v>
      </c>
      <c r="W134" s="238" t="s">
        <v>873</v>
      </c>
      <c r="X134" s="303" t="s">
        <v>16</v>
      </c>
    </row>
    <row r="135" spans="1:24" x14ac:dyDescent="0.2">
      <c r="A135" s="227" t="s">
        <v>654</v>
      </c>
      <c r="B135" s="266" t="s">
        <v>653</v>
      </c>
      <c r="C135" s="285" t="s">
        <v>24</v>
      </c>
      <c r="D135" s="238" t="s">
        <v>1164</v>
      </c>
      <c r="E135" s="238" t="s">
        <v>1290</v>
      </c>
      <c r="F135" s="238" t="s">
        <v>2691</v>
      </c>
      <c r="G135" s="239">
        <v>1</v>
      </c>
      <c r="H135" s="240" t="s">
        <v>3373</v>
      </c>
      <c r="I135" s="239">
        <v>1</v>
      </c>
      <c r="J135" s="240" t="s">
        <v>3374</v>
      </c>
      <c r="K135" s="238" t="s">
        <v>873</v>
      </c>
      <c r="L135" s="238" t="s">
        <v>2723</v>
      </c>
      <c r="M135" s="239">
        <v>0</v>
      </c>
      <c r="N135" s="240" t="s">
        <v>3375</v>
      </c>
      <c r="O135" s="239">
        <v>0</v>
      </c>
      <c r="P135" s="302" t="s">
        <v>16</v>
      </c>
      <c r="Q135" s="238" t="s">
        <v>873</v>
      </c>
      <c r="R135" s="302" t="s">
        <v>16</v>
      </c>
      <c r="S135" s="239">
        <v>0</v>
      </c>
      <c r="T135" s="302" t="s">
        <v>16</v>
      </c>
      <c r="U135" s="239">
        <v>0</v>
      </c>
      <c r="V135" s="302" t="s">
        <v>16</v>
      </c>
      <c r="W135" s="238" t="s">
        <v>873</v>
      </c>
      <c r="X135" s="303" t="s">
        <v>16</v>
      </c>
    </row>
    <row r="136" spans="1:24" x14ac:dyDescent="0.2">
      <c r="A136" s="227" t="s">
        <v>666</v>
      </c>
      <c r="B136" s="266" t="s">
        <v>665</v>
      </c>
      <c r="C136" s="285" t="s">
        <v>24</v>
      </c>
      <c r="D136" s="238" t="s">
        <v>1234</v>
      </c>
      <c r="E136" s="238" t="s">
        <v>3385</v>
      </c>
      <c r="F136" s="238" t="s">
        <v>2691</v>
      </c>
      <c r="G136" s="239">
        <v>0.75</v>
      </c>
      <c r="H136" s="240" t="s">
        <v>2945</v>
      </c>
      <c r="I136" s="239">
        <v>0.75</v>
      </c>
      <c r="J136" s="240" t="s">
        <v>3386</v>
      </c>
      <c r="K136" s="238" t="s">
        <v>873</v>
      </c>
      <c r="L136" s="238" t="s">
        <v>2687</v>
      </c>
      <c r="M136" s="302" t="s">
        <v>16</v>
      </c>
      <c r="N136" s="302" t="s">
        <v>16</v>
      </c>
      <c r="O136" s="302" t="s">
        <v>16</v>
      </c>
      <c r="P136" s="302" t="s">
        <v>16</v>
      </c>
      <c r="Q136" s="238" t="s">
        <v>873</v>
      </c>
      <c r="R136" s="302" t="s">
        <v>16</v>
      </c>
      <c r="S136" s="302" t="s">
        <v>16</v>
      </c>
      <c r="T136" s="302" t="s">
        <v>16</v>
      </c>
      <c r="U136" s="302" t="s">
        <v>16</v>
      </c>
      <c r="V136" s="302" t="s">
        <v>16</v>
      </c>
      <c r="W136" s="238" t="s">
        <v>873</v>
      </c>
      <c r="X136" s="303" t="s">
        <v>16</v>
      </c>
    </row>
    <row r="137" spans="1:24" x14ac:dyDescent="0.2">
      <c r="A137" s="227" t="s">
        <v>682</v>
      </c>
      <c r="B137" s="266" t="s">
        <v>681</v>
      </c>
      <c r="C137" s="285" t="s">
        <v>24</v>
      </c>
      <c r="D137" s="238" t="s">
        <v>1251</v>
      </c>
      <c r="E137" s="238" t="s">
        <v>3403</v>
      </c>
      <c r="F137" s="238" t="s">
        <v>1135</v>
      </c>
      <c r="G137" s="239">
        <v>1</v>
      </c>
      <c r="H137" s="240" t="s">
        <v>3404</v>
      </c>
      <c r="I137" s="239">
        <v>1</v>
      </c>
      <c r="J137" s="240" t="s">
        <v>3405</v>
      </c>
      <c r="K137" s="238" t="s">
        <v>873</v>
      </c>
      <c r="L137" s="238" t="s">
        <v>2694</v>
      </c>
      <c r="M137" s="239">
        <v>0.5</v>
      </c>
      <c r="N137" s="240" t="s">
        <v>3406</v>
      </c>
      <c r="O137" s="239">
        <v>0.5</v>
      </c>
      <c r="P137" s="240" t="s">
        <v>3407</v>
      </c>
      <c r="Q137" s="238" t="s">
        <v>873</v>
      </c>
      <c r="R137" s="238" t="s">
        <v>2694</v>
      </c>
      <c r="S137" s="239">
        <v>0.25</v>
      </c>
      <c r="T137" s="240" t="s">
        <v>3406</v>
      </c>
      <c r="U137" s="239">
        <v>0.25</v>
      </c>
      <c r="V137" s="240" t="s">
        <v>3407</v>
      </c>
      <c r="W137" s="238" t="s">
        <v>873</v>
      </c>
      <c r="X137" s="241" t="s">
        <v>2694</v>
      </c>
    </row>
    <row r="138" spans="1:24" x14ac:dyDescent="0.2">
      <c r="A138" s="227" t="s">
        <v>692</v>
      </c>
      <c r="B138" s="266" t="s">
        <v>691</v>
      </c>
      <c r="C138" s="285" t="s">
        <v>24</v>
      </c>
      <c r="D138" s="238" t="s">
        <v>1127</v>
      </c>
      <c r="E138" s="238" t="s">
        <v>1127</v>
      </c>
      <c r="F138" s="238" t="s">
        <v>2691</v>
      </c>
      <c r="G138" s="239">
        <v>0.625</v>
      </c>
      <c r="H138" s="240" t="s">
        <v>3419</v>
      </c>
      <c r="I138" s="239">
        <v>0.62050000000000005</v>
      </c>
      <c r="J138" s="240" t="s">
        <v>3420</v>
      </c>
      <c r="K138" s="238" t="s">
        <v>873</v>
      </c>
      <c r="L138" s="238" t="s">
        <v>2694</v>
      </c>
      <c r="M138" s="239">
        <v>0.2</v>
      </c>
      <c r="N138" s="240" t="s">
        <v>2926</v>
      </c>
      <c r="O138" s="239">
        <v>0.2</v>
      </c>
      <c r="P138" s="240" t="s">
        <v>2923</v>
      </c>
      <c r="Q138" s="238" t="s">
        <v>873</v>
      </c>
      <c r="R138" s="238" t="s">
        <v>2694</v>
      </c>
      <c r="S138" s="239">
        <v>0</v>
      </c>
      <c r="T138" s="240" t="s">
        <v>891</v>
      </c>
      <c r="U138" s="239">
        <v>0</v>
      </c>
      <c r="V138" s="240" t="s">
        <v>891</v>
      </c>
      <c r="W138" s="238" t="s">
        <v>873</v>
      </c>
      <c r="X138" s="241" t="s">
        <v>891</v>
      </c>
    </row>
    <row r="139" spans="1:24" x14ac:dyDescent="0.2">
      <c r="A139" s="227" t="s">
        <v>696</v>
      </c>
      <c r="B139" s="266" t="s">
        <v>695</v>
      </c>
      <c r="C139" s="285" t="s">
        <v>24</v>
      </c>
      <c r="D139" s="238" t="s">
        <v>1133</v>
      </c>
      <c r="E139" s="238" t="s">
        <v>3425</v>
      </c>
      <c r="F139" s="238" t="s">
        <v>2691</v>
      </c>
      <c r="G139" s="239">
        <v>0.3</v>
      </c>
      <c r="H139" s="240" t="s">
        <v>3426</v>
      </c>
      <c r="I139" s="239">
        <v>0.21820000000000001</v>
      </c>
      <c r="J139" s="240" t="s">
        <v>3400</v>
      </c>
      <c r="K139" s="238" t="s">
        <v>872</v>
      </c>
      <c r="L139" s="238" t="s">
        <v>2694</v>
      </c>
      <c r="M139" s="239">
        <v>0.2</v>
      </c>
      <c r="N139" s="240" t="s">
        <v>3373</v>
      </c>
      <c r="O139" s="239">
        <v>0.19570000000000001</v>
      </c>
      <c r="P139" s="240" t="s">
        <v>3374</v>
      </c>
      <c r="Q139" s="238" t="s">
        <v>873</v>
      </c>
      <c r="R139" s="238" t="s">
        <v>2694</v>
      </c>
      <c r="S139" s="239">
        <v>0</v>
      </c>
      <c r="T139" s="240" t="s">
        <v>891</v>
      </c>
      <c r="U139" s="302" t="s">
        <v>16</v>
      </c>
      <c r="V139" s="302" t="s">
        <v>16</v>
      </c>
      <c r="W139" s="238" t="s">
        <v>873</v>
      </c>
      <c r="X139" s="303" t="s">
        <v>16</v>
      </c>
    </row>
    <row r="140" spans="1:24" x14ac:dyDescent="0.2">
      <c r="A140" s="227" t="s">
        <v>702</v>
      </c>
      <c r="B140" s="266" t="s">
        <v>701</v>
      </c>
      <c r="C140" s="285" t="s">
        <v>24</v>
      </c>
      <c r="D140" s="238" t="s">
        <v>1150</v>
      </c>
      <c r="E140" s="238" t="s">
        <v>1293</v>
      </c>
      <c r="F140" s="238" t="s">
        <v>2664</v>
      </c>
      <c r="G140" s="239">
        <v>0.5</v>
      </c>
      <c r="H140" s="240" t="s">
        <v>3431</v>
      </c>
      <c r="I140" s="239">
        <v>0.5</v>
      </c>
      <c r="J140" s="240" t="s">
        <v>3432</v>
      </c>
      <c r="K140" s="238" t="s">
        <v>873</v>
      </c>
      <c r="L140" s="238" t="s">
        <v>2694</v>
      </c>
      <c r="M140" s="239">
        <v>0.3</v>
      </c>
      <c r="N140" s="240" t="s">
        <v>3431</v>
      </c>
      <c r="O140" s="239">
        <v>0.3</v>
      </c>
      <c r="P140" s="240" t="s">
        <v>3433</v>
      </c>
      <c r="Q140" s="238" t="s">
        <v>873</v>
      </c>
      <c r="R140" s="238" t="s">
        <v>2694</v>
      </c>
      <c r="S140" s="239">
        <v>0.1</v>
      </c>
      <c r="T140" s="240" t="s">
        <v>2714</v>
      </c>
      <c r="U140" s="239">
        <v>0.1</v>
      </c>
      <c r="V140" s="240" t="s">
        <v>3434</v>
      </c>
      <c r="W140" s="238" t="s">
        <v>873</v>
      </c>
      <c r="X140" s="241" t="s">
        <v>2694</v>
      </c>
    </row>
    <row r="141" spans="1:24" x14ac:dyDescent="0.2">
      <c r="A141" s="227" t="s">
        <v>710</v>
      </c>
      <c r="B141" s="266" t="s">
        <v>709</v>
      </c>
      <c r="C141" s="285" t="s">
        <v>24</v>
      </c>
      <c r="D141" s="238" t="s">
        <v>1186</v>
      </c>
      <c r="E141" s="238" t="s">
        <v>3437</v>
      </c>
      <c r="F141" s="238" t="s">
        <v>2664</v>
      </c>
      <c r="G141" s="239">
        <v>0.75</v>
      </c>
      <c r="H141" s="240" t="s">
        <v>3029</v>
      </c>
      <c r="I141" s="239">
        <v>0.75</v>
      </c>
      <c r="J141" s="240" t="s">
        <v>3438</v>
      </c>
      <c r="K141" s="238" t="s">
        <v>873</v>
      </c>
      <c r="L141" s="238" t="s">
        <v>2694</v>
      </c>
      <c r="M141" s="302" t="s">
        <v>16</v>
      </c>
      <c r="N141" s="302" t="s">
        <v>16</v>
      </c>
      <c r="O141" s="302" t="s">
        <v>16</v>
      </c>
      <c r="P141" s="302" t="s">
        <v>16</v>
      </c>
      <c r="Q141" s="238" t="s">
        <v>873</v>
      </c>
      <c r="R141" s="302" t="s">
        <v>16</v>
      </c>
      <c r="S141" s="302" t="s">
        <v>16</v>
      </c>
      <c r="T141" s="302" t="s">
        <v>16</v>
      </c>
      <c r="U141" s="302" t="s">
        <v>16</v>
      </c>
      <c r="V141" s="302" t="s">
        <v>16</v>
      </c>
      <c r="W141" s="238" t="s">
        <v>873</v>
      </c>
      <c r="X141" s="303" t="s">
        <v>16</v>
      </c>
    </row>
    <row r="142" spans="1:24" x14ac:dyDescent="0.2">
      <c r="A142" s="227" t="s">
        <v>3449</v>
      </c>
      <c r="B142" s="266" t="s">
        <v>3447</v>
      </c>
      <c r="C142" s="285" t="s">
        <v>24</v>
      </c>
      <c r="D142" s="238" t="s">
        <v>1173</v>
      </c>
      <c r="E142" s="238" t="s">
        <v>3448</v>
      </c>
      <c r="F142" s="238" t="s">
        <v>2664</v>
      </c>
      <c r="G142" s="239">
        <v>0</v>
      </c>
      <c r="H142" s="302" t="s">
        <v>16</v>
      </c>
      <c r="I142" s="239">
        <v>0</v>
      </c>
      <c r="J142" s="302" t="s">
        <v>16</v>
      </c>
      <c r="K142" s="238" t="s">
        <v>873</v>
      </c>
      <c r="L142" s="302" t="s">
        <v>16</v>
      </c>
      <c r="M142" s="239">
        <v>0</v>
      </c>
      <c r="N142" s="302" t="s">
        <v>16</v>
      </c>
      <c r="O142" s="239">
        <v>0</v>
      </c>
      <c r="P142" s="302" t="s">
        <v>16</v>
      </c>
      <c r="Q142" s="238" t="s">
        <v>873</v>
      </c>
      <c r="R142" s="302" t="s">
        <v>16</v>
      </c>
      <c r="S142" s="239">
        <v>0</v>
      </c>
      <c r="T142" s="302" t="s">
        <v>16</v>
      </c>
      <c r="U142" s="239">
        <v>0</v>
      </c>
      <c r="V142" s="302" t="s">
        <v>16</v>
      </c>
      <c r="W142" s="238" t="s">
        <v>873</v>
      </c>
      <c r="X142" s="303" t="s">
        <v>16</v>
      </c>
    </row>
    <row r="143" spans="1:24" x14ac:dyDescent="0.2">
      <c r="A143" s="227" t="s">
        <v>732</v>
      </c>
      <c r="B143" s="266" t="s">
        <v>731</v>
      </c>
      <c r="C143" s="285" t="s">
        <v>24</v>
      </c>
      <c r="D143" s="238" t="s">
        <v>1126</v>
      </c>
      <c r="E143" s="238" t="s">
        <v>3466</v>
      </c>
      <c r="F143" s="238" t="s">
        <v>2691</v>
      </c>
      <c r="G143" s="239">
        <v>1.25</v>
      </c>
      <c r="H143" s="240" t="s">
        <v>3467</v>
      </c>
      <c r="I143" s="239">
        <v>1.25</v>
      </c>
      <c r="J143" s="240" t="s">
        <v>3468</v>
      </c>
      <c r="K143" s="238" t="s">
        <v>873</v>
      </c>
      <c r="L143" s="238" t="s">
        <v>2694</v>
      </c>
      <c r="M143" s="239">
        <v>0</v>
      </c>
      <c r="N143" s="302" t="s">
        <v>16</v>
      </c>
      <c r="O143" s="239">
        <v>0</v>
      </c>
      <c r="P143" s="240" t="s">
        <v>891</v>
      </c>
      <c r="Q143" s="238" t="s">
        <v>873</v>
      </c>
      <c r="R143" s="238" t="s">
        <v>891</v>
      </c>
      <c r="S143" s="239">
        <v>0</v>
      </c>
      <c r="T143" s="302" t="s">
        <v>16</v>
      </c>
      <c r="U143" s="239">
        <v>0</v>
      </c>
      <c r="V143" s="302" t="s">
        <v>16</v>
      </c>
      <c r="W143" s="238" t="s">
        <v>873</v>
      </c>
      <c r="X143" s="241" t="s">
        <v>2694</v>
      </c>
    </row>
    <row r="144" spans="1:24" x14ac:dyDescent="0.2">
      <c r="A144" s="227" t="s">
        <v>744</v>
      </c>
      <c r="B144" s="266" t="s">
        <v>743</v>
      </c>
      <c r="C144" s="285" t="s">
        <v>24</v>
      </c>
      <c r="D144" s="238" t="s">
        <v>1222</v>
      </c>
      <c r="E144" s="238" t="s">
        <v>1302</v>
      </c>
      <c r="F144" s="238" t="s">
        <v>2691</v>
      </c>
      <c r="G144" s="239">
        <v>0.5</v>
      </c>
      <c r="H144" s="240" t="s">
        <v>3047</v>
      </c>
      <c r="I144" s="239">
        <v>0.48499999999999999</v>
      </c>
      <c r="J144" s="240" t="s">
        <v>3479</v>
      </c>
      <c r="K144" s="238" t="s">
        <v>873</v>
      </c>
      <c r="L144" s="238" t="s">
        <v>2694</v>
      </c>
      <c r="M144" s="302" t="s">
        <v>16</v>
      </c>
      <c r="N144" s="302" t="s">
        <v>16</v>
      </c>
      <c r="O144" s="302" t="s">
        <v>16</v>
      </c>
      <c r="P144" s="240" t="s">
        <v>3480</v>
      </c>
      <c r="Q144" s="238" t="s">
        <v>873</v>
      </c>
      <c r="R144" s="238" t="s">
        <v>2694</v>
      </c>
      <c r="S144" s="302" t="s">
        <v>16</v>
      </c>
      <c r="T144" s="302" t="s">
        <v>16</v>
      </c>
      <c r="U144" s="302" t="s">
        <v>16</v>
      </c>
      <c r="V144" s="302" t="s">
        <v>16</v>
      </c>
      <c r="W144" s="238" t="s">
        <v>873</v>
      </c>
      <c r="X144" s="303" t="s">
        <v>16</v>
      </c>
    </row>
    <row r="145" spans="1:24" x14ac:dyDescent="0.2">
      <c r="A145" s="227" t="s">
        <v>753</v>
      </c>
      <c r="B145" s="266" t="s">
        <v>752</v>
      </c>
      <c r="C145" s="285" t="s">
        <v>24</v>
      </c>
      <c r="D145" s="238" t="s">
        <v>1164</v>
      </c>
      <c r="E145" s="238" t="s">
        <v>3485</v>
      </c>
      <c r="F145" s="238" t="s">
        <v>2664</v>
      </c>
      <c r="G145" s="239">
        <v>0</v>
      </c>
      <c r="H145" s="302" t="s">
        <v>16</v>
      </c>
      <c r="I145" s="239">
        <v>0</v>
      </c>
      <c r="J145" s="302" t="s">
        <v>16</v>
      </c>
      <c r="K145" s="238" t="s">
        <v>873</v>
      </c>
      <c r="L145" s="302" t="s">
        <v>16</v>
      </c>
      <c r="M145" s="239">
        <v>0</v>
      </c>
      <c r="N145" s="302" t="s">
        <v>16</v>
      </c>
      <c r="O145" s="239">
        <v>0</v>
      </c>
      <c r="P145" s="302" t="s">
        <v>16</v>
      </c>
      <c r="Q145" s="238" t="s">
        <v>873</v>
      </c>
      <c r="R145" s="302" t="s">
        <v>16</v>
      </c>
      <c r="S145" s="239">
        <v>0</v>
      </c>
      <c r="T145" s="302" t="s">
        <v>16</v>
      </c>
      <c r="U145" s="239">
        <v>0</v>
      </c>
      <c r="V145" s="302" t="s">
        <v>16</v>
      </c>
      <c r="W145" s="238" t="s">
        <v>873</v>
      </c>
      <c r="X145" s="303" t="s">
        <v>16</v>
      </c>
    </row>
    <row r="146" spans="1:24" x14ac:dyDescent="0.2">
      <c r="A146" s="227" t="s">
        <v>761</v>
      </c>
      <c r="B146" s="266" t="s">
        <v>760</v>
      </c>
      <c r="C146" s="285" t="s">
        <v>24</v>
      </c>
      <c r="D146" s="238" t="s">
        <v>1164</v>
      </c>
      <c r="E146" s="238" t="s">
        <v>1306</v>
      </c>
      <c r="F146" s="238" t="s">
        <v>2664</v>
      </c>
      <c r="G146" s="239">
        <v>0</v>
      </c>
      <c r="H146" s="302" t="s">
        <v>16</v>
      </c>
      <c r="I146" s="239">
        <v>0</v>
      </c>
      <c r="J146" s="302" t="s">
        <v>16</v>
      </c>
      <c r="K146" s="238" t="s">
        <v>873</v>
      </c>
      <c r="L146" s="302" t="s">
        <v>16</v>
      </c>
      <c r="M146" s="239">
        <v>0</v>
      </c>
      <c r="N146" s="302" t="s">
        <v>16</v>
      </c>
      <c r="O146" s="239">
        <v>0</v>
      </c>
      <c r="P146" s="302" t="s">
        <v>16</v>
      </c>
      <c r="Q146" s="238" t="s">
        <v>873</v>
      </c>
      <c r="R146" s="302" t="s">
        <v>16</v>
      </c>
      <c r="S146" s="239">
        <v>0</v>
      </c>
      <c r="T146" s="302" t="s">
        <v>16</v>
      </c>
      <c r="U146" s="239">
        <v>0</v>
      </c>
      <c r="V146" s="302" t="s">
        <v>16</v>
      </c>
      <c r="W146" s="238" t="s">
        <v>873</v>
      </c>
      <c r="X146" s="303" t="s">
        <v>16</v>
      </c>
    </row>
    <row r="147" spans="1:24" x14ac:dyDescent="0.2">
      <c r="A147" s="227" t="s">
        <v>769</v>
      </c>
      <c r="B147" s="266" t="s">
        <v>768</v>
      </c>
      <c r="C147" s="285" t="s">
        <v>24</v>
      </c>
      <c r="D147" s="238" t="s">
        <v>1157</v>
      </c>
      <c r="E147" s="238" t="s">
        <v>1307</v>
      </c>
      <c r="F147" s="238" t="s">
        <v>2664</v>
      </c>
      <c r="G147" s="239">
        <v>1.5</v>
      </c>
      <c r="H147" s="240" t="s">
        <v>3499</v>
      </c>
      <c r="I147" s="239">
        <v>1.4796</v>
      </c>
      <c r="J147" s="240" t="s">
        <v>3500</v>
      </c>
      <c r="K147" s="238" t="s">
        <v>873</v>
      </c>
      <c r="L147" s="238" t="s">
        <v>2694</v>
      </c>
      <c r="M147" s="302" t="s">
        <v>16</v>
      </c>
      <c r="N147" s="302" t="s">
        <v>16</v>
      </c>
      <c r="O147" s="302" t="s">
        <v>16</v>
      </c>
      <c r="P147" s="302" t="s">
        <v>16</v>
      </c>
      <c r="Q147" s="238" t="s">
        <v>873</v>
      </c>
      <c r="R147" s="238" t="s">
        <v>2687</v>
      </c>
      <c r="S147" s="302" t="s">
        <v>16</v>
      </c>
      <c r="T147" s="240" t="s">
        <v>3501</v>
      </c>
      <c r="U147" s="302" t="s">
        <v>16</v>
      </c>
      <c r="V147" s="240" t="s">
        <v>3502</v>
      </c>
      <c r="W147" s="238" t="s">
        <v>873</v>
      </c>
      <c r="X147" s="241" t="s">
        <v>2687</v>
      </c>
    </row>
    <row r="148" spans="1:24" x14ac:dyDescent="0.2">
      <c r="A148" s="227" t="s">
        <v>783</v>
      </c>
      <c r="B148" s="266" t="s">
        <v>782</v>
      </c>
      <c r="C148" s="285" t="s">
        <v>24</v>
      </c>
      <c r="D148" s="238" t="s">
        <v>1146</v>
      </c>
      <c r="E148" s="238" t="s">
        <v>3512</v>
      </c>
      <c r="F148" s="238" t="s">
        <v>1135</v>
      </c>
      <c r="G148" s="239">
        <v>1</v>
      </c>
      <c r="H148" s="240" t="s">
        <v>3513</v>
      </c>
      <c r="I148" s="239">
        <v>0.85419999999999996</v>
      </c>
      <c r="J148" s="240" t="s">
        <v>2686</v>
      </c>
      <c r="K148" s="238" t="s">
        <v>872</v>
      </c>
      <c r="L148" s="238" t="s">
        <v>2694</v>
      </c>
      <c r="M148" s="239">
        <v>0.4</v>
      </c>
      <c r="N148" s="240" t="s">
        <v>2998</v>
      </c>
      <c r="O148" s="239">
        <v>0.4</v>
      </c>
      <c r="P148" s="240" t="s">
        <v>3514</v>
      </c>
      <c r="Q148" s="238" t="s">
        <v>873</v>
      </c>
      <c r="R148" s="238" t="s">
        <v>2694</v>
      </c>
      <c r="S148" s="302" t="s">
        <v>16</v>
      </c>
      <c r="T148" s="302" t="s">
        <v>16</v>
      </c>
      <c r="U148" s="302" t="s">
        <v>16</v>
      </c>
      <c r="V148" s="302" t="s">
        <v>16</v>
      </c>
      <c r="W148" s="238" t="s">
        <v>873</v>
      </c>
      <c r="X148" s="303" t="s">
        <v>16</v>
      </c>
    </row>
    <row r="149" spans="1:24" x14ac:dyDescent="0.2">
      <c r="A149" s="227" t="s">
        <v>789</v>
      </c>
      <c r="B149" s="266" t="s">
        <v>788</v>
      </c>
      <c r="C149" s="285" t="s">
        <v>24</v>
      </c>
      <c r="D149" s="238" t="s">
        <v>1190</v>
      </c>
      <c r="E149" s="238" t="s">
        <v>1310</v>
      </c>
      <c r="F149" s="238" t="s">
        <v>2664</v>
      </c>
      <c r="G149" s="239">
        <v>0.5</v>
      </c>
      <c r="H149" s="240" t="s">
        <v>3519</v>
      </c>
      <c r="I149" s="239">
        <v>0.05</v>
      </c>
      <c r="J149" s="240" t="s">
        <v>1139</v>
      </c>
      <c r="K149" s="238" t="s">
        <v>872</v>
      </c>
      <c r="L149" s="238" t="s">
        <v>2723</v>
      </c>
      <c r="M149" s="302" t="s">
        <v>16</v>
      </c>
      <c r="N149" s="240" t="s">
        <v>891</v>
      </c>
      <c r="O149" s="302" t="s">
        <v>16</v>
      </c>
      <c r="P149" s="302" t="s">
        <v>16</v>
      </c>
      <c r="Q149" s="238" t="s">
        <v>872</v>
      </c>
      <c r="R149" s="302" t="s">
        <v>16</v>
      </c>
      <c r="S149" s="302" t="s">
        <v>16</v>
      </c>
      <c r="T149" s="302" t="s">
        <v>16</v>
      </c>
      <c r="U149" s="302" t="s">
        <v>16</v>
      </c>
      <c r="V149" s="302" t="s">
        <v>16</v>
      </c>
      <c r="W149" s="238" t="s">
        <v>872</v>
      </c>
      <c r="X149" s="241" t="s">
        <v>2694</v>
      </c>
    </row>
    <row r="150" spans="1:24" x14ac:dyDescent="0.2">
      <c r="A150" s="227" t="s">
        <v>801</v>
      </c>
      <c r="B150" s="266" t="s">
        <v>800</v>
      </c>
      <c r="C150" s="285" t="s">
        <v>24</v>
      </c>
      <c r="D150" s="238" t="s">
        <v>1125</v>
      </c>
      <c r="E150" s="238" t="s">
        <v>3527</v>
      </c>
      <c r="F150" s="238" t="s">
        <v>1135</v>
      </c>
      <c r="G150" s="239">
        <v>1</v>
      </c>
      <c r="H150" s="240" t="s">
        <v>3528</v>
      </c>
      <c r="I150" s="239">
        <v>0.79500000000000004</v>
      </c>
      <c r="J150" s="302" t="s">
        <v>16</v>
      </c>
      <c r="K150" s="238" t="s">
        <v>872</v>
      </c>
      <c r="L150" s="238" t="s">
        <v>2723</v>
      </c>
      <c r="M150" s="239">
        <v>0.98740000000000006</v>
      </c>
      <c r="N150" s="240" t="s">
        <v>3529</v>
      </c>
      <c r="O150" s="239">
        <v>0.98740000000000006</v>
      </c>
      <c r="P150" s="240" t="s">
        <v>3351</v>
      </c>
      <c r="Q150" s="238" t="s">
        <v>873</v>
      </c>
      <c r="R150" s="238" t="s">
        <v>2723</v>
      </c>
      <c r="S150" s="302" t="s">
        <v>16</v>
      </c>
      <c r="T150" s="302" t="s">
        <v>16</v>
      </c>
      <c r="U150" s="302" t="s">
        <v>16</v>
      </c>
      <c r="V150" s="302" t="s">
        <v>16</v>
      </c>
      <c r="W150" s="238" t="s">
        <v>873</v>
      </c>
      <c r="X150" s="303" t="s">
        <v>16</v>
      </c>
    </row>
    <row r="151" spans="1:24" x14ac:dyDescent="0.2">
      <c r="A151" s="227" t="s">
        <v>811</v>
      </c>
      <c r="B151" s="266" t="s">
        <v>810</v>
      </c>
      <c r="C151" s="285" t="s">
        <v>24</v>
      </c>
      <c r="D151" s="238" t="s">
        <v>1157</v>
      </c>
      <c r="E151" s="238" t="s">
        <v>1312</v>
      </c>
      <c r="F151" s="238" t="s">
        <v>2691</v>
      </c>
      <c r="G151" s="239">
        <v>0.5</v>
      </c>
      <c r="H151" s="240" t="s">
        <v>2943</v>
      </c>
      <c r="I151" s="239">
        <v>0.5</v>
      </c>
      <c r="J151" s="240" t="s">
        <v>3536</v>
      </c>
      <c r="K151" s="238" t="s">
        <v>873</v>
      </c>
      <c r="L151" s="238" t="s">
        <v>2723</v>
      </c>
      <c r="M151" s="239">
        <v>0.5</v>
      </c>
      <c r="N151" s="240" t="s">
        <v>2998</v>
      </c>
      <c r="O151" s="239">
        <v>0.5</v>
      </c>
      <c r="P151" s="240" t="s">
        <v>3050</v>
      </c>
      <c r="Q151" s="238" t="s">
        <v>873</v>
      </c>
      <c r="R151" s="238" t="s">
        <v>2723</v>
      </c>
      <c r="S151" s="239">
        <v>0</v>
      </c>
      <c r="T151" s="240" t="s">
        <v>891</v>
      </c>
      <c r="U151" s="239">
        <v>0</v>
      </c>
      <c r="V151" s="240" t="s">
        <v>891</v>
      </c>
      <c r="W151" s="238" t="s">
        <v>873</v>
      </c>
      <c r="X151" s="241" t="s">
        <v>1145</v>
      </c>
    </row>
    <row r="152" spans="1:24" ht="13.5" thickBot="1" x14ac:dyDescent="0.25">
      <c r="A152" s="227" t="s">
        <v>829</v>
      </c>
      <c r="B152" s="266" t="s">
        <v>828</v>
      </c>
      <c r="C152" s="286" t="s">
        <v>24</v>
      </c>
      <c r="D152" s="287" t="s">
        <v>1167</v>
      </c>
      <c r="E152" s="287" t="s">
        <v>1315</v>
      </c>
      <c r="F152" s="287" t="s">
        <v>2664</v>
      </c>
      <c r="G152" s="288">
        <v>0.3</v>
      </c>
      <c r="H152" s="289" t="s">
        <v>2928</v>
      </c>
      <c r="I152" s="288">
        <v>0.3</v>
      </c>
      <c r="J152" s="289" t="s">
        <v>2827</v>
      </c>
      <c r="K152" s="287" t="s">
        <v>873</v>
      </c>
      <c r="L152" s="287" t="s">
        <v>2694</v>
      </c>
      <c r="M152" s="288">
        <v>0.7</v>
      </c>
      <c r="N152" s="289" t="s">
        <v>3557</v>
      </c>
      <c r="O152" s="288">
        <v>0.64870000000000005</v>
      </c>
      <c r="P152" s="306" t="s">
        <v>16</v>
      </c>
      <c r="Q152" s="287" t="s">
        <v>872</v>
      </c>
      <c r="R152" s="287" t="s">
        <v>2694</v>
      </c>
      <c r="S152" s="306" t="s">
        <v>16</v>
      </c>
      <c r="T152" s="306" t="s">
        <v>16</v>
      </c>
      <c r="U152" s="306" t="s">
        <v>16</v>
      </c>
      <c r="V152" s="306" t="s">
        <v>16</v>
      </c>
      <c r="W152" s="287" t="s">
        <v>873</v>
      </c>
      <c r="X152" s="307" t="s">
        <v>16</v>
      </c>
    </row>
    <row r="153" spans="1:24" x14ac:dyDescent="0.2">
      <c r="A153" s="227" t="s">
        <v>31</v>
      </c>
      <c r="B153" s="224" t="s">
        <v>30</v>
      </c>
      <c r="C153" s="278" t="s">
        <v>32</v>
      </c>
      <c r="D153" s="278" t="s">
        <v>1127</v>
      </c>
      <c r="E153" s="278" t="s">
        <v>2695</v>
      </c>
      <c r="F153" s="278" t="s">
        <v>2691</v>
      </c>
      <c r="G153" s="279">
        <v>0.2</v>
      </c>
      <c r="H153" s="280" t="s">
        <v>2696</v>
      </c>
      <c r="I153" s="279">
        <v>0.2</v>
      </c>
      <c r="J153" s="280" t="s">
        <v>2697</v>
      </c>
      <c r="K153" s="278" t="s">
        <v>873</v>
      </c>
      <c r="L153" s="278" t="s">
        <v>2694</v>
      </c>
      <c r="M153" s="279">
        <v>0.79</v>
      </c>
      <c r="N153" s="280" t="s">
        <v>2696</v>
      </c>
      <c r="O153" s="279">
        <v>0.79</v>
      </c>
      <c r="P153" s="280" t="s">
        <v>2698</v>
      </c>
      <c r="Q153" s="278" t="s">
        <v>873</v>
      </c>
      <c r="R153" s="278" t="s">
        <v>2694</v>
      </c>
      <c r="S153" s="279">
        <v>0</v>
      </c>
      <c r="T153" s="308" t="s">
        <v>16</v>
      </c>
      <c r="U153" s="279">
        <v>0</v>
      </c>
      <c r="V153" s="308" t="s">
        <v>16</v>
      </c>
      <c r="W153" s="278" t="s">
        <v>873</v>
      </c>
      <c r="X153" s="309" t="s">
        <v>16</v>
      </c>
    </row>
    <row r="154" spans="1:24" x14ac:dyDescent="0.2">
      <c r="A154" s="227" t="s">
        <v>34</v>
      </c>
      <c r="B154" s="224" t="s">
        <v>33</v>
      </c>
      <c r="C154" s="242" t="s">
        <v>32</v>
      </c>
      <c r="D154" s="242" t="s">
        <v>1128</v>
      </c>
      <c r="E154" s="242" t="s">
        <v>2699</v>
      </c>
      <c r="F154" s="242" t="s">
        <v>2691</v>
      </c>
      <c r="G154" s="243">
        <v>0</v>
      </c>
      <c r="H154" s="302" t="s">
        <v>16</v>
      </c>
      <c r="I154" s="243">
        <v>0</v>
      </c>
      <c r="J154" s="302" t="s">
        <v>16</v>
      </c>
      <c r="K154" s="242" t="s">
        <v>873</v>
      </c>
      <c r="L154" s="302" t="s">
        <v>16</v>
      </c>
      <c r="M154" s="243">
        <v>0</v>
      </c>
      <c r="N154" s="302" t="s">
        <v>16</v>
      </c>
      <c r="O154" s="243">
        <v>0</v>
      </c>
      <c r="P154" s="302" t="s">
        <v>16</v>
      </c>
      <c r="Q154" s="242" t="s">
        <v>873</v>
      </c>
      <c r="R154" s="302" t="s">
        <v>16</v>
      </c>
      <c r="S154" s="243">
        <v>0</v>
      </c>
      <c r="T154" s="302" t="s">
        <v>16</v>
      </c>
      <c r="U154" s="243">
        <v>0</v>
      </c>
      <c r="V154" s="302" t="s">
        <v>16</v>
      </c>
      <c r="W154" s="242" t="s">
        <v>873</v>
      </c>
      <c r="X154" s="303" t="s">
        <v>16</v>
      </c>
    </row>
    <row r="155" spans="1:24" x14ac:dyDescent="0.2">
      <c r="A155" s="227" t="s">
        <v>36</v>
      </c>
      <c r="B155" s="224" t="s">
        <v>35</v>
      </c>
      <c r="C155" s="242" t="s">
        <v>32</v>
      </c>
      <c r="D155" s="242" t="s">
        <v>1129</v>
      </c>
      <c r="E155" s="242" t="s">
        <v>2700</v>
      </c>
      <c r="F155" s="242" t="s">
        <v>2691</v>
      </c>
      <c r="G155" s="243">
        <v>2.25</v>
      </c>
      <c r="H155" s="244" t="s">
        <v>2701</v>
      </c>
      <c r="I155" s="243">
        <v>2.25</v>
      </c>
      <c r="J155" s="244" t="s">
        <v>2702</v>
      </c>
      <c r="K155" s="242" t="s">
        <v>873</v>
      </c>
      <c r="L155" s="242" t="s">
        <v>2694</v>
      </c>
      <c r="M155" s="302" t="s">
        <v>16</v>
      </c>
      <c r="N155" s="302" t="s">
        <v>16</v>
      </c>
      <c r="O155" s="302" t="s">
        <v>16</v>
      </c>
      <c r="P155" s="302" t="s">
        <v>16</v>
      </c>
      <c r="Q155" s="302" t="s">
        <v>16</v>
      </c>
      <c r="R155" s="302" t="s">
        <v>16</v>
      </c>
      <c r="S155" s="302" t="s">
        <v>16</v>
      </c>
      <c r="T155" s="302" t="s">
        <v>16</v>
      </c>
      <c r="U155" s="302" t="s">
        <v>16</v>
      </c>
      <c r="V155" s="302" t="s">
        <v>16</v>
      </c>
      <c r="W155" s="242" t="s">
        <v>873</v>
      </c>
      <c r="X155" s="303" t="s">
        <v>16</v>
      </c>
    </row>
    <row r="156" spans="1:24" x14ac:dyDescent="0.2">
      <c r="A156" s="227" t="s">
        <v>38</v>
      </c>
      <c r="B156" s="224" t="s">
        <v>37</v>
      </c>
      <c r="C156" s="242" t="s">
        <v>32</v>
      </c>
      <c r="D156" s="242" t="s">
        <v>1130</v>
      </c>
      <c r="E156" s="242" t="s">
        <v>1131</v>
      </c>
      <c r="F156" s="242" t="s">
        <v>1124</v>
      </c>
      <c r="G156" s="243">
        <v>0.5</v>
      </c>
      <c r="H156" s="244" t="s">
        <v>2703</v>
      </c>
      <c r="I156" s="243">
        <v>0.5</v>
      </c>
      <c r="J156" s="244" t="s">
        <v>2704</v>
      </c>
      <c r="K156" s="242" t="s">
        <v>873</v>
      </c>
      <c r="L156" s="242" t="s">
        <v>2705</v>
      </c>
      <c r="M156" s="302" t="s">
        <v>16</v>
      </c>
      <c r="N156" s="244" t="s">
        <v>2706</v>
      </c>
      <c r="O156" s="302" t="s">
        <v>16</v>
      </c>
      <c r="P156" s="244" t="s">
        <v>2707</v>
      </c>
      <c r="Q156" s="242" t="s">
        <v>873</v>
      </c>
      <c r="R156" s="302" t="s">
        <v>16</v>
      </c>
      <c r="S156" s="302" t="s">
        <v>16</v>
      </c>
      <c r="T156" s="302" t="s">
        <v>16</v>
      </c>
      <c r="U156" s="302" t="s">
        <v>16</v>
      </c>
      <c r="V156" s="302" t="s">
        <v>16</v>
      </c>
      <c r="W156" s="242" t="s">
        <v>873</v>
      </c>
      <c r="X156" s="303" t="s">
        <v>16</v>
      </c>
    </row>
    <row r="157" spans="1:24" x14ac:dyDescent="0.2">
      <c r="A157" s="227" t="s">
        <v>49</v>
      </c>
      <c r="B157" s="224" t="s">
        <v>48</v>
      </c>
      <c r="C157" s="242" t="s">
        <v>32</v>
      </c>
      <c r="D157" s="242" t="s">
        <v>1138</v>
      </c>
      <c r="E157" s="242" t="s">
        <v>2718</v>
      </c>
      <c r="F157" s="242" t="s">
        <v>1135</v>
      </c>
      <c r="G157" s="243">
        <v>2</v>
      </c>
      <c r="H157" s="244" t="s">
        <v>2719</v>
      </c>
      <c r="I157" s="243">
        <v>2</v>
      </c>
      <c r="J157" s="244" t="s">
        <v>2720</v>
      </c>
      <c r="K157" s="242" t="s">
        <v>873</v>
      </c>
      <c r="L157" s="242" t="s">
        <v>2721</v>
      </c>
      <c r="M157" s="243">
        <v>1</v>
      </c>
      <c r="N157" s="244" t="s">
        <v>2722</v>
      </c>
      <c r="O157" s="243">
        <v>1</v>
      </c>
      <c r="P157" s="244" t="s">
        <v>891</v>
      </c>
      <c r="Q157" s="242" t="s">
        <v>872</v>
      </c>
      <c r="R157" s="242" t="s">
        <v>2723</v>
      </c>
      <c r="S157" s="243">
        <v>0</v>
      </c>
      <c r="T157" s="244" t="s">
        <v>891</v>
      </c>
      <c r="U157" s="243">
        <v>0</v>
      </c>
      <c r="V157" s="244" t="s">
        <v>891</v>
      </c>
      <c r="W157" s="242" t="s">
        <v>873</v>
      </c>
      <c r="X157" s="245" t="s">
        <v>1139</v>
      </c>
    </row>
    <row r="158" spans="1:24" x14ac:dyDescent="0.2">
      <c r="A158" s="227" t="s">
        <v>57</v>
      </c>
      <c r="B158" s="224" t="s">
        <v>56</v>
      </c>
      <c r="C158" s="242" t="s">
        <v>32</v>
      </c>
      <c r="D158" s="242" t="s">
        <v>1143</v>
      </c>
      <c r="E158" s="242" t="s">
        <v>2728</v>
      </c>
      <c r="F158" s="242" t="s">
        <v>1135</v>
      </c>
      <c r="G158" s="243">
        <v>1</v>
      </c>
      <c r="H158" s="244" t="s">
        <v>2729</v>
      </c>
      <c r="I158" s="243">
        <v>0.93389999999999995</v>
      </c>
      <c r="J158" s="244" t="s">
        <v>2730</v>
      </c>
      <c r="K158" s="242" t="s">
        <v>873</v>
      </c>
      <c r="L158" s="242" t="s">
        <v>2723</v>
      </c>
      <c r="M158" s="243">
        <v>0</v>
      </c>
      <c r="N158" s="302" t="s">
        <v>16</v>
      </c>
      <c r="O158" s="243">
        <v>0</v>
      </c>
      <c r="P158" s="302" t="s">
        <v>16</v>
      </c>
      <c r="Q158" s="242" t="s">
        <v>873</v>
      </c>
      <c r="R158" s="302" t="s">
        <v>16</v>
      </c>
      <c r="S158" s="243">
        <v>0</v>
      </c>
      <c r="T158" s="302" t="s">
        <v>16</v>
      </c>
      <c r="U158" s="243">
        <v>0</v>
      </c>
      <c r="V158" s="302" t="s">
        <v>16</v>
      </c>
      <c r="W158" s="242" t="s">
        <v>873</v>
      </c>
      <c r="X158" s="303" t="s">
        <v>16</v>
      </c>
    </row>
    <row r="159" spans="1:24" x14ac:dyDescent="0.2">
      <c r="A159" s="227" t="s">
        <v>74</v>
      </c>
      <c r="B159" s="224" t="s">
        <v>73</v>
      </c>
      <c r="C159" s="242" t="s">
        <v>32</v>
      </c>
      <c r="D159" s="242" t="s">
        <v>1149</v>
      </c>
      <c r="E159" s="242" t="s">
        <v>2742</v>
      </c>
      <c r="F159" s="242" t="s">
        <v>2691</v>
      </c>
      <c r="G159" s="243">
        <v>0.5</v>
      </c>
      <c r="H159" s="244" t="s">
        <v>2743</v>
      </c>
      <c r="I159" s="243">
        <v>0.5</v>
      </c>
      <c r="J159" s="244" t="s">
        <v>2744</v>
      </c>
      <c r="K159" s="242" t="s">
        <v>873</v>
      </c>
      <c r="L159" s="242" t="s">
        <v>2694</v>
      </c>
      <c r="M159" s="302" t="s">
        <v>16</v>
      </c>
      <c r="N159" s="302" t="s">
        <v>16</v>
      </c>
      <c r="O159" s="302" t="s">
        <v>16</v>
      </c>
      <c r="P159" s="302" t="s">
        <v>16</v>
      </c>
      <c r="Q159" s="242" t="s">
        <v>873</v>
      </c>
      <c r="R159" s="302" t="s">
        <v>16</v>
      </c>
      <c r="S159" s="302" t="s">
        <v>16</v>
      </c>
      <c r="T159" s="302" t="s">
        <v>16</v>
      </c>
      <c r="U159" s="302" t="s">
        <v>16</v>
      </c>
      <c r="V159" s="302" t="s">
        <v>16</v>
      </c>
      <c r="W159" s="242" t="s">
        <v>873</v>
      </c>
      <c r="X159" s="303" t="s">
        <v>16</v>
      </c>
    </row>
    <row r="160" spans="1:24" x14ac:dyDescent="0.2">
      <c r="A160" s="227" t="s">
        <v>84</v>
      </c>
      <c r="B160" s="224" t="s">
        <v>83</v>
      </c>
      <c r="C160" s="242" t="s">
        <v>32</v>
      </c>
      <c r="D160" s="242" t="s">
        <v>1152</v>
      </c>
      <c r="E160" s="242" t="s">
        <v>2757</v>
      </c>
      <c r="F160" s="242" t="s">
        <v>2664</v>
      </c>
      <c r="G160" s="243">
        <v>0.68</v>
      </c>
      <c r="H160" s="244" t="s">
        <v>2758</v>
      </c>
      <c r="I160" s="243">
        <v>0.68</v>
      </c>
      <c r="J160" s="244" t="s">
        <v>2759</v>
      </c>
      <c r="K160" s="242" t="s">
        <v>873</v>
      </c>
      <c r="L160" s="242" t="s">
        <v>2723</v>
      </c>
      <c r="M160" s="243">
        <v>0</v>
      </c>
      <c r="N160" s="244" t="s">
        <v>891</v>
      </c>
      <c r="O160" s="243">
        <v>0</v>
      </c>
      <c r="P160" s="244" t="s">
        <v>891</v>
      </c>
      <c r="Q160" s="302" t="s">
        <v>16</v>
      </c>
      <c r="R160" s="302" t="s">
        <v>16</v>
      </c>
      <c r="S160" s="302" t="s">
        <v>16</v>
      </c>
      <c r="T160" s="302" t="s">
        <v>16</v>
      </c>
      <c r="U160" s="302" t="s">
        <v>16</v>
      </c>
      <c r="V160" s="302" t="s">
        <v>16</v>
      </c>
      <c r="W160" s="242" t="s">
        <v>873</v>
      </c>
      <c r="X160" s="245" t="s">
        <v>2694</v>
      </c>
    </row>
    <row r="161" spans="1:24" x14ac:dyDescent="0.2">
      <c r="A161" s="227" t="s">
        <v>104</v>
      </c>
      <c r="B161" s="224" t="s">
        <v>103</v>
      </c>
      <c r="C161" s="242" t="s">
        <v>32</v>
      </c>
      <c r="D161" s="242" t="s">
        <v>1157</v>
      </c>
      <c r="E161" s="242" t="s">
        <v>2785</v>
      </c>
      <c r="F161" s="242" t="s">
        <v>2691</v>
      </c>
      <c r="G161" s="243">
        <v>1</v>
      </c>
      <c r="H161" s="244" t="s">
        <v>2786</v>
      </c>
      <c r="I161" s="243">
        <v>0.99829999999999997</v>
      </c>
      <c r="J161" s="244" t="s">
        <v>2698</v>
      </c>
      <c r="K161" s="242" t="s">
        <v>873</v>
      </c>
      <c r="L161" s="242" t="s">
        <v>2694</v>
      </c>
      <c r="M161" s="243">
        <v>0</v>
      </c>
      <c r="N161" s="302" t="s">
        <v>16</v>
      </c>
      <c r="O161" s="243">
        <v>0</v>
      </c>
      <c r="P161" s="302" t="s">
        <v>16</v>
      </c>
      <c r="Q161" s="242" t="s">
        <v>873</v>
      </c>
      <c r="R161" s="302" t="s">
        <v>16</v>
      </c>
      <c r="S161" s="243">
        <v>0</v>
      </c>
      <c r="T161" s="302" t="s">
        <v>16</v>
      </c>
      <c r="U161" s="243">
        <v>0</v>
      </c>
      <c r="V161" s="302" t="s">
        <v>16</v>
      </c>
      <c r="W161" s="242" t="s">
        <v>873</v>
      </c>
      <c r="X161" s="303" t="s">
        <v>16</v>
      </c>
    </row>
    <row r="162" spans="1:24" x14ac:dyDescent="0.2">
      <c r="A162" s="227" t="s">
        <v>112</v>
      </c>
      <c r="B162" s="224" t="s">
        <v>111</v>
      </c>
      <c r="C162" s="242" t="s">
        <v>32</v>
      </c>
      <c r="D162" s="242" t="s">
        <v>1125</v>
      </c>
      <c r="E162" s="242" t="s">
        <v>2791</v>
      </c>
      <c r="F162" s="242" t="s">
        <v>1135</v>
      </c>
      <c r="G162" s="243">
        <v>1.3332999999999999</v>
      </c>
      <c r="H162" s="244" t="s">
        <v>2792</v>
      </c>
      <c r="I162" s="243">
        <v>1.2851999999999999</v>
      </c>
      <c r="J162" s="244" t="s">
        <v>1145</v>
      </c>
      <c r="K162" s="242" t="s">
        <v>872</v>
      </c>
      <c r="L162" s="242" t="s">
        <v>2694</v>
      </c>
      <c r="M162" s="243">
        <v>0</v>
      </c>
      <c r="N162" s="244" t="s">
        <v>2793</v>
      </c>
      <c r="O162" s="243">
        <v>0.56000000000000005</v>
      </c>
      <c r="P162" s="244" t="s">
        <v>2794</v>
      </c>
      <c r="Q162" s="242" t="s">
        <v>873</v>
      </c>
      <c r="R162" s="242" t="s">
        <v>2772</v>
      </c>
      <c r="S162" s="302" t="s">
        <v>16</v>
      </c>
      <c r="T162" s="302" t="s">
        <v>16</v>
      </c>
      <c r="U162" s="302" t="s">
        <v>16</v>
      </c>
      <c r="V162" s="302" t="s">
        <v>16</v>
      </c>
      <c r="W162" s="302" t="s">
        <v>16</v>
      </c>
      <c r="X162" s="303" t="s">
        <v>16</v>
      </c>
    </row>
    <row r="163" spans="1:24" x14ac:dyDescent="0.2">
      <c r="A163" s="227" t="s">
        <v>116</v>
      </c>
      <c r="B163" s="224" t="s">
        <v>115</v>
      </c>
      <c r="C163" s="242" t="s">
        <v>32</v>
      </c>
      <c r="D163" s="242" t="s">
        <v>1154</v>
      </c>
      <c r="E163" s="242" t="s">
        <v>2800</v>
      </c>
      <c r="F163" s="242" t="s">
        <v>2691</v>
      </c>
      <c r="G163" s="243">
        <v>0.75</v>
      </c>
      <c r="H163" s="244" t="s">
        <v>2801</v>
      </c>
      <c r="I163" s="243">
        <v>0.63670000000000004</v>
      </c>
      <c r="J163" s="244" t="s">
        <v>1161</v>
      </c>
      <c r="K163" s="242" t="s">
        <v>872</v>
      </c>
      <c r="L163" s="242" t="s">
        <v>2694</v>
      </c>
      <c r="M163" s="243">
        <v>0.35</v>
      </c>
      <c r="N163" s="244" t="s">
        <v>2802</v>
      </c>
      <c r="O163" s="243">
        <v>0.33289999999999997</v>
      </c>
      <c r="P163" s="244" t="s">
        <v>1161</v>
      </c>
      <c r="Q163" s="242" t="s">
        <v>872</v>
      </c>
      <c r="R163" s="242" t="s">
        <v>2694</v>
      </c>
      <c r="S163" s="243">
        <v>0</v>
      </c>
      <c r="T163" s="302" t="s">
        <v>16</v>
      </c>
      <c r="U163" s="243">
        <v>0</v>
      </c>
      <c r="V163" s="302" t="s">
        <v>16</v>
      </c>
      <c r="W163" s="242" t="s">
        <v>873</v>
      </c>
      <c r="X163" s="303" t="s">
        <v>16</v>
      </c>
    </row>
    <row r="164" spans="1:24" x14ac:dyDescent="0.2">
      <c r="A164" s="227" t="s">
        <v>134</v>
      </c>
      <c r="B164" s="224" t="s">
        <v>133</v>
      </c>
      <c r="C164" s="242" t="s">
        <v>32</v>
      </c>
      <c r="D164" s="242" t="s">
        <v>1157</v>
      </c>
      <c r="E164" s="242" t="s">
        <v>2829</v>
      </c>
      <c r="F164" s="242" t="s">
        <v>2691</v>
      </c>
      <c r="G164" s="243">
        <v>0.9</v>
      </c>
      <c r="H164" s="244" t="s">
        <v>2830</v>
      </c>
      <c r="I164" s="243">
        <v>0.9</v>
      </c>
      <c r="J164" s="244" t="s">
        <v>2827</v>
      </c>
      <c r="K164" s="242" t="s">
        <v>873</v>
      </c>
      <c r="L164" s="242" t="s">
        <v>2694</v>
      </c>
      <c r="M164" s="243">
        <v>0.3</v>
      </c>
      <c r="N164" s="244" t="s">
        <v>2831</v>
      </c>
      <c r="O164" s="243">
        <v>0.3</v>
      </c>
      <c r="P164" s="244" t="s">
        <v>2710</v>
      </c>
      <c r="Q164" s="242" t="s">
        <v>873</v>
      </c>
      <c r="R164" s="242" t="s">
        <v>2694</v>
      </c>
      <c r="S164" s="302" t="s">
        <v>16</v>
      </c>
      <c r="T164" s="302" t="s">
        <v>16</v>
      </c>
      <c r="U164" s="302" t="s">
        <v>16</v>
      </c>
      <c r="V164" s="302" t="s">
        <v>16</v>
      </c>
      <c r="W164" s="242" t="s">
        <v>873</v>
      </c>
      <c r="X164" s="303" t="s">
        <v>16</v>
      </c>
    </row>
    <row r="165" spans="1:24" x14ac:dyDescent="0.2">
      <c r="A165" s="227" t="s">
        <v>136</v>
      </c>
      <c r="B165" s="224" t="s">
        <v>135</v>
      </c>
      <c r="C165" s="242" t="s">
        <v>32</v>
      </c>
      <c r="D165" s="242" t="s">
        <v>1166</v>
      </c>
      <c r="E165" s="242" t="s">
        <v>2832</v>
      </c>
      <c r="F165" s="242" t="s">
        <v>2691</v>
      </c>
      <c r="G165" s="243">
        <v>1.25</v>
      </c>
      <c r="H165" s="244" t="s">
        <v>2833</v>
      </c>
      <c r="I165" s="243">
        <v>1.25</v>
      </c>
      <c r="J165" s="244" t="s">
        <v>2834</v>
      </c>
      <c r="K165" s="242" t="s">
        <v>873</v>
      </c>
      <c r="L165" s="242" t="s">
        <v>2694</v>
      </c>
      <c r="M165" s="302" t="s">
        <v>16</v>
      </c>
      <c r="N165" s="302" t="s">
        <v>16</v>
      </c>
      <c r="O165" s="302" t="s">
        <v>16</v>
      </c>
      <c r="P165" s="302" t="s">
        <v>16</v>
      </c>
      <c r="Q165" s="242" t="s">
        <v>873</v>
      </c>
      <c r="R165" s="302" t="s">
        <v>16</v>
      </c>
      <c r="S165" s="302" t="s">
        <v>16</v>
      </c>
      <c r="T165" s="302" t="s">
        <v>16</v>
      </c>
      <c r="U165" s="302" t="s">
        <v>16</v>
      </c>
      <c r="V165" s="302" t="s">
        <v>16</v>
      </c>
      <c r="W165" s="242" t="s">
        <v>873</v>
      </c>
      <c r="X165" s="303" t="s">
        <v>16</v>
      </c>
    </row>
    <row r="166" spans="1:24" x14ac:dyDescent="0.2">
      <c r="A166" s="227" t="s">
        <v>144</v>
      </c>
      <c r="B166" s="224" t="s">
        <v>143</v>
      </c>
      <c r="C166" s="242" t="s">
        <v>32</v>
      </c>
      <c r="D166" s="242" t="s">
        <v>1171</v>
      </c>
      <c r="E166" s="242" t="s">
        <v>1172</v>
      </c>
      <c r="F166" s="242" t="s">
        <v>2836</v>
      </c>
      <c r="G166" s="243">
        <v>0</v>
      </c>
      <c r="H166" s="302" t="s">
        <v>16</v>
      </c>
      <c r="I166" s="243">
        <v>0</v>
      </c>
      <c r="J166" s="302" t="s">
        <v>16</v>
      </c>
      <c r="K166" s="242" t="s">
        <v>873</v>
      </c>
      <c r="L166" s="302" t="s">
        <v>16</v>
      </c>
      <c r="M166" s="243">
        <v>0</v>
      </c>
      <c r="N166" s="302" t="s">
        <v>16</v>
      </c>
      <c r="O166" s="243">
        <v>0</v>
      </c>
      <c r="P166" s="302" t="s">
        <v>16</v>
      </c>
      <c r="Q166" s="242" t="s">
        <v>873</v>
      </c>
      <c r="R166" s="302" t="s">
        <v>16</v>
      </c>
      <c r="S166" s="243">
        <v>0</v>
      </c>
      <c r="T166" s="302" t="s">
        <v>16</v>
      </c>
      <c r="U166" s="243">
        <v>0</v>
      </c>
      <c r="V166" s="302" t="s">
        <v>16</v>
      </c>
      <c r="W166" s="242" t="s">
        <v>873</v>
      </c>
      <c r="X166" s="303" t="s">
        <v>16</v>
      </c>
    </row>
    <row r="167" spans="1:24" x14ac:dyDescent="0.2">
      <c r="A167" s="227" t="s">
        <v>152</v>
      </c>
      <c r="B167" s="224" t="s">
        <v>151</v>
      </c>
      <c r="C167" s="242" t="s">
        <v>32</v>
      </c>
      <c r="D167" s="242" t="s">
        <v>1166</v>
      </c>
      <c r="E167" s="242" t="s">
        <v>2842</v>
      </c>
      <c r="F167" s="242" t="s">
        <v>2691</v>
      </c>
      <c r="G167" s="243">
        <v>1.4908999999999999</v>
      </c>
      <c r="H167" s="244" t="s">
        <v>2843</v>
      </c>
      <c r="I167" s="243">
        <v>1.4908999999999999</v>
      </c>
      <c r="J167" s="244" t="s">
        <v>2844</v>
      </c>
      <c r="K167" s="242" t="s">
        <v>873</v>
      </c>
      <c r="L167" s="242" t="s">
        <v>2694</v>
      </c>
      <c r="M167" s="302" t="s">
        <v>16</v>
      </c>
      <c r="N167" s="244" t="s">
        <v>2845</v>
      </c>
      <c r="O167" s="302" t="s">
        <v>16</v>
      </c>
      <c r="P167" s="244" t="s">
        <v>2846</v>
      </c>
      <c r="Q167" s="242" t="s">
        <v>873</v>
      </c>
      <c r="R167" s="302" t="s">
        <v>16</v>
      </c>
      <c r="S167" s="302" t="s">
        <v>16</v>
      </c>
      <c r="T167" s="302" t="s">
        <v>16</v>
      </c>
      <c r="U167" s="302" t="s">
        <v>16</v>
      </c>
      <c r="V167" s="302" t="s">
        <v>16</v>
      </c>
      <c r="W167" s="242" t="s">
        <v>873</v>
      </c>
      <c r="X167" s="303" t="s">
        <v>16</v>
      </c>
    </row>
    <row r="168" spans="1:24" x14ac:dyDescent="0.2">
      <c r="A168" s="227" t="s">
        <v>156</v>
      </c>
      <c r="B168" s="224" t="s">
        <v>155</v>
      </c>
      <c r="C168" s="242" t="s">
        <v>32</v>
      </c>
      <c r="D168" s="242" t="s">
        <v>1178</v>
      </c>
      <c r="E168" s="242" t="s">
        <v>2850</v>
      </c>
      <c r="F168" s="242" t="s">
        <v>1135</v>
      </c>
      <c r="G168" s="243">
        <v>0.5</v>
      </c>
      <c r="H168" s="244" t="s">
        <v>2851</v>
      </c>
      <c r="I168" s="243">
        <v>0.5</v>
      </c>
      <c r="J168" s="244" t="s">
        <v>2852</v>
      </c>
      <c r="K168" s="242" t="s">
        <v>873</v>
      </c>
      <c r="L168" s="242" t="s">
        <v>2723</v>
      </c>
      <c r="M168" s="243">
        <v>0</v>
      </c>
      <c r="N168" s="302" t="s">
        <v>16</v>
      </c>
      <c r="O168" s="243">
        <v>0</v>
      </c>
      <c r="P168" s="302" t="s">
        <v>16</v>
      </c>
      <c r="Q168" s="242" t="s">
        <v>873</v>
      </c>
      <c r="R168" s="302" t="s">
        <v>16</v>
      </c>
      <c r="S168" s="243">
        <v>0</v>
      </c>
      <c r="T168" s="302" t="s">
        <v>16</v>
      </c>
      <c r="U168" s="243">
        <v>0</v>
      </c>
      <c r="V168" s="302" t="s">
        <v>16</v>
      </c>
      <c r="W168" s="242" t="s">
        <v>873</v>
      </c>
      <c r="X168" s="303" t="s">
        <v>16</v>
      </c>
    </row>
    <row r="169" spans="1:24" x14ac:dyDescent="0.2">
      <c r="A169" s="227" t="s">
        <v>160</v>
      </c>
      <c r="B169" s="224" t="s">
        <v>159</v>
      </c>
      <c r="C169" s="242" t="s">
        <v>32</v>
      </c>
      <c r="D169" s="242" t="s">
        <v>1180</v>
      </c>
      <c r="E169" s="242" t="s">
        <v>2855</v>
      </c>
      <c r="F169" s="242" t="s">
        <v>1135</v>
      </c>
      <c r="G169" s="243">
        <v>0.5</v>
      </c>
      <c r="H169" s="244" t="s">
        <v>2856</v>
      </c>
      <c r="I169" s="243">
        <v>0</v>
      </c>
      <c r="J169" s="302" t="s">
        <v>16</v>
      </c>
      <c r="K169" s="242" t="s">
        <v>872</v>
      </c>
      <c r="L169" s="242" t="s">
        <v>2694</v>
      </c>
      <c r="M169" s="243">
        <v>1</v>
      </c>
      <c r="N169" s="244" t="s">
        <v>2857</v>
      </c>
      <c r="O169" s="243">
        <v>0.87719999999999998</v>
      </c>
      <c r="P169" s="302" t="s">
        <v>16</v>
      </c>
      <c r="Q169" s="242" t="s">
        <v>872</v>
      </c>
      <c r="R169" s="242" t="s">
        <v>2694</v>
      </c>
      <c r="S169" s="243">
        <v>0</v>
      </c>
      <c r="T169" s="244" t="s">
        <v>891</v>
      </c>
      <c r="U169" s="243">
        <v>0</v>
      </c>
      <c r="V169" s="244" t="s">
        <v>891</v>
      </c>
      <c r="W169" s="242" t="s">
        <v>873</v>
      </c>
      <c r="X169" s="245" t="s">
        <v>891</v>
      </c>
    </row>
    <row r="170" spans="1:24" x14ac:dyDescent="0.2">
      <c r="A170" s="227" t="s">
        <v>162</v>
      </c>
      <c r="B170" s="224" t="s">
        <v>161</v>
      </c>
      <c r="C170" s="242" t="s">
        <v>32</v>
      </c>
      <c r="D170" s="242" t="s">
        <v>1146</v>
      </c>
      <c r="E170" s="242" t="s">
        <v>2858</v>
      </c>
      <c r="F170" s="242" t="s">
        <v>1135</v>
      </c>
      <c r="G170" s="243">
        <v>0</v>
      </c>
      <c r="H170" s="244" t="s">
        <v>891</v>
      </c>
      <c r="I170" s="243">
        <v>0</v>
      </c>
      <c r="J170" s="244" t="s">
        <v>891</v>
      </c>
      <c r="K170" s="242" t="s">
        <v>873</v>
      </c>
      <c r="L170" s="242" t="s">
        <v>891</v>
      </c>
      <c r="M170" s="243">
        <v>0</v>
      </c>
      <c r="N170" s="244" t="s">
        <v>891</v>
      </c>
      <c r="O170" s="243">
        <v>0</v>
      </c>
      <c r="P170" s="244" t="s">
        <v>891</v>
      </c>
      <c r="Q170" s="242" t="s">
        <v>873</v>
      </c>
      <c r="R170" s="242" t="s">
        <v>891</v>
      </c>
      <c r="S170" s="243">
        <v>0</v>
      </c>
      <c r="T170" s="244" t="s">
        <v>891</v>
      </c>
      <c r="U170" s="243">
        <v>0</v>
      </c>
      <c r="V170" s="244" t="s">
        <v>891</v>
      </c>
      <c r="W170" s="242" t="s">
        <v>873</v>
      </c>
      <c r="X170" s="245" t="s">
        <v>891</v>
      </c>
    </row>
    <row r="171" spans="1:24" x14ac:dyDescent="0.2">
      <c r="A171" s="227" t="s">
        <v>168</v>
      </c>
      <c r="B171" s="224" t="s">
        <v>167</v>
      </c>
      <c r="C171" s="242" t="s">
        <v>32</v>
      </c>
      <c r="D171" s="242" t="s">
        <v>1154</v>
      </c>
      <c r="E171" s="242" t="s">
        <v>2866</v>
      </c>
      <c r="F171" s="242" t="s">
        <v>2691</v>
      </c>
      <c r="G171" s="243">
        <v>0.5</v>
      </c>
      <c r="H171" s="244" t="s">
        <v>2867</v>
      </c>
      <c r="I171" s="243">
        <v>0.44369999999999998</v>
      </c>
      <c r="J171" s="244" t="s">
        <v>891</v>
      </c>
      <c r="K171" s="242" t="s">
        <v>872</v>
      </c>
      <c r="L171" s="242" t="s">
        <v>2694</v>
      </c>
      <c r="M171" s="243">
        <v>0.65</v>
      </c>
      <c r="N171" s="244" t="s">
        <v>2868</v>
      </c>
      <c r="O171" s="243">
        <v>0.63349999999999995</v>
      </c>
      <c r="P171" s="244" t="s">
        <v>2869</v>
      </c>
      <c r="Q171" s="242" t="s">
        <v>873</v>
      </c>
      <c r="R171" s="242" t="s">
        <v>2694</v>
      </c>
      <c r="S171" s="243">
        <v>0.75</v>
      </c>
      <c r="T171" s="244" t="s">
        <v>2868</v>
      </c>
      <c r="U171" s="243">
        <v>0.7</v>
      </c>
      <c r="V171" s="244" t="s">
        <v>2870</v>
      </c>
      <c r="W171" s="242" t="s">
        <v>873</v>
      </c>
      <c r="X171" s="245" t="s">
        <v>2772</v>
      </c>
    </row>
    <row r="172" spans="1:24" x14ac:dyDescent="0.2">
      <c r="A172" s="227" t="s">
        <v>204</v>
      </c>
      <c r="B172" s="224" t="s">
        <v>203</v>
      </c>
      <c r="C172" s="242" t="s">
        <v>32</v>
      </c>
      <c r="D172" s="242" t="s">
        <v>1136</v>
      </c>
      <c r="E172" s="242" t="s">
        <v>2910</v>
      </c>
      <c r="F172" s="242" t="s">
        <v>2691</v>
      </c>
      <c r="G172" s="243">
        <v>0.6</v>
      </c>
      <c r="H172" s="244" t="s">
        <v>2911</v>
      </c>
      <c r="I172" s="243">
        <v>0.58809999999999996</v>
      </c>
      <c r="J172" s="244" t="s">
        <v>2912</v>
      </c>
      <c r="K172" s="242" t="s">
        <v>872</v>
      </c>
      <c r="L172" s="242" t="s">
        <v>2694</v>
      </c>
      <c r="M172" s="243">
        <v>0.33</v>
      </c>
      <c r="N172" s="244" t="s">
        <v>2913</v>
      </c>
      <c r="O172" s="243">
        <v>0.28000000000000003</v>
      </c>
      <c r="P172" s="244" t="s">
        <v>2914</v>
      </c>
      <c r="Q172" s="242" t="s">
        <v>873</v>
      </c>
      <c r="R172" s="242" t="s">
        <v>2772</v>
      </c>
      <c r="S172" s="302" t="s">
        <v>16</v>
      </c>
      <c r="T172" s="302" t="s">
        <v>16</v>
      </c>
      <c r="U172" s="302" t="s">
        <v>16</v>
      </c>
      <c r="V172" s="302" t="s">
        <v>16</v>
      </c>
      <c r="W172" s="302" t="s">
        <v>16</v>
      </c>
      <c r="X172" s="303" t="s">
        <v>16</v>
      </c>
    </row>
    <row r="173" spans="1:24" x14ac:dyDescent="0.2">
      <c r="A173" s="227" t="s">
        <v>229</v>
      </c>
      <c r="B173" s="224" t="s">
        <v>228</v>
      </c>
      <c r="C173" s="242" t="s">
        <v>32</v>
      </c>
      <c r="D173" s="242" t="s">
        <v>1200</v>
      </c>
      <c r="E173" s="242" t="s">
        <v>2939</v>
      </c>
      <c r="F173" s="242" t="s">
        <v>2691</v>
      </c>
      <c r="G173" s="243">
        <v>0</v>
      </c>
      <c r="H173" s="244" t="s">
        <v>891</v>
      </c>
      <c r="I173" s="243">
        <v>0</v>
      </c>
      <c r="J173" s="244" t="s">
        <v>891</v>
      </c>
      <c r="K173" s="242" t="s">
        <v>873</v>
      </c>
      <c r="L173" s="242" t="s">
        <v>891</v>
      </c>
      <c r="M173" s="243">
        <v>0</v>
      </c>
      <c r="N173" s="244" t="s">
        <v>891</v>
      </c>
      <c r="O173" s="243">
        <v>0</v>
      </c>
      <c r="P173" s="244" t="s">
        <v>891</v>
      </c>
      <c r="Q173" s="242" t="s">
        <v>873</v>
      </c>
      <c r="R173" s="242" t="s">
        <v>891</v>
      </c>
      <c r="S173" s="243">
        <v>0</v>
      </c>
      <c r="T173" s="244" t="s">
        <v>891</v>
      </c>
      <c r="U173" s="243">
        <v>0</v>
      </c>
      <c r="V173" s="244" t="s">
        <v>891</v>
      </c>
      <c r="W173" s="242" t="s">
        <v>873</v>
      </c>
      <c r="X173" s="245" t="s">
        <v>891</v>
      </c>
    </row>
    <row r="174" spans="1:24" x14ac:dyDescent="0.2">
      <c r="A174" s="227" t="s">
        <v>243</v>
      </c>
      <c r="B174" s="224" t="s">
        <v>242</v>
      </c>
      <c r="C174" s="242" t="s">
        <v>32</v>
      </c>
      <c r="D174" s="242" t="s">
        <v>1133</v>
      </c>
      <c r="E174" s="242" t="s">
        <v>1204</v>
      </c>
      <c r="F174" s="242" t="s">
        <v>2664</v>
      </c>
      <c r="G174" s="243">
        <v>0.3</v>
      </c>
      <c r="H174" s="244" t="s">
        <v>2955</v>
      </c>
      <c r="I174" s="243">
        <v>0.3</v>
      </c>
      <c r="J174" s="244" t="s">
        <v>2956</v>
      </c>
      <c r="K174" s="242" t="s">
        <v>873</v>
      </c>
      <c r="L174" s="242" t="s">
        <v>2694</v>
      </c>
      <c r="M174" s="302" t="s">
        <v>16</v>
      </c>
      <c r="N174" s="302" t="s">
        <v>16</v>
      </c>
      <c r="O174" s="302" t="s">
        <v>16</v>
      </c>
      <c r="P174" s="302" t="s">
        <v>16</v>
      </c>
      <c r="Q174" s="242" t="s">
        <v>873</v>
      </c>
      <c r="R174" s="302" t="s">
        <v>16</v>
      </c>
      <c r="S174" s="302" t="s">
        <v>16</v>
      </c>
      <c r="T174" s="302" t="s">
        <v>16</v>
      </c>
      <c r="U174" s="302" t="s">
        <v>16</v>
      </c>
      <c r="V174" s="302" t="s">
        <v>16</v>
      </c>
      <c r="W174" s="242" t="s">
        <v>873</v>
      </c>
      <c r="X174" s="303" t="s">
        <v>16</v>
      </c>
    </row>
    <row r="175" spans="1:24" x14ac:dyDescent="0.2">
      <c r="A175" s="227" t="s">
        <v>257</v>
      </c>
      <c r="B175" s="224" t="s">
        <v>256</v>
      </c>
      <c r="C175" s="242" t="s">
        <v>32</v>
      </c>
      <c r="D175" s="242" t="s">
        <v>1157</v>
      </c>
      <c r="E175" s="242" t="s">
        <v>1157</v>
      </c>
      <c r="F175" s="242" t="s">
        <v>2691</v>
      </c>
      <c r="G175" s="243">
        <v>0.75</v>
      </c>
      <c r="H175" s="244" t="s">
        <v>2816</v>
      </c>
      <c r="I175" s="243">
        <v>0.75</v>
      </c>
      <c r="J175" s="244" t="s">
        <v>2974</v>
      </c>
      <c r="K175" s="242" t="s">
        <v>873</v>
      </c>
      <c r="L175" s="242" t="s">
        <v>2694</v>
      </c>
      <c r="M175" s="302" t="s">
        <v>16</v>
      </c>
      <c r="N175" s="302" t="s">
        <v>16</v>
      </c>
      <c r="O175" s="302" t="s">
        <v>16</v>
      </c>
      <c r="P175" s="302" t="s">
        <v>16</v>
      </c>
      <c r="Q175" s="242" t="s">
        <v>873</v>
      </c>
      <c r="R175" s="302" t="s">
        <v>16</v>
      </c>
      <c r="S175" s="302" t="s">
        <v>16</v>
      </c>
      <c r="T175" s="302" t="s">
        <v>16</v>
      </c>
      <c r="U175" s="302" t="s">
        <v>16</v>
      </c>
      <c r="V175" s="302" t="s">
        <v>16</v>
      </c>
      <c r="W175" s="242" t="s">
        <v>873</v>
      </c>
      <c r="X175" s="303" t="s">
        <v>16</v>
      </c>
    </row>
    <row r="176" spans="1:24" x14ac:dyDescent="0.2">
      <c r="A176" s="227" t="s">
        <v>261</v>
      </c>
      <c r="B176" s="224" t="s">
        <v>260</v>
      </c>
      <c r="C176" s="242" t="s">
        <v>32</v>
      </c>
      <c r="D176" s="242" t="s">
        <v>1134</v>
      </c>
      <c r="E176" s="242" t="s">
        <v>16</v>
      </c>
      <c r="F176" s="242" t="s">
        <v>1135</v>
      </c>
      <c r="G176" s="243">
        <v>0.24560000000000001</v>
      </c>
      <c r="H176" s="244" t="s">
        <v>2975</v>
      </c>
      <c r="I176" s="243">
        <v>0.24560000000000001</v>
      </c>
      <c r="J176" s="302" t="s">
        <v>16</v>
      </c>
      <c r="K176" s="242" t="s">
        <v>872</v>
      </c>
      <c r="L176" s="242" t="s">
        <v>2694</v>
      </c>
      <c r="M176" s="243">
        <v>1</v>
      </c>
      <c r="N176" s="244" t="s">
        <v>2976</v>
      </c>
      <c r="O176" s="243">
        <v>1</v>
      </c>
      <c r="P176" s="302" t="s">
        <v>16</v>
      </c>
      <c r="Q176" s="242" t="s">
        <v>872</v>
      </c>
      <c r="R176" s="242" t="s">
        <v>2694</v>
      </c>
      <c r="S176" s="302" t="s">
        <v>16</v>
      </c>
      <c r="T176" s="302" t="s">
        <v>16</v>
      </c>
      <c r="U176" s="302" t="s">
        <v>16</v>
      </c>
      <c r="V176" s="302" t="s">
        <v>16</v>
      </c>
      <c r="W176" s="302" t="s">
        <v>16</v>
      </c>
      <c r="X176" s="303" t="s">
        <v>16</v>
      </c>
    </row>
    <row r="177" spans="1:24" x14ac:dyDescent="0.2">
      <c r="A177" s="227" t="s">
        <v>273</v>
      </c>
      <c r="B177" s="224" t="s">
        <v>272</v>
      </c>
      <c r="C177" s="242" t="s">
        <v>32</v>
      </c>
      <c r="D177" s="242" t="s">
        <v>1207</v>
      </c>
      <c r="E177" s="242" t="s">
        <v>2983</v>
      </c>
      <c r="F177" s="242" t="s">
        <v>2691</v>
      </c>
      <c r="G177" s="243">
        <v>1</v>
      </c>
      <c r="H177" s="244" t="s">
        <v>2984</v>
      </c>
      <c r="I177" s="243">
        <v>4</v>
      </c>
      <c r="J177" s="244" t="s">
        <v>2985</v>
      </c>
      <c r="K177" s="242" t="s">
        <v>872</v>
      </c>
      <c r="L177" s="242" t="s">
        <v>2723</v>
      </c>
      <c r="M177" s="302" t="s">
        <v>16</v>
      </c>
      <c r="N177" s="244" t="s">
        <v>2986</v>
      </c>
      <c r="O177" s="302" t="s">
        <v>16</v>
      </c>
      <c r="P177" s="302" t="s">
        <v>16</v>
      </c>
      <c r="Q177" s="242" t="s">
        <v>872</v>
      </c>
      <c r="R177" s="242" t="s">
        <v>2723</v>
      </c>
      <c r="S177" s="302" t="s">
        <v>16</v>
      </c>
      <c r="T177" s="244" t="s">
        <v>2986</v>
      </c>
      <c r="U177" s="302" t="s">
        <v>16</v>
      </c>
      <c r="V177" s="302" t="s">
        <v>16</v>
      </c>
      <c r="W177" s="242" t="s">
        <v>872</v>
      </c>
      <c r="X177" s="245" t="s">
        <v>2694</v>
      </c>
    </row>
    <row r="178" spans="1:24" x14ac:dyDescent="0.2">
      <c r="A178" s="227" t="s">
        <v>297</v>
      </c>
      <c r="B178" s="224" t="s">
        <v>296</v>
      </c>
      <c r="C178" s="242" t="s">
        <v>32</v>
      </c>
      <c r="D178" s="242" t="s">
        <v>1164</v>
      </c>
      <c r="E178" s="242" t="s">
        <v>1214</v>
      </c>
      <c r="F178" s="242" t="s">
        <v>2691</v>
      </c>
      <c r="G178" s="243">
        <v>0.85</v>
      </c>
      <c r="H178" s="244" t="s">
        <v>3017</v>
      </c>
      <c r="I178" s="243">
        <v>0.84930000000000005</v>
      </c>
      <c r="J178" s="244" t="s">
        <v>2985</v>
      </c>
      <c r="K178" s="242" t="s">
        <v>872</v>
      </c>
      <c r="L178" s="242" t="s">
        <v>2723</v>
      </c>
      <c r="M178" s="243">
        <v>0</v>
      </c>
      <c r="N178" s="302" t="s">
        <v>16</v>
      </c>
      <c r="O178" s="243">
        <v>0</v>
      </c>
      <c r="P178" s="302" t="s">
        <v>16</v>
      </c>
      <c r="Q178" s="242" t="s">
        <v>873</v>
      </c>
      <c r="R178" s="302" t="s">
        <v>16</v>
      </c>
      <c r="S178" s="243">
        <v>0</v>
      </c>
      <c r="T178" s="302" t="s">
        <v>16</v>
      </c>
      <c r="U178" s="243">
        <v>0</v>
      </c>
      <c r="V178" s="302" t="s">
        <v>16</v>
      </c>
      <c r="W178" s="242" t="s">
        <v>873</v>
      </c>
      <c r="X178" s="303" t="s">
        <v>16</v>
      </c>
    </row>
    <row r="179" spans="1:24" x14ac:dyDescent="0.2">
      <c r="A179" s="227" t="s">
        <v>309</v>
      </c>
      <c r="B179" s="224" t="s">
        <v>308</v>
      </c>
      <c r="C179" s="242" t="s">
        <v>32</v>
      </c>
      <c r="D179" s="242" t="s">
        <v>1149</v>
      </c>
      <c r="E179" s="242" t="s">
        <v>3030</v>
      </c>
      <c r="F179" s="242" t="s">
        <v>2691</v>
      </c>
      <c r="G179" s="243">
        <v>1</v>
      </c>
      <c r="H179" s="244" t="s">
        <v>3031</v>
      </c>
      <c r="I179" s="243">
        <v>1</v>
      </c>
      <c r="J179" s="244" t="s">
        <v>3032</v>
      </c>
      <c r="K179" s="242" t="s">
        <v>873</v>
      </c>
      <c r="L179" s="242" t="s">
        <v>2694</v>
      </c>
      <c r="M179" s="243">
        <v>0</v>
      </c>
      <c r="N179" s="302" t="s">
        <v>16</v>
      </c>
      <c r="O179" s="243">
        <v>0</v>
      </c>
      <c r="P179" s="302" t="s">
        <v>16</v>
      </c>
      <c r="Q179" s="242" t="s">
        <v>873</v>
      </c>
      <c r="R179" s="302" t="s">
        <v>16</v>
      </c>
      <c r="S179" s="243">
        <v>0</v>
      </c>
      <c r="T179" s="302" t="s">
        <v>16</v>
      </c>
      <c r="U179" s="243">
        <v>0</v>
      </c>
      <c r="V179" s="302" t="s">
        <v>16</v>
      </c>
      <c r="W179" s="242" t="s">
        <v>873</v>
      </c>
      <c r="X179" s="303" t="s">
        <v>16</v>
      </c>
    </row>
    <row r="180" spans="1:24" x14ac:dyDescent="0.2">
      <c r="A180" s="227" t="s">
        <v>315</v>
      </c>
      <c r="B180" s="224" t="s">
        <v>314</v>
      </c>
      <c r="C180" s="242" t="s">
        <v>32</v>
      </c>
      <c r="D180" s="242" t="s">
        <v>1136</v>
      </c>
      <c r="E180" s="242" t="s">
        <v>3039</v>
      </c>
      <c r="F180" s="242" t="s">
        <v>1135</v>
      </c>
      <c r="G180" s="243">
        <v>0.3</v>
      </c>
      <c r="H180" s="244" t="s">
        <v>3040</v>
      </c>
      <c r="I180" s="243">
        <v>0.3</v>
      </c>
      <c r="J180" s="244" t="s">
        <v>3041</v>
      </c>
      <c r="K180" s="242" t="s">
        <v>872</v>
      </c>
      <c r="L180" s="242" t="s">
        <v>2723</v>
      </c>
      <c r="M180" s="302" t="s">
        <v>16</v>
      </c>
      <c r="N180" s="302" t="s">
        <v>16</v>
      </c>
      <c r="O180" s="302" t="s">
        <v>16</v>
      </c>
      <c r="P180" s="302" t="s">
        <v>16</v>
      </c>
      <c r="Q180" s="302" t="s">
        <v>16</v>
      </c>
      <c r="R180" s="302" t="s">
        <v>16</v>
      </c>
      <c r="S180" s="302" t="s">
        <v>16</v>
      </c>
      <c r="T180" s="302" t="s">
        <v>16</v>
      </c>
      <c r="U180" s="302" t="s">
        <v>16</v>
      </c>
      <c r="V180" s="302" t="s">
        <v>16</v>
      </c>
      <c r="W180" s="302" t="s">
        <v>16</v>
      </c>
      <c r="X180" s="303" t="s">
        <v>16</v>
      </c>
    </row>
    <row r="181" spans="1:24" x14ac:dyDescent="0.2">
      <c r="A181" s="227" t="s">
        <v>323</v>
      </c>
      <c r="B181" s="224" t="s">
        <v>322</v>
      </c>
      <c r="C181" s="242" t="s">
        <v>32</v>
      </c>
      <c r="D181" s="242" t="s">
        <v>1199</v>
      </c>
      <c r="E181" s="242" t="s">
        <v>3045</v>
      </c>
      <c r="F181" s="242" t="s">
        <v>2836</v>
      </c>
      <c r="G181" s="243">
        <v>0</v>
      </c>
      <c r="H181" s="302" t="s">
        <v>16</v>
      </c>
      <c r="I181" s="243">
        <v>0</v>
      </c>
      <c r="J181" s="302" t="s">
        <v>16</v>
      </c>
      <c r="K181" s="242" t="s">
        <v>873</v>
      </c>
      <c r="L181" s="302" t="s">
        <v>16</v>
      </c>
      <c r="M181" s="243">
        <v>0</v>
      </c>
      <c r="N181" s="302" t="s">
        <v>16</v>
      </c>
      <c r="O181" s="243">
        <v>0</v>
      </c>
      <c r="P181" s="302" t="s">
        <v>16</v>
      </c>
      <c r="Q181" s="242" t="s">
        <v>873</v>
      </c>
      <c r="R181" s="302" t="s">
        <v>16</v>
      </c>
      <c r="S181" s="243">
        <v>0</v>
      </c>
      <c r="T181" s="302" t="s">
        <v>16</v>
      </c>
      <c r="U181" s="243">
        <v>0</v>
      </c>
      <c r="V181" s="302" t="s">
        <v>16</v>
      </c>
      <c r="W181" s="242" t="s">
        <v>873</v>
      </c>
      <c r="X181" s="303" t="s">
        <v>16</v>
      </c>
    </row>
    <row r="182" spans="1:24" x14ac:dyDescent="0.2">
      <c r="A182" s="227" t="s">
        <v>337</v>
      </c>
      <c r="B182" s="224" t="s">
        <v>336</v>
      </c>
      <c r="C182" s="242" t="s">
        <v>32</v>
      </c>
      <c r="D182" s="242" t="s">
        <v>1195</v>
      </c>
      <c r="E182" s="242" t="s">
        <v>3058</v>
      </c>
      <c r="F182" s="242" t="s">
        <v>2691</v>
      </c>
      <c r="G182" s="243">
        <v>0.93500000000000005</v>
      </c>
      <c r="H182" s="244" t="s">
        <v>3059</v>
      </c>
      <c r="I182" s="243">
        <v>0.85470000000000002</v>
      </c>
      <c r="J182" s="302" t="s">
        <v>16</v>
      </c>
      <c r="K182" s="242" t="s">
        <v>872</v>
      </c>
      <c r="L182" s="242" t="s">
        <v>2723</v>
      </c>
      <c r="M182" s="243">
        <v>0.65529999999999999</v>
      </c>
      <c r="N182" s="244" t="s">
        <v>3060</v>
      </c>
      <c r="O182" s="243">
        <v>0.60029999999999994</v>
      </c>
      <c r="P182" s="244" t="s">
        <v>3061</v>
      </c>
      <c r="Q182" s="242" t="s">
        <v>873</v>
      </c>
      <c r="R182" s="242" t="s">
        <v>2721</v>
      </c>
      <c r="S182" s="243">
        <v>0.75</v>
      </c>
      <c r="T182" s="244" t="s">
        <v>3047</v>
      </c>
      <c r="U182" s="243">
        <v>0.74550000000000005</v>
      </c>
      <c r="V182" s="244" t="s">
        <v>3062</v>
      </c>
      <c r="W182" s="242" t="s">
        <v>873</v>
      </c>
      <c r="X182" s="245" t="s">
        <v>2723</v>
      </c>
    </row>
    <row r="183" spans="1:24" x14ac:dyDescent="0.2">
      <c r="A183" s="227" t="s">
        <v>357</v>
      </c>
      <c r="B183" s="224" t="s">
        <v>356</v>
      </c>
      <c r="C183" s="242" t="s">
        <v>32</v>
      </c>
      <c r="D183" s="242" t="s">
        <v>1228</v>
      </c>
      <c r="E183" s="242" t="s">
        <v>3090</v>
      </c>
      <c r="F183" s="242" t="s">
        <v>2691</v>
      </c>
      <c r="G183" s="243">
        <v>2</v>
      </c>
      <c r="H183" s="244" t="s">
        <v>3091</v>
      </c>
      <c r="I183" s="243">
        <v>1.9578</v>
      </c>
      <c r="J183" s="302" t="s">
        <v>16</v>
      </c>
      <c r="K183" s="242" t="s">
        <v>872</v>
      </c>
      <c r="L183" s="242" t="s">
        <v>2705</v>
      </c>
      <c r="M183" s="302" t="s">
        <v>16</v>
      </c>
      <c r="N183" s="302" t="s">
        <v>16</v>
      </c>
      <c r="O183" s="302" t="s">
        <v>16</v>
      </c>
      <c r="P183" s="302" t="s">
        <v>16</v>
      </c>
      <c r="Q183" s="242" t="s">
        <v>873</v>
      </c>
      <c r="R183" s="302" t="s">
        <v>16</v>
      </c>
      <c r="S183" s="302" t="s">
        <v>16</v>
      </c>
      <c r="T183" s="302" t="s">
        <v>16</v>
      </c>
      <c r="U183" s="302" t="s">
        <v>16</v>
      </c>
      <c r="V183" s="302" t="s">
        <v>16</v>
      </c>
      <c r="W183" s="242" t="s">
        <v>873</v>
      </c>
      <c r="X183" s="303" t="s">
        <v>16</v>
      </c>
    </row>
    <row r="184" spans="1:24" x14ac:dyDescent="0.2">
      <c r="A184" s="227" t="s">
        <v>365</v>
      </c>
      <c r="B184" s="224" t="s">
        <v>364</v>
      </c>
      <c r="C184" s="242" t="s">
        <v>32</v>
      </c>
      <c r="D184" s="242" t="s">
        <v>1133</v>
      </c>
      <c r="E184" s="242" t="s">
        <v>3099</v>
      </c>
      <c r="F184" s="242" t="s">
        <v>2691</v>
      </c>
      <c r="G184" s="243">
        <v>1.5</v>
      </c>
      <c r="H184" s="244" t="s">
        <v>3100</v>
      </c>
      <c r="I184" s="243">
        <v>1.3643000000000001</v>
      </c>
      <c r="J184" s="244" t="s">
        <v>2686</v>
      </c>
      <c r="K184" s="242" t="s">
        <v>872</v>
      </c>
      <c r="L184" s="242" t="s">
        <v>2694</v>
      </c>
      <c r="M184" s="302" t="s">
        <v>16</v>
      </c>
      <c r="N184" s="302" t="s">
        <v>16</v>
      </c>
      <c r="O184" s="302" t="s">
        <v>16</v>
      </c>
      <c r="P184" s="302" t="s">
        <v>16</v>
      </c>
      <c r="Q184" s="242" t="s">
        <v>873</v>
      </c>
      <c r="R184" s="302" t="s">
        <v>16</v>
      </c>
      <c r="S184" s="302" t="s">
        <v>16</v>
      </c>
      <c r="T184" s="302" t="s">
        <v>16</v>
      </c>
      <c r="U184" s="302" t="s">
        <v>16</v>
      </c>
      <c r="V184" s="302" t="s">
        <v>16</v>
      </c>
      <c r="W184" s="242" t="s">
        <v>873</v>
      </c>
      <c r="X184" s="303" t="s">
        <v>16</v>
      </c>
    </row>
    <row r="185" spans="1:24" x14ac:dyDescent="0.2">
      <c r="A185" s="227" t="s">
        <v>373</v>
      </c>
      <c r="B185" s="224" t="s">
        <v>372</v>
      </c>
      <c r="C185" s="242" t="s">
        <v>32</v>
      </c>
      <c r="D185" s="242" t="s">
        <v>1173</v>
      </c>
      <c r="E185" s="242" t="s">
        <v>3110</v>
      </c>
      <c r="F185" s="242" t="s">
        <v>1135</v>
      </c>
      <c r="G185" s="243">
        <v>1</v>
      </c>
      <c r="H185" s="244" t="s">
        <v>3111</v>
      </c>
      <c r="I185" s="243">
        <v>0.99470000000000003</v>
      </c>
      <c r="J185" s="302" t="s">
        <v>16</v>
      </c>
      <c r="K185" s="242" t="s">
        <v>872</v>
      </c>
      <c r="L185" s="242" t="s">
        <v>2687</v>
      </c>
      <c r="M185" s="243">
        <v>0</v>
      </c>
      <c r="N185" s="302" t="s">
        <v>16</v>
      </c>
      <c r="O185" s="243">
        <v>0</v>
      </c>
      <c r="P185" s="302" t="s">
        <v>16</v>
      </c>
      <c r="Q185" s="242" t="s">
        <v>873</v>
      </c>
      <c r="R185" s="302" t="s">
        <v>16</v>
      </c>
      <c r="S185" s="243">
        <v>0</v>
      </c>
      <c r="T185" s="302" t="s">
        <v>16</v>
      </c>
      <c r="U185" s="243">
        <v>0</v>
      </c>
      <c r="V185" s="302" t="s">
        <v>16</v>
      </c>
      <c r="W185" s="242" t="s">
        <v>873</v>
      </c>
      <c r="X185" s="303" t="s">
        <v>16</v>
      </c>
    </row>
    <row r="186" spans="1:24" x14ac:dyDescent="0.2">
      <c r="A186" s="227" t="s">
        <v>393</v>
      </c>
      <c r="B186" s="224" t="s">
        <v>392</v>
      </c>
      <c r="C186" s="242" t="s">
        <v>32</v>
      </c>
      <c r="D186" s="242" t="s">
        <v>1125</v>
      </c>
      <c r="E186" s="242" t="s">
        <v>3125</v>
      </c>
      <c r="F186" s="242" t="s">
        <v>1135</v>
      </c>
      <c r="G186" s="302" t="s">
        <v>16</v>
      </c>
      <c r="H186" s="302" t="s">
        <v>16</v>
      </c>
      <c r="I186" s="302" t="s">
        <v>16</v>
      </c>
      <c r="J186" s="302" t="s">
        <v>16</v>
      </c>
      <c r="K186" s="242" t="s">
        <v>873</v>
      </c>
      <c r="L186" s="302" t="s">
        <v>16</v>
      </c>
      <c r="M186" s="302" t="s">
        <v>16</v>
      </c>
      <c r="N186" s="302" t="s">
        <v>16</v>
      </c>
      <c r="O186" s="302" t="s">
        <v>16</v>
      </c>
      <c r="P186" s="302" t="s">
        <v>16</v>
      </c>
      <c r="Q186" s="242" t="s">
        <v>873</v>
      </c>
      <c r="R186" s="302" t="s">
        <v>16</v>
      </c>
      <c r="S186" s="302" t="s">
        <v>16</v>
      </c>
      <c r="T186" s="302" t="s">
        <v>16</v>
      </c>
      <c r="U186" s="302" t="s">
        <v>16</v>
      </c>
      <c r="V186" s="302" t="s">
        <v>16</v>
      </c>
      <c r="W186" s="242" t="s">
        <v>873</v>
      </c>
      <c r="X186" s="303" t="s">
        <v>16</v>
      </c>
    </row>
    <row r="187" spans="1:24" x14ac:dyDescent="0.2">
      <c r="A187" s="227" t="s">
        <v>425</v>
      </c>
      <c r="B187" s="224" t="s">
        <v>424</v>
      </c>
      <c r="C187" s="242" t="s">
        <v>32</v>
      </c>
      <c r="D187" s="242" t="s">
        <v>1190</v>
      </c>
      <c r="E187" s="242" t="s">
        <v>3149</v>
      </c>
      <c r="F187" s="242" t="s">
        <v>1135</v>
      </c>
      <c r="G187" s="243">
        <v>0</v>
      </c>
      <c r="H187" s="302" t="s">
        <v>16</v>
      </c>
      <c r="I187" s="243">
        <v>0</v>
      </c>
      <c r="J187" s="302" t="s">
        <v>16</v>
      </c>
      <c r="K187" s="242" t="s">
        <v>873</v>
      </c>
      <c r="L187" s="302" t="s">
        <v>16</v>
      </c>
      <c r="M187" s="243">
        <v>0</v>
      </c>
      <c r="N187" s="302" t="s">
        <v>16</v>
      </c>
      <c r="O187" s="243">
        <v>0</v>
      </c>
      <c r="P187" s="302" t="s">
        <v>16</v>
      </c>
      <c r="Q187" s="242" t="s">
        <v>873</v>
      </c>
      <c r="R187" s="302" t="s">
        <v>16</v>
      </c>
      <c r="S187" s="243">
        <v>0</v>
      </c>
      <c r="T187" s="302" t="s">
        <v>16</v>
      </c>
      <c r="U187" s="243">
        <v>0</v>
      </c>
      <c r="V187" s="302" t="s">
        <v>16</v>
      </c>
      <c r="W187" s="242" t="s">
        <v>873</v>
      </c>
      <c r="X187" s="303" t="s">
        <v>16</v>
      </c>
    </row>
    <row r="188" spans="1:24" x14ac:dyDescent="0.2">
      <c r="A188" s="227" t="s">
        <v>423</v>
      </c>
      <c r="B188" s="224" t="s">
        <v>422</v>
      </c>
      <c r="C188" s="242" t="s">
        <v>32</v>
      </c>
      <c r="D188" s="242" t="s">
        <v>1242</v>
      </c>
      <c r="E188" s="242" t="s">
        <v>1243</v>
      </c>
      <c r="F188" s="242" t="s">
        <v>2836</v>
      </c>
      <c r="G188" s="243">
        <v>0</v>
      </c>
      <c r="H188" s="302" t="s">
        <v>16</v>
      </c>
      <c r="I188" s="243">
        <v>0</v>
      </c>
      <c r="J188" s="302" t="s">
        <v>16</v>
      </c>
      <c r="K188" s="242" t="s">
        <v>873</v>
      </c>
      <c r="L188" s="302" t="s">
        <v>16</v>
      </c>
      <c r="M188" s="243">
        <v>0</v>
      </c>
      <c r="N188" s="302" t="s">
        <v>16</v>
      </c>
      <c r="O188" s="243">
        <v>0</v>
      </c>
      <c r="P188" s="302" t="s">
        <v>16</v>
      </c>
      <c r="Q188" s="242" t="s">
        <v>873</v>
      </c>
      <c r="R188" s="302" t="s">
        <v>16</v>
      </c>
      <c r="S188" s="243">
        <v>0</v>
      </c>
      <c r="T188" s="302" t="s">
        <v>16</v>
      </c>
      <c r="U188" s="243">
        <v>0</v>
      </c>
      <c r="V188" s="302" t="s">
        <v>16</v>
      </c>
      <c r="W188" s="242" t="s">
        <v>873</v>
      </c>
      <c r="X188" s="303" t="s">
        <v>16</v>
      </c>
    </row>
    <row r="189" spans="1:24" x14ac:dyDescent="0.2">
      <c r="A189" s="227" t="s">
        <v>447</v>
      </c>
      <c r="B189" s="224" t="s">
        <v>446</v>
      </c>
      <c r="C189" s="242" t="s">
        <v>32</v>
      </c>
      <c r="D189" s="242" t="s">
        <v>1146</v>
      </c>
      <c r="E189" s="242" t="s">
        <v>3168</v>
      </c>
      <c r="F189" s="242" t="s">
        <v>2664</v>
      </c>
      <c r="G189" s="243">
        <v>1</v>
      </c>
      <c r="H189" s="244" t="s">
        <v>3169</v>
      </c>
      <c r="I189" s="243">
        <v>1</v>
      </c>
      <c r="J189" s="244" t="s">
        <v>891</v>
      </c>
      <c r="K189" s="242" t="s">
        <v>872</v>
      </c>
      <c r="L189" s="242" t="s">
        <v>2687</v>
      </c>
      <c r="M189" s="243">
        <v>50000</v>
      </c>
      <c r="N189" s="244" t="s">
        <v>3170</v>
      </c>
      <c r="O189" s="243">
        <v>0.28999999999999998</v>
      </c>
      <c r="P189" s="244" t="s">
        <v>891</v>
      </c>
      <c r="Q189" s="242" t="s">
        <v>872</v>
      </c>
      <c r="R189" s="242" t="s">
        <v>2687</v>
      </c>
      <c r="S189" s="243">
        <v>0</v>
      </c>
      <c r="T189" s="302" t="s">
        <v>16</v>
      </c>
      <c r="U189" s="243">
        <v>0</v>
      </c>
      <c r="V189" s="302" t="s">
        <v>16</v>
      </c>
      <c r="W189" s="242" t="s">
        <v>873</v>
      </c>
      <c r="X189" s="303" t="s">
        <v>16</v>
      </c>
    </row>
    <row r="190" spans="1:24" x14ac:dyDescent="0.2">
      <c r="A190" s="227" t="s">
        <v>461</v>
      </c>
      <c r="B190" s="224" t="s">
        <v>460</v>
      </c>
      <c r="C190" s="242" t="s">
        <v>32</v>
      </c>
      <c r="D190" s="242" t="s">
        <v>1146</v>
      </c>
      <c r="E190" s="242" t="s">
        <v>1145</v>
      </c>
      <c r="F190" s="242" t="s">
        <v>1135</v>
      </c>
      <c r="G190" s="243">
        <v>0</v>
      </c>
      <c r="H190" s="302" t="s">
        <v>16</v>
      </c>
      <c r="I190" s="243">
        <v>0</v>
      </c>
      <c r="J190" s="302" t="s">
        <v>16</v>
      </c>
      <c r="K190" s="242" t="s">
        <v>873</v>
      </c>
      <c r="L190" s="302" t="s">
        <v>16</v>
      </c>
      <c r="M190" s="243">
        <v>0</v>
      </c>
      <c r="N190" s="302" t="s">
        <v>16</v>
      </c>
      <c r="O190" s="243">
        <v>0</v>
      </c>
      <c r="P190" s="302" t="s">
        <v>16</v>
      </c>
      <c r="Q190" s="242" t="s">
        <v>873</v>
      </c>
      <c r="R190" s="302" t="s">
        <v>16</v>
      </c>
      <c r="S190" s="243">
        <v>0</v>
      </c>
      <c r="T190" s="302" t="s">
        <v>16</v>
      </c>
      <c r="U190" s="243">
        <v>0</v>
      </c>
      <c r="V190" s="302" t="s">
        <v>16</v>
      </c>
      <c r="W190" s="242" t="s">
        <v>873</v>
      </c>
      <c r="X190" s="303" t="s">
        <v>16</v>
      </c>
    </row>
    <row r="191" spans="1:24" x14ac:dyDescent="0.2">
      <c r="A191" s="227" t="s">
        <v>484</v>
      </c>
      <c r="B191" s="224" t="s">
        <v>483</v>
      </c>
      <c r="C191" s="242" t="s">
        <v>32</v>
      </c>
      <c r="D191" s="242" t="s">
        <v>1144</v>
      </c>
      <c r="E191" s="242" t="s">
        <v>1253</v>
      </c>
      <c r="F191" s="242" t="s">
        <v>2691</v>
      </c>
      <c r="G191" s="243">
        <v>1.0451999999999999</v>
      </c>
      <c r="H191" s="244" t="s">
        <v>3070</v>
      </c>
      <c r="I191" s="243">
        <v>1.0451999999999999</v>
      </c>
      <c r="J191" s="244" t="s">
        <v>2820</v>
      </c>
      <c r="K191" s="242" t="s">
        <v>873</v>
      </c>
      <c r="L191" s="242" t="s">
        <v>2723</v>
      </c>
      <c r="M191" s="302" t="s">
        <v>16</v>
      </c>
      <c r="N191" s="302" t="s">
        <v>16</v>
      </c>
      <c r="O191" s="302" t="s">
        <v>16</v>
      </c>
      <c r="P191" s="302" t="s">
        <v>16</v>
      </c>
      <c r="Q191" s="242" t="s">
        <v>873</v>
      </c>
      <c r="R191" s="302" t="s">
        <v>16</v>
      </c>
      <c r="S191" s="302" t="s">
        <v>16</v>
      </c>
      <c r="T191" s="302" t="s">
        <v>16</v>
      </c>
      <c r="U191" s="302" t="s">
        <v>16</v>
      </c>
      <c r="V191" s="302" t="s">
        <v>16</v>
      </c>
      <c r="W191" s="242" t="s">
        <v>873</v>
      </c>
      <c r="X191" s="303" t="s">
        <v>16</v>
      </c>
    </row>
    <row r="192" spans="1:24" x14ac:dyDescent="0.2">
      <c r="A192" s="227" t="s">
        <v>490</v>
      </c>
      <c r="B192" s="224" t="s">
        <v>489</v>
      </c>
      <c r="C192" s="242" t="s">
        <v>32</v>
      </c>
      <c r="D192" s="242" t="s">
        <v>1255</v>
      </c>
      <c r="E192" s="242" t="s">
        <v>3205</v>
      </c>
      <c r="F192" s="242" t="s">
        <v>2836</v>
      </c>
      <c r="G192" s="243">
        <v>0</v>
      </c>
      <c r="H192" s="302" t="s">
        <v>16</v>
      </c>
      <c r="I192" s="243">
        <v>0</v>
      </c>
      <c r="J192" s="302" t="s">
        <v>16</v>
      </c>
      <c r="K192" s="242" t="s">
        <v>873</v>
      </c>
      <c r="L192" s="302" t="s">
        <v>16</v>
      </c>
      <c r="M192" s="243">
        <v>0</v>
      </c>
      <c r="N192" s="302" t="s">
        <v>16</v>
      </c>
      <c r="O192" s="243">
        <v>0</v>
      </c>
      <c r="P192" s="302" t="s">
        <v>16</v>
      </c>
      <c r="Q192" s="242" t="s">
        <v>873</v>
      </c>
      <c r="R192" s="302" t="s">
        <v>16</v>
      </c>
      <c r="S192" s="243">
        <v>0</v>
      </c>
      <c r="T192" s="302" t="s">
        <v>16</v>
      </c>
      <c r="U192" s="243">
        <v>0</v>
      </c>
      <c r="V192" s="302" t="s">
        <v>16</v>
      </c>
      <c r="W192" s="242" t="s">
        <v>873</v>
      </c>
      <c r="X192" s="303" t="s">
        <v>16</v>
      </c>
    </row>
    <row r="193" spans="1:24" x14ac:dyDescent="0.2">
      <c r="A193" s="227" t="s">
        <v>510</v>
      </c>
      <c r="B193" s="224" t="s">
        <v>509</v>
      </c>
      <c r="C193" s="242" t="s">
        <v>32</v>
      </c>
      <c r="D193" s="242" t="s">
        <v>1134</v>
      </c>
      <c r="E193" s="242" t="s">
        <v>16</v>
      </c>
      <c r="F193" s="242" t="s">
        <v>1135</v>
      </c>
      <c r="G193" s="243">
        <v>0.97009999999999996</v>
      </c>
      <c r="H193" s="302" t="s">
        <v>16</v>
      </c>
      <c r="I193" s="243">
        <v>0.97009999999999996</v>
      </c>
      <c r="J193" s="302" t="s">
        <v>16</v>
      </c>
      <c r="K193" s="242" t="s">
        <v>872</v>
      </c>
      <c r="L193" s="242" t="s">
        <v>2694</v>
      </c>
      <c r="M193" s="302" t="s">
        <v>16</v>
      </c>
      <c r="N193" s="302" t="s">
        <v>16</v>
      </c>
      <c r="O193" s="302" t="s">
        <v>16</v>
      </c>
      <c r="P193" s="302" t="s">
        <v>16</v>
      </c>
      <c r="Q193" s="302" t="s">
        <v>16</v>
      </c>
      <c r="R193" s="242" t="s">
        <v>2694</v>
      </c>
      <c r="S193" s="302" t="s">
        <v>16</v>
      </c>
      <c r="T193" s="302" t="s">
        <v>16</v>
      </c>
      <c r="U193" s="302" t="s">
        <v>16</v>
      </c>
      <c r="V193" s="302" t="s">
        <v>16</v>
      </c>
      <c r="W193" s="302" t="s">
        <v>16</v>
      </c>
      <c r="X193" s="303" t="s">
        <v>16</v>
      </c>
    </row>
    <row r="194" spans="1:24" x14ac:dyDescent="0.2">
      <c r="A194" s="227" t="s">
        <v>522</v>
      </c>
      <c r="B194" s="224" t="s">
        <v>521</v>
      </c>
      <c r="C194" s="242" t="s">
        <v>32</v>
      </c>
      <c r="D194" s="242" t="s">
        <v>1166</v>
      </c>
      <c r="E194" s="242" t="s">
        <v>1265</v>
      </c>
      <c r="F194" s="242" t="s">
        <v>2691</v>
      </c>
      <c r="G194" s="243">
        <v>1</v>
      </c>
      <c r="H194" s="244" t="s">
        <v>3229</v>
      </c>
      <c r="I194" s="243">
        <v>0.99180000000000001</v>
      </c>
      <c r="J194" s="244" t="s">
        <v>3230</v>
      </c>
      <c r="K194" s="242" t="s">
        <v>873</v>
      </c>
      <c r="L194" s="242" t="s">
        <v>2694</v>
      </c>
      <c r="M194" s="302" t="s">
        <v>16</v>
      </c>
      <c r="N194" s="302" t="s">
        <v>16</v>
      </c>
      <c r="O194" s="302" t="s">
        <v>16</v>
      </c>
      <c r="P194" s="302" t="s">
        <v>16</v>
      </c>
      <c r="Q194" s="242" t="s">
        <v>873</v>
      </c>
      <c r="R194" s="302" t="s">
        <v>16</v>
      </c>
      <c r="S194" s="302" t="s">
        <v>16</v>
      </c>
      <c r="T194" s="302" t="s">
        <v>16</v>
      </c>
      <c r="U194" s="302" t="s">
        <v>16</v>
      </c>
      <c r="V194" s="302" t="s">
        <v>16</v>
      </c>
      <c r="W194" s="242" t="s">
        <v>873</v>
      </c>
      <c r="X194" s="303" t="s">
        <v>16</v>
      </c>
    </row>
    <row r="195" spans="1:24" x14ac:dyDescent="0.2">
      <c r="A195" s="227" t="s">
        <v>528</v>
      </c>
      <c r="B195" s="224" t="s">
        <v>527</v>
      </c>
      <c r="C195" s="242" t="s">
        <v>32</v>
      </c>
      <c r="D195" s="242" t="s">
        <v>1266</v>
      </c>
      <c r="E195" s="242" t="s">
        <v>3233</v>
      </c>
      <c r="F195" s="242" t="s">
        <v>1124</v>
      </c>
      <c r="G195" s="243">
        <v>0.6</v>
      </c>
      <c r="H195" s="244" t="s">
        <v>3234</v>
      </c>
      <c r="I195" s="243">
        <v>0.6</v>
      </c>
      <c r="J195" s="244" t="s">
        <v>3235</v>
      </c>
      <c r="K195" s="242" t="s">
        <v>873</v>
      </c>
      <c r="L195" s="242" t="s">
        <v>2723</v>
      </c>
      <c r="M195" s="302" t="s">
        <v>16</v>
      </c>
      <c r="N195" s="302" t="s">
        <v>16</v>
      </c>
      <c r="O195" s="302" t="s">
        <v>16</v>
      </c>
      <c r="P195" s="302" t="s">
        <v>16</v>
      </c>
      <c r="Q195" s="242" t="s">
        <v>873</v>
      </c>
      <c r="R195" s="302" t="s">
        <v>16</v>
      </c>
      <c r="S195" s="302" t="s">
        <v>16</v>
      </c>
      <c r="T195" s="302" t="s">
        <v>16</v>
      </c>
      <c r="U195" s="302" t="s">
        <v>16</v>
      </c>
      <c r="V195" s="302" t="s">
        <v>16</v>
      </c>
      <c r="W195" s="242" t="s">
        <v>873</v>
      </c>
      <c r="X195" s="303" t="s">
        <v>16</v>
      </c>
    </row>
    <row r="196" spans="1:24" x14ac:dyDescent="0.2">
      <c r="A196" s="227" t="s">
        <v>538</v>
      </c>
      <c r="B196" s="224" t="s">
        <v>537</v>
      </c>
      <c r="C196" s="242" t="s">
        <v>32</v>
      </c>
      <c r="D196" s="242" t="s">
        <v>1268</v>
      </c>
      <c r="E196" s="242" t="s">
        <v>3247</v>
      </c>
      <c r="F196" s="242" t="s">
        <v>2836</v>
      </c>
      <c r="G196" s="302" t="s">
        <v>16</v>
      </c>
      <c r="H196" s="302" t="s">
        <v>16</v>
      </c>
      <c r="I196" s="302" t="s">
        <v>16</v>
      </c>
      <c r="J196" s="302" t="s">
        <v>16</v>
      </c>
      <c r="K196" s="242" t="s">
        <v>873</v>
      </c>
      <c r="L196" s="302" t="s">
        <v>16</v>
      </c>
      <c r="M196" s="302" t="s">
        <v>16</v>
      </c>
      <c r="N196" s="302" t="s">
        <v>16</v>
      </c>
      <c r="O196" s="302" t="s">
        <v>16</v>
      </c>
      <c r="P196" s="302" t="s">
        <v>16</v>
      </c>
      <c r="Q196" s="242" t="s">
        <v>873</v>
      </c>
      <c r="R196" s="302" t="s">
        <v>16</v>
      </c>
      <c r="S196" s="302" t="s">
        <v>16</v>
      </c>
      <c r="T196" s="302" t="s">
        <v>16</v>
      </c>
      <c r="U196" s="302" t="s">
        <v>16</v>
      </c>
      <c r="V196" s="302" t="s">
        <v>16</v>
      </c>
      <c r="W196" s="242" t="s">
        <v>873</v>
      </c>
      <c r="X196" s="303" t="s">
        <v>16</v>
      </c>
    </row>
    <row r="197" spans="1:24" x14ac:dyDescent="0.2">
      <c r="A197" s="227" t="s">
        <v>542</v>
      </c>
      <c r="B197" s="224" t="s">
        <v>541</v>
      </c>
      <c r="C197" s="242" t="s">
        <v>32</v>
      </c>
      <c r="D197" s="242" t="s">
        <v>1213</v>
      </c>
      <c r="E197" s="242" t="s">
        <v>3249</v>
      </c>
      <c r="F197" s="242" t="s">
        <v>1135</v>
      </c>
      <c r="G197" s="243">
        <v>0</v>
      </c>
      <c r="H197" s="244" t="s">
        <v>891</v>
      </c>
      <c r="I197" s="243">
        <v>0</v>
      </c>
      <c r="J197" s="244" t="s">
        <v>891</v>
      </c>
      <c r="K197" s="242" t="s">
        <v>873</v>
      </c>
      <c r="L197" s="302" t="s">
        <v>16</v>
      </c>
      <c r="M197" s="243">
        <v>0</v>
      </c>
      <c r="N197" s="244" t="s">
        <v>891</v>
      </c>
      <c r="O197" s="243">
        <v>0</v>
      </c>
      <c r="P197" s="244" t="s">
        <v>891</v>
      </c>
      <c r="Q197" s="242" t="s">
        <v>873</v>
      </c>
      <c r="R197" s="302" t="s">
        <v>16</v>
      </c>
      <c r="S197" s="243">
        <v>0</v>
      </c>
      <c r="T197" s="244" t="s">
        <v>891</v>
      </c>
      <c r="U197" s="243">
        <v>0</v>
      </c>
      <c r="V197" s="244" t="s">
        <v>891</v>
      </c>
      <c r="W197" s="242" t="s">
        <v>873</v>
      </c>
      <c r="X197" s="303" t="s">
        <v>16</v>
      </c>
    </row>
    <row r="198" spans="1:24" x14ac:dyDescent="0.2">
      <c r="A198" s="227" t="s">
        <v>554</v>
      </c>
      <c r="B198" s="224" t="s">
        <v>553</v>
      </c>
      <c r="C198" s="242" t="s">
        <v>32</v>
      </c>
      <c r="D198" s="242" t="s">
        <v>1144</v>
      </c>
      <c r="E198" s="242" t="s">
        <v>3263</v>
      </c>
      <c r="F198" s="242" t="s">
        <v>2664</v>
      </c>
      <c r="G198" s="243">
        <v>1</v>
      </c>
      <c r="H198" s="244" t="s">
        <v>3264</v>
      </c>
      <c r="I198" s="243">
        <v>0.83589999999999998</v>
      </c>
      <c r="J198" s="302" t="s">
        <v>16</v>
      </c>
      <c r="K198" s="242" t="s">
        <v>872</v>
      </c>
      <c r="L198" s="242" t="s">
        <v>2694</v>
      </c>
      <c r="M198" s="243">
        <v>0.5</v>
      </c>
      <c r="N198" s="244" t="s">
        <v>3265</v>
      </c>
      <c r="O198" s="243">
        <v>0.42020000000000002</v>
      </c>
      <c r="P198" s="244" t="s">
        <v>891</v>
      </c>
      <c r="Q198" s="242" t="s">
        <v>872</v>
      </c>
      <c r="R198" s="242" t="s">
        <v>2687</v>
      </c>
      <c r="S198" s="302" t="s">
        <v>16</v>
      </c>
      <c r="T198" s="302" t="s">
        <v>16</v>
      </c>
      <c r="U198" s="302" t="s">
        <v>16</v>
      </c>
      <c r="V198" s="302" t="s">
        <v>16</v>
      </c>
      <c r="W198" s="242" t="s">
        <v>873</v>
      </c>
      <c r="X198" s="303" t="s">
        <v>16</v>
      </c>
    </row>
    <row r="199" spans="1:24" x14ac:dyDescent="0.2">
      <c r="A199" s="227" t="s">
        <v>572</v>
      </c>
      <c r="B199" s="224" t="s">
        <v>571</v>
      </c>
      <c r="C199" s="242" t="s">
        <v>32</v>
      </c>
      <c r="D199" s="242" t="s">
        <v>1273</v>
      </c>
      <c r="E199" s="242" t="s">
        <v>3284</v>
      </c>
      <c r="F199" s="242" t="s">
        <v>1124</v>
      </c>
      <c r="G199" s="243">
        <v>0.5</v>
      </c>
      <c r="H199" s="244" t="s">
        <v>2998</v>
      </c>
      <c r="I199" s="243">
        <v>0.5</v>
      </c>
      <c r="J199" s="244" t="s">
        <v>3285</v>
      </c>
      <c r="K199" s="242" t="s">
        <v>873</v>
      </c>
      <c r="L199" s="242" t="s">
        <v>2705</v>
      </c>
      <c r="M199" s="302" t="s">
        <v>16</v>
      </c>
      <c r="N199" s="302" t="s">
        <v>16</v>
      </c>
      <c r="O199" s="302" t="s">
        <v>16</v>
      </c>
      <c r="P199" s="302" t="s">
        <v>16</v>
      </c>
      <c r="Q199" s="242" t="s">
        <v>873</v>
      </c>
      <c r="R199" s="302" t="s">
        <v>16</v>
      </c>
      <c r="S199" s="302" t="s">
        <v>16</v>
      </c>
      <c r="T199" s="302" t="s">
        <v>16</v>
      </c>
      <c r="U199" s="302" t="s">
        <v>16</v>
      </c>
      <c r="V199" s="302" t="s">
        <v>16</v>
      </c>
      <c r="W199" s="242" t="s">
        <v>873</v>
      </c>
      <c r="X199" s="303" t="s">
        <v>16</v>
      </c>
    </row>
    <row r="200" spans="1:24" x14ac:dyDescent="0.2">
      <c r="A200" s="227" t="s">
        <v>582</v>
      </c>
      <c r="B200" s="224" t="s">
        <v>581</v>
      </c>
      <c r="C200" s="242" t="s">
        <v>32</v>
      </c>
      <c r="D200" s="242" t="s">
        <v>1149</v>
      </c>
      <c r="E200" s="242" t="s">
        <v>3293</v>
      </c>
      <c r="F200" s="242" t="s">
        <v>2691</v>
      </c>
      <c r="G200" s="243">
        <v>2</v>
      </c>
      <c r="H200" s="244" t="s">
        <v>2845</v>
      </c>
      <c r="I200" s="243">
        <v>1.9907999999999999</v>
      </c>
      <c r="J200" s="244" t="s">
        <v>3294</v>
      </c>
      <c r="K200" s="242" t="s">
        <v>872</v>
      </c>
      <c r="L200" s="242" t="s">
        <v>2694</v>
      </c>
      <c r="M200" s="302" t="s">
        <v>16</v>
      </c>
      <c r="N200" s="244" t="s">
        <v>3295</v>
      </c>
      <c r="O200" s="302" t="s">
        <v>16</v>
      </c>
      <c r="P200" s="244" t="s">
        <v>3296</v>
      </c>
      <c r="Q200" s="242" t="s">
        <v>873</v>
      </c>
      <c r="R200" s="302" t="s">
        <v>16</v>
      </c>
      <c r="S200" s="302" t="s">
        <v>16</v>
      </c>
      <c r="T200" s="302" t="s">
        <v>16</v>
      </c>
      <c r="U200" s="302" t="s">
        <v>16</v>
      </c>
      <c r="V200" s="302" t="s">
        <v>16</v>
      </c>
      <c r="W200" s="242" t="s">
        <v>873</v>
      </c>
      <c r="X200" s="303" t="s">
        <v>16</v>
      </c>
    </row>
    <row r="201" spans="1:24" x14ac:dyDescent="0.2">
      <c r="A201" s="227" t="s">
        <v>586</v>
      </c>
      <c r="B201" s="224" t="s">
        <v>585</v>
      </c>
      <c r="C201" s="242" t="s">
        <v>32</v>
      </c>
      <c r="D201" s="242" t="s">
        <v>1136</v>
      </c>
      <c r="E201" s="242" t="s">
        <v>1277</v>
      </c>
      <c r="F201" s="242" t="s">
        <v>2664</v>
      </c>
      <c r="G201" s="243">
        <v>0.5</v>
      </c>
      <c r="H201" s="244" t="s">
        <v>3301</v>
      </c>
      <c r="I201" s="243">
        <v>0.45910000000000001</v>
      </c>
      <c r="J201" s="244" t="s">
        <v>2775</v>
      </c>
      <c r="K201" s="242" t="s">
        <v>873</v>
      </c>
      <c r="L201" s="242" t="s">
        <v>2723</v>
      </c>
      <c r="M201" s="243">
        <v>0</v>
      </c>
      <c r="N201" s="244" t="s">
        <v>2890</v>
      </c>
      <c r="O201" s="243">
        <v>0</v>
      </c>
      <c r="P201" s="244" t="s">
        <v>2780</v>
      </c>
      <c r="Q201" s="242" t="s">
        <v>873</v>
      </c>
      <c r="R201" s="242" t="s">
        <v>2723</v>
      </c>
      <c r="S201" s="243">
        <v>0</v>
      </c>
      <c r="T201" s="302" t="s">
        <v>16</v>
      </c>
      <c r="U201" s="243">
        <v>0</v>
      </c>
      <c r="V201" s="302" t="s">
        <v>16</v>
      </c>
      <c r="W201" s="242" t="s">
        <v>873</v>
      </c>
      <c r="X201" s="245" t="s">
        <v>2723</v>
      </c>
    </row>
    <row r="202" spans="1:24" x14ac:dyDescent="0.2">
      <c r="A202" s="227" t="s">
        <v>596</v>
      </c>
      <c r="B202" s="224" t="s">
        <v>595</v>
      </c>
      <c r="C202" s="242" t="s">
        <v>32</v>
      </c>
      <c r="D202" s="242" t="s">
        <v>1226</v>
      </c>
      <c r="E202" s="242" t="s">
        <v>3308</v>
      </c>
      <c r="F202" s="242" t="s">
        <v>2691</v>
      </c>
      <c r="G202" s="243">
        <v>1</v>
      </c>
      <c r="H202" s="244" t="s">
        <v>3309</v>
      </c>
      <c r="I202" s="243">
        <v>0.99309999999999998</v>
      </c>
      <c r="J202" s="244" t="s">
        <v>2985</v>
      </c>
      <c r="K202" s="242" t="s">
        <v>872</v>
      </c>
      <c r="L202" s="242" t="s">
        <v>2705</v>
      </c>
      <c r="M202" s="243">
        <v>0</v>
      </c>
      <c r="N202" s="302" t="s">
        <v>16</v>
      </c>
      <c r="O202" s="302" t="s">
        <v>16</v>
      </c>
      <c r="P202" s="302" t="s">
        <v>16</v>
      </c>
      <c r="Q202" s="242" t="s">
        <v>873</v>
      </c>
      <c r="R202" s="302" t="s">
        <v>16</v>
      </c>
      <c r="S202" s="302" t="s">
        <v>16</v>
      </c>
      <c r="T202" s="302" t="s">
        <v>16</v>
      </c>
      <c r="U202" s="302" t="s">
        <v>16</v>
      </c>
      <c r="V202" s="302" t="s">
        <v>16</v>
      </c>
      <c r="W202" s="242" t="s">
        <v>873</v>
      </c>
      <c r="X202" s="303" t="s">
        <v>16</v>
      </c>
    </row>
    <row r="203" spans="1:24" x14ac:dyDescent="0.2">
      <c r="A203" s="227" t="s">
        <v>604</v>
      </c>
      <c r="B203" s="224" t="s">
        <v>603</v>
      </c>
      <c r="C203" s="242" t="s">
        <v>32</v>
      </c>
      <c r="D203" s="242" t="s">
        <v>1165</v>
      </c>
      <c r="E203" s="242" t="s">
        <v>3321</v>
      </c>
      <c r="F203" s="242" t="s">
        <v>2691</v>
      </c>
      <c r="G203" s="243">
        <v>1.4219999999999999</v>
      </c>
      <c r="H203" s="244" t="s">
        <v>2943</v>
      </c>
      <c r="I203" s="243">
        <v>1.4219999999999999</v>
      </c>
      <c r="J203" s="244" t="s">
        <v>2852</v>
      </c>
      <c r="K203" s="242" t="s">
        <v>873</v>
      </c>
      <c r="L203" s="242" t="s">
        <v>2694</v>
      </c>
      <c r="M203" s="243">
        <v>0.5857</v>
      </c>
      <c r="N203" s="244" t="s">
        <v>3322</v>
      </c>
      <c r="O203" s="243">
        <v>0.5857</v>
      </c>
      <c r="P203" s="244" t="s">
        <v>3323</v>
      </c>
      <c r="Q203" s="242" t="s">
        <v>873</v>
      </c>
      <c r="R203" s="242" t="s">
        <v>3324</v>
      </c>
      <c r="S203" s="302" t="s">
        <v>16</v>
      </c>
      <c r="T203" s="302" t="s">
        <v>16</v>
      </c>
      <c r="U203" s="302" t="s">
        <v>16</v>
      </c>
      <c r="V203" s="302" t="s">
        <v>16</v>
      </c>
      <c r="W203" s="242" t="s">
        <v>873</v>
      </c>
      <c r="X203" s="303" t="s">
        <v>16</v>
      </c>
    </row>
    <row r="204" spans="1:24" x14ac:dyDescent="0.2">
      <c r="A204" s="227" t="s">
        <v>630</v>
      </c>
      <c r="B204" s="224" t="s">
        <v>629</v>
      </c>
      <c r="C204" s="242" t="s">
        <v>32</v>
      </c>
      <c r="D204" s="242" t="s">
        <v>1166</v>
      </c>
      <c r="E204" s="242" t="s">
        <v>3355</v>
      </c>
      <c r="F204" s="242" t="s">
        <v>2691</v>
      </c>
      <c r="G204" s="243">
        <v>0.75</v>
      </c>
      <c r="H204" s="244" t="s">
        <v>3356</v>
      </c>
      <c r="I204" s="243">
        <v>0.75</v>
      </c>
      <c r="J204" s="244" t="s">
        <v>2952</v>
      </c>
      <c r="K204" s="242" t="s">
        <v>873</v>
      </c>
      <c r="L204" s="242" t="s">
        <v>2694</v>
      </c>
      <c r="M204" s="243">
        <v>0.35</v>
      </c>
      <c r="N204" s="244" t="s">
        <v>3357</v>
      </c>
      <c r="O204" s="243">
        <v>0.35</v>
      </c>
      <c r="P204" s="244" t="s">
        <v>3358</v>
      </c>
      <c r="Q204" s="242" t="s">
        <v>873</v>
      </c>
      <c r="R204" s="242" t="s">
        <v>2694</v>
      </c>
      <c r="S204" s="302" t="s">
        <v>16</v>
      </c>
      <c r="T204" s="302" t="s">
        <v>16</v>
      </c>
      <c r="U204" s="302" t="s">
        <v>16</v>
      </c>
      <c r="V204" s="302" t="s">
        <v>16</v>
      </c>
      <c r="W204" s="302" t="s">
        <v>16</v>
      </c>
      <c r="X204" s="303" t="s">
        <v>16</v>
      </c>
    </row>
    <row r="205" spans="1:24" x14ac:dyDescent="0.2">
      <c r="A205" s="227" t="s">
        <v>638</v>
      </c>
      <c r="B205" s="224" t="s">
        <v>637</v>
      </c>
      <c r="C205" s="242" t="s">
        <v>32</v>
      </c>
      <c r="D205" s="242" t="s">
        <v>1207</v>
      </c>
      <c r="E205" s="242" t="s">
        <v>3363</v>
      </c>
      <c r="F205" s="242" t="s">
        <v>2691</v>
      </c>
      <c r="G205" s="243">
        <v>0.95</v>
      </c>
      <c r="H205" s="244" t="s">
        <v>3364</v>
      </c>
      <c r="I205" s="243">
        <v>0.95</v>
      </c>
      <c r="J205" s="244" t="s">
        <v>3282</v>
      </c>
      <c r="K205" s="242" t="s">
        <v>873</v>
      </c>
      <c r="L205" s="242" t="s">
        <v>2694</v>
      </c>
      <c r="M205" s="243">
        <v>0</v>
      </c>
      <c r="N205" s="244" t="s">
        <v>891</v>
      </c>
      <c r="O205" s="243">
        <v>0</v>
      </c>
      <c r="P205" s="244" t="s">
        <v>891</v>
      </c>
      <c r="Q205" s="242" t="s">
        <v>873</v>
      </c>
      <c r="R205" s="242" t="s">
        <v>891</v>
      </c>
      <c r="S205" s="243">
        <v>0</v>
      </c>
      <c r="T205" s="244" t="s">
        <v>891</v>
      </c>
      <c r="U205" s="243">
        <v>0</v>
      </c>
      <c r="V205" s="244" t="s">
        <v>891</v>
      </c>
      <c r="W205" s="242" t="s">
        <v>873</v>
      </c>
      <c r="X205" s="245" t="s">
        <v>891</v>
      </c>
    </row>
    <row r="206" spans="1:24" x14ac:dyDescent="0.2">
      <c r="A206" s="227" t="s">
        <v>646</v>
      </c>
      <c r="B206" s="224" t="s">
        <v>645</v>
      </c>
      <c r="C206" s="242" t="s">
        <v>32</v>
      </c>
      <c r="D206" s="242" t="s">
        <v>1149</v>
      </c>
      <c r="E206" s="242" t="s">
        <v>1284</v>
      </c>
      <c r="F206" s="242" t="s">
        <v>2691</v>
      </c>
      <c r="G206" s="243">
        <v>1</v>
      </c>
      <c r="H206" s="244" t="s">
        <v>3369</v>
      </c>
      <c r="I206" s="243">
        <v>0.8</v>
      </c>
      <c r="J206" s="244" t="s">
        <v>13</v>
      </c>
      <c r="K206" s="242" t="s">
        <v>872</v>
      </c>
      <c r="L206" s="242" t="s">
        <v>2694</v>
      </c>
      <c r="M206" s="243">
        <v>0.82279999999999998</v>
      </c>
      <c r="N206" s="244" t="s">
        <v>3370</v>
      </c>
      <c r="O206" s="243">
        <v>0.17</v>
      </c>
      <c r="P206" s="244" t="s">
        <v>3371</v>
      </c>
      <c r="Q206" s="242" t="s">
        <v>873</v>
      </c>
      <c r="R206" s="242" t="s">
        <v>2772</v>
      </c>
      <c r="S206" s="243">
        <v>0.14499999999999999</v>
      </c>
      <c r="T206" s="244" t="s">
        <v>891</v>
      </c>
      <c r="U206" s="243">
        <v>0</v>
      </c>
      <c r="V206" s="244" t="s">
        <v>891</v>
      </c>
      <c r="W206" s="242" t="s">
        <v>873</v>
      </c>
      <c r="X206" s="245" t="s">
        <v>13</v>
      </c>
    </row>
    <row r="207" spans="1:24" x14ac:dyDescent="0.2">
      <c r="A207" s="227" t="s">
        <v>656</v>
      </c>
      <c r="B207" s="224" t="s">
        <v>655</v>
      </c>
      <c r="C207" s="242" t="s">
        <v>32</v>
      </c>
      <c r="D207" s="242" t="s">
        <v>1134</v>
      </c>
      <c r="E207" s="242" t="s">
        <v>16</v>
      </c>
      <c r="F207" s="242" t="s">
        <v>1135</v>
      </c>
      <c r="G207" s="243">
        <v>0.8</v>
      </c>
      <c r="H207" s="244" t="s">
        <v>3376</v>
      </c>
      <c r="I207" s="243">
        <v>0.8</v>
      </c>
      <c r="J207" s="302" t="s">
        <v>16</v>
      </c>
      <c r="K207" s="242" t="s">
        <v>872</v>
      </c>
      <c r="L207" s="302" t="s">
        <v>16</v>
      </c>
      <c r="M207" s="302" t="s">
        <v>16</v>
      </c>
      <c r="N207" s="302" t="s">
        <v>16</v>
      </c>
      <c r="O207" s="302" t="s">
        <v>16</v>
      </c>
      <c r="P207" s="302" t="s">
        <v>16</v>
      </c>
      <c r="Q207" s="302" t="s">
        <v>16</v>
      </c>
      <c r="R207" s="302" t="s">
        <v>16</v>
      </c>
      <c r="S207" s="302" t="s">
        <v>16</v>
      </c>
      <c r="T207" s="302" t="s">
        <v>16</v>
      </c>
      <c r="U207" s="302" t="s">
        <v>16</v>
      </c>
      <c r="V207" s="302" t="s">
        <v>16</v>
      </c>
      <c r="W207" s="302" t="s">
        <v>16</v>
      </c>
      <c r="X207" s="303" t="s">
        <v>16</v>
      </c>
    </row>
    <row r="208" spans="1:24" x14ac:dyDescent="0.2">
      <c r="A208" s="227" t="s">
        <v>674</v>
      </c>
      <c r="B208" s="224" t="s">
        <v>673</v>
      </c>
      <c r="C208" s="242" t="s">
        <v>32</v>
      </c>
      <c r="D208" s="242" t="s">
        <v>1140</v>
      </c>
      <c r="E208" s="242" t="s">
        <v>3396</v>
      </c>
      <c r="F208" s="242" t="s">
        <v>2691</v>
      </c>
      <c r="G208" s="243">
        <v>0.99580000000000002</v>
      </c>
      <c r="H208" s="244" t="s">
        <v>2995</v>
      </c>
      <c r="I208" s="243">
        <v>1</v>
      </c>
      <c r="J208" s="244" t="s">
        <v>3397</v>
      </c>
      <c r="K208" s="242" t="s">
        <v>873</v>
      </c>
      <c r="L208" s="242" t="s">
        <v>2694</v>
      </c>
      <c r="M208" s="243">
        <v>0</v>
      </c>
      <c r="N208" s="244" t="s">
        <v>891</v>
      </c>
      <c r="O208" s="243">
        <v>0</v>
      </c>
      <c r="P208" s="244" t="s">
        <v>891</v>
      </c>
      <c r="Q208" s="242" t="s">
        <v>873</v>
      </c>
      <c r="R208" s="242" t="s">
        <v>1161</v>
      </c>
      <c r="S208" s="243">
        <v>0</v>
      </c>
      <c r="T208" s="244" t="s">
        <v>891</v>
      </c>
      <c r="U208" s="243">
        <v>0</v>
      </c>
      <c r="V208" s="244" t="s">
        <v>891</v>
      </c>
      <c r="W208" s="242" t="s">
        <v>873</v>
      </c>
      <c r="X208" s="245" t="s">
        <v>3398</v>
      </c>
    </row>
    <row r="209" spans="1:24" x14ac:dyDescent="0.2">
      <c r="A209" s="227" t="s">
        <v>676</v>
      </c>
      <c r="B209" s="224" t="s">
        <v>675</v>
      </c>
      <c r="C209" s="242" t="s">
        <v>32</v>
      </c>
      <c r="D209" s="242" t="s">
        <v>1164</v>
      </c>
      <c r="E209" s="242" t="s">
        <v>1291</v>
      </c>
      <c r="F209" s="242" t="s">
        <v>2691</v>
      </c>
      <c r="G209" s="243">
        <v>0.8</v>
      </c>
      <c r="H209" s="244" t="s">
        <v>3399</v>
      </c>
      <c r="I209" s="243">
        <v>0.72719999999999996</v>
      </c>
      <c r="J209" s="244" t="s">
        <v>3400</v>
      </c>
      <c r="K209" s="242" t="s">
        <v>872</v>
      </c>
      <c r="L209" s="242" t="s">
        <v>2694</v>
      </c>
      <c r="M209" s="302" t="s">
        <v>16</v>
      </c>
      <c r="N209" s="302" t="s">
        <v>16</v>
      </c>
      <c r="O209" s="302" t="s">
        <v>16</v>
      </c>
      <c r="P209" s="302" t="s">
        <v>16</v>
      </c>
      <c r="Q209" s="242" t="s">
        <v>873</v>
      </c>
      <c r="R209" s="302" t="s">
        <v>16</v>
      </c>
      <c r="S209" s="302" t="s">
        <v>16</v>
      </c>
      <c r="T209" s="302" t="s">
        <v>16</v>
      </c>
      <c r="U209" s="302" t="s">
        <v>16</v>
      </c>
      <c r="V209" s="302" t="s">
        <v>16</v>
      </c>
      <c r="W209" s="242" t="s">
        <v>873</v>
      </c>
      <c r="X209" s="303" t="s">
        <v>16</v>
      </c>
    </row>
    <row r="210" spans="1:24" x14ac:dyDescent="0.2">
      <c r="A210" s="227" t="s">
        <v>684</v>
      </c>
      <c r="B210" s="224" t="s">
        <v>683</v>
      </c>
      <c r="C210" s="242" t="s">
        <v>32</v>
      </c>
      <c r="D210" s="242" t="s">
        <v>1133</v>
      </c>
      <c r="E210" s="242" t="s">
        <v>3408</v>
      </c>
      <c r="F210" s="242" t="s">
        <v>2664</v>
      </c>
      <c r="G210" s="243">
        <v>0.4</v>
      </c>
      <c r="H210" s="244" t="s">
        <v>2810</v>
      </c>
      <c r="I210" s="243">
        <v>0.4</v>
      </c>
      <c r="J210" s="302" t="s">
        <v>16</v>
      </c>
      <c r="K210" s="242" t="s">
        <v>872</v>
      </c>
      <c r="L210" s="242" t="s">
        <v>2687</v>
      </c>
      <c r="M210" s="243">
        <v>0</v>
      </c>
      <c r="N210" s="302" t="s">
        <v>16</v>
      </c>
      <c r="O210" s="243">
        <v>0</v>
      </c>
      <c r="P210" s="302" t="s">
        <v>16</v>
      </c>
      <c r="Q210" s="242" t="s">
        <v>873</v>
      </c>
      <c r="R210" s="302" t="s">
        <v>16</v>
      </c>
      <c r="S210" s="243">
        <v>0</v>
      </c>
      <c r="T210" s="302" t="s">
        <v>16</v>
      </c>
      <c r="U210" s="243">
        <v>0</v>
      </c>
      <c r="V210" s="302" t="s">
        <v>16</v>
      </c>
      <c r="W210" s="242" t="s">
        <v>873</v>
      </c>
      <c r="X210" s="303" t="s">
        <v>16</v>
      </c>
    </row>
    <row r="211" spans="1:24" x14ac:dyDescent="0.2">
      <c r="A211" s="227" t="s">
        <v>690</v>
      </c>
      <c r="B211" s="224" t="s">
        <v>689</v>
      </c>
      <c r="C211" s="242" t="s">
        <v>32</v>
      </c>
      <c r="D211" s="242" t="s">
        <v>1127</v>
      </c>
      <c r="E211" s="242" t="s">
        <v>3416</v>
      </c>
      <c r="F211" s="242" t="s">
        <v>2691</v>
      </c>
      <c r="G211" s="243">
        <v>1</v>
      </c>
      <c r="H211" s="244" t="s">
        <v>3417</v>
      </c>
      <c r="I211" s="243">
        <v>0.97009999999999996</v>
      </c>
      <c r="J211" s="244" t="s">
        <v>2762</v>
      </c>
      <c r="K211" s="242" t="s">
        <v>872</v>
      </c>
      <c r="L211" s="242" t="s">
        <v>2694</v>
      </c>
      <c r="M211" s="243">
        <v>0.2</v>
      </c>
      <c r="N211" s="244" t="s">
        <v>3418</v>
      </c>
      <c r="O211" s="243">
        <v>0.2</v>
      </c>
      <c r="P211" s="244" t="s">
        <v>3418</v>
      </c>
      <c r="Q211" s="242" t="s">
        <v>873</v>
      </c>
      <c r="R211" s="242" t="s">
        <v>2694</v>
      </c>
      <c r="S211" s="302" t="s">
        <v>16</v>
      </c>
      <c r="T211" s="302" t="s">
        <v>16</v>
      </c>
      <c r="U211" s="302" t="s">
        <v>16</v>
      </c>
      <c r="V211" s="302" t="s">
        <v>16</v>
      </c>
      <c r="W211" s="242" t="s">
        <v>873</v>
      </c>
      <c r="X211" s="303" t="s">
        <v>16</v>
      </c>
    </row>
    <row r="212" spans="1:24" x14ac:dyDescent="0.2">
      <c r="A212" s="227" t="s">
        <v>694</v>
      </c>
      <c r="B212" s="224" t="s">
        <v>693</v>
      </c>
      <c r="C212" s="242" t="s">
        <v>32</v>
      </c>
      <c r="D212" s="242" t="s">
        <v>1143</v>
      </c>
      <c r="E212" s="242" t="s">
        <v>3421</v>
      </c>
      <c r="F212" s="242" t="s">
        <v>2781</v>
      </c>
      <c r="G212" s="243">
        <v>1.0058</v>
      </c>
      <c r="H212" s="244" t="s">
        <v>3422</v>
      </c>
      <c r="I212" s="243">
        <v>1.0058</v>
      </c>
      <c r="J212" s="244" t="s">
        <v>3423</v>
      </c>
      <c r="K212" s="242" t="s">
        <v>873</v>
      </c>
      <c r="L212" s="242" t="s">
        <v>2705</v>
      </c>
      <c r="M212" s="243">
        <v>1.0058</v>
      </c>
      <c r="N212" s="244" t="s">
        <v>3424</v>
      </c>
      <c r="O212" s="243">
        <v>1.0058</v>
      </c>
      <c r="P212" s="244" t="s">
        <v>2895</v>
      </c>
      <c r="Q212" s="242" t="s">
        <v>873</v>
      </c>
      <c r="R212" s="242" t="s">
        <v>2694</v>
      </c>
      <c r="S212" s="243">
        <v>0</v>
      </c>
      <c r="T212" s="302" t="s">
        <v>16</v>
      </c>
      <c r="U212" s="243">
        <v>0</v>
      </c>
      <c r="V212" s="302" t="s">
        <v>16</v>
      </c>
      <c r="W212" s="242" t="s">
        <v>873</v>
      </c>
      <c r="X212" s="303" t="s">
        <v>16</v>
      </c>
    </row>
    <row r="213" spans="1:24" x14ac:dyDescent="0.2">
      <c r="A213" s="227" t="s">
        <v>700</v>
      </c>
      <c r="B213" s="224" t="s">
        <v>699</v>
      </c>
      <c r="C213" s="242" t="s">
        <v>32</v>
      </c>
      <c r="D213" s="242" t="s">
        <v>1126</v>
      </c>
      <c r="E213" s="242" t="s">
        <v>3430</v>
      </c>
      <c r="F213" s="242" t="s">
        <v>2781</v>
      </c>
      <c r="G213" s="243">
        <v>0</v>
      </c>
      <c r="H213" s="302" t="s">
        <v>16</v>
      </c>
      <c r="I213" s="243">
        <v>0</v>
      </c>
      <c r="J213" s="302" t="s">
        <v>16</v>
      </c>
      <c r="K213" s="242" t="s">
        <v>873</v>
      </c>
      <c r="L213" s="302" t="s">
        <v>16</v>
      </c>
      <c r="M213" s="243">
        <v>0</v>
      </c>
      <c r="N213" s="302" t="s">
        <v>16</v>
      </c>
      <c r="O213" s="243">
        <v>0</v>
      </c>
      <c r="P213" s="302" t="s">
        <v>16</v>
      </c>
      <c r="Q213" s="242" t="s">
        <v>873</v>
      </c>
      <c r="R213" s="302" t="s">
        <v>16</v>
      </c>
      <c r="S213" s="243">
        <v>0</v>
      </c>
      <c r="T213" s="302" t="s">
        <v>16</v>
      </c>
      <c r="U213" s="243">
        <v>0</v>
      </c>
      <c r="V213" s="302" t="s">
        <v>16</v>
      </c>
      <c r="W213" s="242" t="s">
        <v>873</v>
      </c>
      <c r="X213" s="303" t="s">
        <v>16</v>
      </c>
    </row>
    <row r="214" spans="1:24" x14ac:dyDescent="0.2">
      <c r="A214" s="227" t="s">
        <v>706</v>
      </c>
      <c r="B214" s="224" t="s">
        <v>705</v>
      </c>
      <c r="C214" s="242" t="s">
        <v>32</v>
      </c>
      <c r="D214" s="242" t="s">
        <v>1228</v>
      </c>
      <c r="E214" s="242" t="s">
        <v>1294</v>
      </c>
      <c r="F214" s="242" t="s">
        <v>2691</v>
      </c>
      <c r="G214" s="243">
        <v>1.5</v>
      </c>
      <c r="H214" s="244" t="s">
        <v>3436</v>
      </c>
      <c r="I214" s="243">
        <v>1.4419999999999999</v>
      </c>
      <c r="J214" s="302" t="s">
        <v>16</v>
      </c>
      <c r="K214" s="242" t="s">
        <v>872</v>
      </c>
      <c r="L214" s="242" t="s">
        <v>2694</v>
      </c>
      <c r="M214" s="302" t="s">
        <v>16</v>
      </c>
      <c r="N214" s="302" t="s">
        <v>16</v>
      </c>
      <c r="O214" s="302" t="s">
        <v>16</v>
      </c>
      <c r="P214" s="302" t="s">
        <v>16</v>
      </c>
      <c r="Q214" s="242" t="s">
        <v>873</v>
      </c>
      <c r="R214" s="302" t="s">
        <v>16</v>
      </c>
      <c r="S214" s="302" t="s">
        <v>16</v>
      </c>
      <c r="T214" s="302" t="s">
        <v>16</v>
      </c>
      <c r="U214" s="302" t="s">
        <v>16</v>
      </c>
      <c r="V214" s="302" t="s">
        <v>16</v>
      </c>
      <c r="W214" s="242" t="s">
        <v>873</v>
      </c>
      <c r="X214" s="303" t="s">
        <v>16</v>
      </c>
    </row>
    <row r="215" spans="1:24" x14ac:dyDescent="0.2">
      <c r="A215" s="227" t="s">
        <v>718</v>
      </c>
      <c r="B215" s="224" t="s">
        <v>717</v>
      </c>
      <c r="C215" s="242" t="s">
        <v>32</v>
      </c>
      <c r="D215" s="242" t="s">
        <v>1229</v>
      </c>
      <c r="E215" s="242" t="s">
        <v>1296</v>
      </c>
      <c r="F215" s="242" t="s">
        <v>1135</v>
      </c>
      <c r="G215" s="243">
        <v>0.99</v>
      </c>
      <c r="H215" s="244" t="s">
        <v>3450</v>
      </c>
      <c r="I215" s="243">
        <v>0.59</v>
      </c>
      <c r="J215" s="302" t="s">
        <v>16</v>
      </c>
      <c r="K215" s="242" t="s">
        <v>872</v>
      </c>
      <c r="L215" s="242" t="s">
        <v>2694</v>
      </c>
      <c r="M215" s="243">
        <v>0.25</v>
      </c>
      <c r="N215" s="244" t="s">
        <v>3451</v>
      </c>
      <c r="O215" s="243">
        <v>0.25</v>
      </c>
      <c r="P215" s="244" t="s">
        <v>3452</v>
      </c>
      <c r="Q215" s="242" t="s">
        <v>873</v>
      </c>
      <c r="R215" s="242" t="s">
        <v>3453</v>
      </c>
      <c r="S215" s="302" t="s">
        <v>16</v>
      </c>
      <c r="T215" s="302" t="s">
        <v>16</v>
      </c>
      <c r="U215" s="302" t="s">
        <v>16</v>
      </c>
      <c r="V215" s="302" t="s">
        <v>16</v>
      </c>
      <c r="W215" s="242" t="s">
        <v>873</v>
      </c>
      <c r="X215" s="303" t="s">
        <v>16</v>
      </c>
    </row>
    <row r="216" spans="1:24" x14ac:dyDescent="0.2">
      <c r="A216" s="227" t="s">
        <v>724</v>
      </c>
      <c r="B216" s="224" t="s">
        <v>723</v>
      </c>
      <c r="C216" s="242" t="s">
        <v>32</v>
      </c>
      <c r="D216" s="242" t="s">
        <v>1180</v>
      </c>
      <c r="E216" s="242" t="s">
        <v>1298</v>
      </c>
      <c r="F216" s="242" t="s">
        <v>2664</v>
      </c>
      <c r="G216" s="243">
        <v>0.25</v>
      </c>
      <c r="H216" s="244" t="s">
        <v>2816</v>
      </c>
      <c r="I216" s="243">
        <v>0.25</v>
      </c>
      <c r="J216" s="244" t="s">
        <v>3457</v>
      </c>
      <c r="K216" s="242" t="s">
        <v>873</v>
      </c>
      <c r="L216" s="242" t="s">
        <v>2694</v>
      </c>
      <c r="M216" s="243">
        <v>0</v>
      </c>
      <c r="N216" s="302" t="s">
        <v>16</v>
      </c>
      <c r="O216" s="243">
        <v>0</v>
      </c>
      <c r="P216" s="302" t="s">
        <v>16</v>
      </c>
      <c r="Q216" s="242" t="s">
        <v>873</v>
      </c>
      <c r="R216" s="302" t="s">
        <v>16</v>
      </c>
      <c r="S216" s="243">
        <v>0</v>
      </c>
      <c r="T216" s="302" t="s">
        <v>16</v>
      </c>
      <c r="U216" s="243">
        <v>0</v>
      </c>
      <c r="V216" s="302" t="s">
        <v>16</v>
      </c>
      <c r="W216" s="242" t="s">
        <v>873</v>
      </c>
      <c r="X216" s="303" t="s">
        <v>16</v>
      </c>
    </row>
    <row r="217" spans="1:24" x14ac:dyDescent="0.2">
      <c r="A217" s="227" t="s">
        <v>726</v>
      </c>
      <c r="B217" s="224" t="s">
        <v>725</v>
      </c>
      <c r="C217" s="242" t="s">
        <v>32</v>
      </c>
      <c r="D217" s="242" t="s">
        <v>1261</v>
      </c>
      <c r="E217" s="242" t="s">
        <v>1261</v>
      </c>
      <c r="F217" s="242" t="s">
        <v>1135</v>
      </c>
      <c r="G217" s="243">
        <v>0.99560000000000004</v>
      </c>
      <c r="H217" s="244" t="s">
        <v>3458</v>
      </c>
      <c r="I217" s="243">
        <v>0.99560000000000004</v>
      </c>
      <c r="J217" s="244" t="s">
        <v>3459</v>
      </c>
      <c r="K217" s="242" t="s">
        <v>873</v>
      </c>
      <c r="L217" s="242" t="s">
        <v>2694</v>
      </c>
      <c r="M217" s="243">
        <v>0</v>
      </c>
      <c r="N217" s="302" t="s">
        <v>16</v>
      </c>
      <c r="O217" s="243">
        <v>0</v>
      </c>
      <c r="P217" s="302" t="s">
        <v>16</v>
      </c>
      <c r="Q217" s="242" t="s">
        <v>873</v>
      </c>
      <c r="R217" s="302" t="s">
        <v>16</v>
      </c>
      <c r="S217" s="243">
        <v>0</v>
      </c>
      <c r="T217" s="302" t="s">
        <v>16</v>
      </c>
      <c r="U217" s="243">
        <v>0</v>
      </c>
      <c r="V217" s="302" t="s">
        <v>16</v>
      </c>
      <c r="W217" s="242" t="s">
        <v>873</v>
      </c>
      <c r="X217" s="303" t="s">
        <v>16</v>
      </c>
    </row>
    <row r="218" spans="1:24" x14ac:dyDescent="0.2">
      <c r="A218" s="227" t="s">
        <v>742</v>
      </c>
      <c r="B218" s="224" t="s">
        <v>741</v>
      </c>
      <c r="C218" s="242" t="s">
        <v>32</v>
      </c>
      <c r="D218" s="242" t="s">
        <v>1226</v>
      </c>
      <c r="E218" s="242" t="s">
        <v>3476</v>
      </c>
      <c r="F218" s="242" t="s">
        <v>2664</v>
      </c>
      <c r="G218" s="243">
        <v>1.7</v>
      </c>
      <c r="H218" s="244" t="s">
        <v>3477</v>
      </c>
      <c r="I218" s="243">
        <v>1.6398999999999999</v>
      </c>
      <c r="J218" s="302" t="s">
        <v>16</v>
      </c>
      <c r="K218" s="242" t="s">
        <v>872</v>
      </c>
      <c r="L218" s="242" t="s">
        <v>2694</v>
      </c>
      <c r="M218" s="302" t="s">
        <v>16</v>
      </c>
      <c r="N218" s="244" t="s">
        <v>3478</v>
      </c>
      <c r="O218" s="302" t="s">
        <v>16</v>
      </c>
      <c r="P218" s="302" t="s">
        <v>16</v>
      </c>
      <c r="Q218" s="242" t="s">
        <v>873</v>
      </c>
      <c r="R218" s="302" t="s">
        <v>16</v>
      </c>
      <c r="S218" s="302" t="s">
        <v>16</v>
      </c>
      <c r="T218" s="302" t="s">
        <v>16</v>
      </c>
      <c r="U218" s="302" t="s">
        <v>16</v>
      </c>
      <c r="V218" s="302" t="s">
        <v>16</v>
      </c>
      <c r="W218" s="242" t="s">
        <v>873</v>
      </c>
      <c r="X218" s="303" t="s">
        <v>16</v>
      </c>
    </row>
    <row r="219" spans="1:24" x14ac:dyDescent="0.2">
      <c r="A219" s="227" t="s">
        <v>747</v>
      </c>
      <c r="B219" s="224" t="s">
        <v>746</v>
      </c>
      <c r="C219" s="242" t="s">
        <v>32</v>
      </c>
      <c r="D219" s="242" t="s">
        <v>1303</v>
      </c>
      <c r="E219" s="242" t="s">
        <v>3218</v>
      </c>
      <c r="F219" s="242" t="s">
        <v>2836</v>
      </c>
      <c r="G219" s="243">
        <v>0.5</v>
      </c>
      <c r="H219" s="244" t="s">
        <v>2764</v>
      </c>
      <c r="I219" s="243">
        <v>0.5</v>
      </c>
      <c r="J219" s="244" t="s">
        <v>2761</v>
      </c>
      <c r="K219" s="242" t="s">
        <v>873</v>
      </c>
      <c r="L219" s="242" t="s">
        <v>2694</v>
      </c>
      <c r="M219" s="302" t="s">
        <v>16</v>
      </c>
      <c r="N219" s="302" t="s">
        <v>16</v>
      </c>
      <c r="O219" s="302" t="s">
        <v>16</v>
      </c>
      <c r="P219" s="302" t="s">
        <v>16</v>
      </c>
      <c r="Q219" s="242" t="s">
        <v>873</v>
      </c>
      <c r="R219" s="302" t="s">
        <v>16</v>
      </c>
      <c r="S219" s="302" t="s">
        <v>16</v>
      </c>
      <c r="T219" s="302" t="s">
        <v>16</v>
      </c>
      <c r="U219" s="302" t="s">
        <v>16</v>
      </c>
      <c r="V219" s="302" t="s">
        <v>16</v>
      </c>
      <c r="W219" s="242" t="s">
        <v>873</v>
      </c>
      <c r="X219" s="303" t="s">
        <v>16</v>
      </c>
    </row>
    <row r="220" spans="1:24" x14ac:dyDescent="0.2">
      <c r="A220" s="227" t="s">
        <v>749</v>
      </c>
      <c r="B220" s="224" t="s">
        <v>748</v>
      </c>
      <c r="C220" s="242" t="s">
        <v>32</v>
      </c>
      <c r="D220" s="242" t="s">
        <v>1178</v>
      </c>
      <c r="E220" s="242" t="s">
        <v>3481</v>
      </c>
      <c r="F220" s="242" t="s">
        <v>2691</v>
      </c>
      <c r="G220" s="243">
        <v>0.5</v>
      </c>
      <c r="H220" s="244" t="s">
        <v>3482</v>
      </c>
      <c r="I220" s="243">
        <v>0.5</v>
      </c>
      <c r="J220" s="244" t="s">
        <v>3050</v>
      </c>
      <c r="K220" s="242" t="s">
        <v>873</v>
      </c>
      <c r="L220" s="242" t="s">
        <v>2694</v>
      </c>
      <c r="M220" s="243">
        <v>0.4</v>
      </c>
      <c r="N220" s="244" t="s">
        <v>3483</v>
      </c>
      <c r="O220" s="243">
        <v>0.38740000000000002</v>
      </c>
      <c r="P220" s="244" t="s">
        <v>1139</v>
      </c>
      <c r="Q220" s="242" t="s">
        <v>872</v>
      </c>
      <c r="R220" s="242" t="s">
        <v>2694</v>
      </c>
      <c r="S220" s="302" t="s">
        <v>16</v>
      </c>
      <c r="T220" s="244" t="s">
        <v>3483</v>
      </c>
      <c r="U220" s="243">
        <v>0.42</v>
      </c>
      <c r="V220" s="244" t="s">
        <v>3484</v>
      </c>
      <c r="W220" s="242" t="s">
        <v>873</v>
      </c>
      <c r="X220" s="245" t="s">
        <v>2772</v>
      </c>
    </row>
    <row r="221" spans="1:24" x14ac:dyDescent="0.2">
      <c r="A221" s="227" t="s">
        <v>759</v>
      </c>
      <c r="B221" s="224" t="s">
        <v>758</v>
      </c>
      <c r="C221" s="242" t="s">
        <v>32</v>
      </c>
      <c r="D221" s="242" t="s">
        <v>1138</v>
      </c>
      <c r="E221" s="242" t="s">
        <v>3490</v>
      </c>
      <c r="F221" s="242" t="s">
        <v>1135</v>
      </c>
      <c r="G221" s="243">
        <v>0.5</v>
      </c>
      <c r="H221" s="244" t="s">
        <v>2945</v>
      </c>
      <c r="I221" s="243">
        <v>0.49940000000000001</v>
      </c>
      <c r="J221" s="244" t="s">
        <v>3491</v>
      </c>
      <c r="K221" s="242" t="s">
        <v>873</v>
      </c>
      <c r="L221" s="242" t="s">
        <v>2694</v>
      </c>
      <c r="M221" s="302" t="s">
        <v>16</v>
      </c>
      <c r="N221" s="302" t="s">
        <v>16</v>
      </c>
      <c r="O221" s="302" t="s">
        <v>16</v>
      </c>
      <c r="P221" s="302" t="s">
        <v>16</v>
      </c>
      <c r="Q221" s="242" t="s">
        <v>873</v>
      </c>
      <c r="R221" s="242" t="s">
        <v>2694</v>
      </c>
      <c r="S221" s="302" t="s">
        <v>16</v>
      </c>
      <c r="T221" s="302" t="s">
        <v>16</v>
      </c>
      <c r="U221" s="302" t="s">
        <v>16</v>
      </c>
      <c r="V221" s="302" t="s">
        <v>16</v>
      </c>
      <c r="W221" s="242" t="s">
        <v>873</v>
      </c>
      <c r="X221" s="303" t="s">
        <v>16</v>
      </c>
    </row>
    <row r="222" spans="1:24" x14ac:dyDescent="0.2">
      <c r="A222" s="227" t="s">
        <v>763</v>
      </c>
      <c r="B222" s="224" t="s">
        <v>762</v>
      </c>
      <c r="C222" s="242" t="s">
        <v>32</v>
      </c>
      <c r="D222" s="242" t="s">
        <v>1164</v>
      </c>
      <c r="E222" s="242" t="s">
        <v>3492</v>
      </c>
      <c r="F222" s="242" t="s">
        <v>2664</v>
      </c>
      <c r="G222" s="243">
        <v>0.4</v>
      </c>
      <c r="H222" s="244" t="s">
        <v>3493</v>
      </c>
      <c r="I222" s="243">
        <v>0.02</v>
      </c>
      <c r="J222" s="244" t="s">
        <v>3494</v>
      </c>
      <c r="K222" s="242" t="s">
        <v>873</v>
      </c>
      <c r="L222" s="242" t="s">
        <v>2723</v>
      </c>
      <c r="M222" s="243">
        <v>0.4</v>
      </c>
      <c r="N222" s="244" t="s">
        <v>3495</v>
      </c>
      <c r="O222" s="243">
        <v>0.3</v>
      </c>
      <c r="P222" s="244" t="s">
        <v>3496</v>
      </c>
      <c r="Q222" s="242" t="s">
        <v>873</v>
      </c>
      <c r="R222" s="242" t="s">
        <v>2723</v>
      </c>
      <c r="S222" s="302" t="s">
        <v>16</v>
      </c>
      <c r="T222" s="302" t="s">
        <v>16</v>
      </c>
      <c r="U222" s="302" t="s">
        <v>16</v>
      </c>
      <c r="V222" s="302" t="s">
        <v>16</v>
      </c>
      <c r="W222" s="242" t="s">
        <v>873</v>
      </c>
      <c r="X222" s="303" t="s">
        <v>16</v>
      </c>
    </row>
    <row r="223" spans="1:24" x14ac:dyDescent="0.2">
      <c r="A223" s="227" t="s">
        <v>765</v>
      </c>
      <c r="B223" s="224" t="s">
        <v>764</v>
      </c>
      <c r="C223" s="242" t="s">
        <v>32</v>
      </c>
      <c r="D223" s="242" t="s">
        <v>1138</v>
      </c>
      <c r="E223" s="242" t="s">
        <v>3497</v>
      </c>
      <c r="F223" s="242" t="s">
        <v>1135</v>
      </c>
      <c r="G223" s="243">
        <v>0.5</v>
      </c>
      <c r="H223" s="244" t="s">
        <v>2943</v>
      </c>
      <c r="I223" s="243">
        <v>0.5</v>
      </c>
      <c r="J223" s="244" t="s">
        <v>2894</v>
      </c>
      <c r="K223" s="242" t="s">
        <v>873</v>
      </c>
      <c r="L223" s="242" t="s">
        <v>2694</v>
      </c>
      <c r="M223" s="302" t="s">
        <v>16</v>
      </c>
      <c r="N223" s="302" t="s">
        <v>16</v>
      </c>
      <c r="O223" s="302" t="s">
        <v>16</v>
      </c>
      <c r="P223" s="302" t="s">
        <v>16</v>
      </c>
      <c r="Q223" s="242" t="s">
        <v>873</v>
      </c>
      <c r="R223" s="302" t="s">
        <v>16</v>
      </c>
      <c r="S223" s="302" t="s">
        <v>16</v>
      </c>
      <c r="T223" s="302" t="s">
        <v>16</v>
      </c>
      <c r="U223" s="302" t="s">
        <v>16</v>
      </c>
      <c r="V223" s="302" t="s">
        <v>16</v>
      </c>
      <c r="W223" s="242" t="s">
        <v>873</v>
      </c>
      <c r="X223" s="303" t="s">
        <v>16</v>
      </c>
    </row>
    <row r="224" spans="1:24" x14ac:dyDescent="0.2">
      <c r="A224" s="227" t="s">
        <v>773</v>
      </c>
      <c r="B224" s="224" t="s">
        <v>772</v>
      </c>
      <c r="C224" s="242" t="s">
        <v>32</v>
      </c>
      <c r="D224" s="242" t="s">
        <v>1178</v>
      </c>
      <c r="E224" s="242" t="s">
        <v>3505</v>
      </c>
      <c r="F224" s="242" t="s">
        <v>2664</v>
      </c>
      <c r="G224" s="243">
        <v>1</v>
      </c>
      <c r="H224" s="244" t="s">
        <v>3506</v>
      </c>
      <c r="I224" s="243">
        <v>0.83509999999999995</v>
      </c>
      <c r="J224" s="302" t="s">
        <v>16</v>
      </c>
      <c r="K224" s="242" t="s">
        <v>872</v>
      </c>
      <c r="L224" s="242" t="s">
        <v>2723</v>
      </c>
      <c r="M224" s="243">
        <v>0.5</v>
      </c>
      <c r="N224" s="244" t="s">
        <v>2703</v>
      </c>
      <c r="O224" s="243">
        <v>0.5</v>
      </c>
      <c r="P224" s="244" t="s">
        <v>3507</v>
      </c>
      <c r="Q224" s="242" t="s">
        <v>873</v>
      </c>
      <c r="R224" s="242" t="s">
        <v>2723</v>
      </c>
      <c r="S224" s="302" t="s">
        <v>16</v>
      </c>
      <c r="T224" s="302" t="s">
        <v>16</v>
      </c>
      <c r="U224" s="302" t="s">
        <v>16</v>
      </c>
      <c r="V224" s="302" t="s">
        <v>16</v>
      </c>
      <c r="W224" s="242" t="s">
        <v>873</v>
      </c>
      <c r="X224" s="303" t="s">
        <v>16</v>
      </c>
    </row>
    <row r="225" spans="1:24" x14ac:dyDescent="0.2">
      <c r="A225" s="227" t="s">
        <v>803</v>
      </c>
      <c r="B225" s="224" t="s">
        <v>802</v>
      </c>
      <c r="C225" s="242" t="s">
        <v>32</v>
      </c>
      <c r="D225" s="242" t="s">
        <v>1151</v>
      </c>
      <c r="E225" s="242" t="s">
        <v>3530</v>
      </c>
      <c r="F225" s="242" t="s">
        <v>2836</v>
      </c>
      <c r="G225" s="243">
        <v>0</v>
      </c>
      <c r="H225" s="244" t="s">
        <v>891</v>
      </c>
      <c r="I225" s="243">
        <v>0</v>
      </c>
      <c r="J225" s="244" t="s">
        <v>891</v>
      </c>
      <c r="K225" s="242" t="s">
        <v>873</v>
      </c>
      <c r="L225" s="302" t="s">
        <v>16</v>
      </c>
      <c r="M225" s="302" t="s">
        <v>16</v>
      </c>
      <c r="N225" s="302" t="s">
        <v>16</v>
      </c>
      <c r="O225" s="302" t="s">
        <v>16</v>
      </c>
      <c r="P225" s="302" t="s">
        <v>16</v>
      </c>
      <c r="Q225" s="242" t="s">
        <v>873</v>
      </c>
      <c r="R225" s="302" t="s">
        <v>16</v>
      </c>
      <c r="S225" s="302" t="s">
        <v>16</v>
      </c>
      <c r="T225" s="302" t="s">
        <v>16</v>
      </c>
      <c r="U225" s="302" t="s">
        <v>16</v>
      </c>
      <c r="V225" s="302" t="s">
        <v>16</v>
      </c>
      <c r="W225" s="242" t="s">
        <v>873</v>
      </c>
      <c r="X225" s="245" t="s">
        <v>891</v>
      </c>
    </row>
    <row r="226" spans="1:24" x14ac:dyDescent="0.2">
      <c r="A226" s="227" t="s">
        <v>817</v>
      </c>
      <c r="B226" s="224" t="s">
        <v>816</v>
      </c>
      <c r="C226" s="242" t="s">
        <v>32</v>
      </c>
      <c r="D226" s="242" t="s">
        <v>1272</v>
      </c>
      <c r="E226" s="242" t="s">
        <v>3541</v>
      </c>
      <c r="F226" s="242" t="s">
        <v>2691</v>
      </c>
      <c r="G226" s="243">
        <v>0.4</v>
      </c>
      <c r="H226" s="244" t="s">
        <v>2789</v>
      </c>
      <c r="I226" s="243">
        <v>0.4</v>
      </c>
      <c r="J226" s="244" t="s">
        <v>3542</v>
      </c>
      <c r="K226" s="242" t="s">
        <v>873</v>
      </c>
      <c r="L226" s="242" t="s">
        <v>2694</v>
      </c>
      <c r="M226" s="243">
        <v>0</v>
      </c>
      <c r="N226" s="302" t="s">
        <v>16</v>
      </c>
      <c r="O226" s="243">
        <v>0</v>
      </c>
      <c r="P226" s="302" t="s">
        <v>16</v>
      </c>
      <c r="Q226" s="242" t="s">
        <v>873</v>
      </c>
      <c r="R226" s="302" t="s">
        <v>16</v>
      </c>
      <c r="S226" s="243">
        <v>0</v>
      </c>
      <c r="T226" s="302" t="s">
        <v>16</v>
      </c>
      <c r="U226" s="243">
        <v>0</v>
      </c>
      <c r="V226" s="302" t="s">
        <v>16</v>
      </c>
      <c r="W226" s="242" t="s">
        <v>873</v>
      </c>
      <c r="X226" s="303" t="s">
        <v>16</v>
      </c>
    </row>
    <row r="227" spans="1:24" x14ac:dyDescent="0.2">
      <c r="A227" s="227" t="s">
        <v>819</v>
      </c>
      <c r="B227" s="224" t="s">
        <v>818</v>
      </c>
      <c r="C227" s="242" t="s">
        <v>32</v>
      </c>
      <c r="D227" s="242" t="s">
        <v>1196</v>
      </c>
      <c r="E227" s="242" t="s">
        <v>3543</v>
      </c>
      <c r="F227" s="242" t="s">
        <v>2691</v>
      </c>
      <c r="G227" s="243">
        <v>1.5</v>
      </c>
      <c r="H227" s="244" t="s">
        <v>3544</v>
      </c>
      <c r="I227" s="243">
        <v>1.5</v>
      </c>
      <c r="J227" s="244" t="s">
        <v>3545</v>
      </c>
      <c r="K227" s="242" t="s">
        <v>873</v>
      </c>
      <c r="L227" s="242" t="s">
        <v>2723</v>
      </c>
      <c r="M227" s="302" t="s">
        <v>16</v>
      </c>
      <c r="N227" s="302" t="s">
        <v>16</v>
      </c>
      <c r="O227" s="302" t="s">
        <v>16</v>
      </c>
      <c r="P227" s="302" t="s">
        <v>16</v>
      </c>
      <c r="Q227" s="242" t="s">
        <v>873</v>
      </c>
      <c r="R227" s="302" t="s">
        <v>16</v>
      </c>
      <c r="S227" s="302" t="s">
        <v>16</v>
      </c>
      <c r="T227" s="302" t="s">
        <v>16</v>
      </c>
      <c r="U227" s="302" t="s">
        <v>16</v>
      </c>
      <c r="V227" s="302" t="s">
        <v>16</v>
      </c>
      <c r="W227" s="242" t="s">
        <v>873</v>
      </c>
      <c r="X227" s="245" t="s">
        <v>2723</v>
      </c>
    </row>
    <row r="228" spans="1:24" x14ac:dyDescent="0.2">
      <c r="A228" s="227" t="s">
        <v>823</v>
      </c>
      <c r="B228" s="224" t="s">
        <v>822</v>
      </c>
      <c r="C228" s="242" t="s">
        <v>32</v>
      </c>
      <c r="D228" s="242" t="s">
        <v>1195</v>
      </c>
      <c r="E228" s="242" t="s">
        <v>3550</v>
      </c>
      <c r="F228" s="242" t="s">
        <v>2691</v>
      </c>
      <c r="G228" s="243">
        <v>1.5</v>
      </c>
      <c r="H228" s="244" t="s">
        <v>3551</v>
      </c>
      <c r="I228" s="243">
        <v>1.2768999999999999</v>
      </c>
      <c r="J228" s="302" t="s">
        <v>16</v>
      </c>
      <c r="K228" s="242" t="s">
        <v>872</v>
      </c>
      <c r="L228" s="242" t="s">
        <v>2723</v>
      </c>
      <c r="M228" s="243">
        <v>0</v>
      </c>
      <c r="N228" s="244" t="s">
        <v>891</v>
      </c>
      <c r="O228" s="243">
        <v>0</v>
      </c>
      <c r="P228" s="302" t="s">
        <v>16</v>
      </c>
      <c r="Q228" s="242" t="s">
        <v>873</v>
      </c>
      <c r="R228" s="302" t="s">
        <v>16</v>
      </c>
      <c r="S228" s="302" t="s">
        <v>16</v>
      </c>
      <c r="T228" s="302" t="s">
        <v>16</v>
      </c>
      <c r="U228" s="302" t="s">
        <v>16</v>
      </c>
      <c r="V228" s="302" t="s">
        <v>16</v>
      </c>
      <c r="W228" s="242" t="s">
        <v>873</v>
      </c>
      <c r="X228" s="303" t="s">
        <v>16</v>
      </c>
    </row>
    <row r="229" spans="1:24" x14ac:dyDescent="0.2">
      <c r="A229" s="227" t="s">
        <v>825</v>
      </c>
      <c r="B229" s="224" t="s">
        <v>824</v>
      </c>
      <c r="C229" s="242" t="s">
        <v>32</v>
      </c>
      <c r="D229" s="242" t="s">
        <v>1216</v>
      </c>
      <c r="E229" s="242" t="s">
        <v>3552</v>
      </c>
      <c r="F229" s="242" t="s">
        <v>2691</v>
      </c>
      <c r="G229" s="243">
        <v>0.7</v>
      </c>
      <c r="H229" s="244" t="s">
        <v>3553</v>
      </c>
      <c r="I229" s="243">
        <v>0.67969999999999997</v>
      </c>
      <c r="J229" s="244" t="s">
        <v>1145</v>
      </c>
      <c r="K229" s="242" t="s">
        <v>872</v>
      </c>
      <c r="L229" s="242" t="s">
        <v>2694</v>
      </c>
      <c r="M229" s="243">
        <v>0</v>
      </c>
      <c r="N229" s="244" t="s">
        <v>3553</v>
      </c>
      <c r="O229" s="243">
        <v>0.20910000000000001</v>
      </c>
      <c r="P229" s="244" t="s">
        <v>3554</v>
      </c>
      <c r="Q229" s="242" t="s">
        <v>873</v>
      </c>
      <c r="R229" s="242" t="s">
        <v>2772</v>
      </c>
      <c r="S229" s="302" t="s">
        <v>16</v>
      </c>
      <c r="T229" s="302" t="s">
        <v>16</v>
      </c>
      <c r="U229" s="302" t="s">
        <v>16</v>
      </c>
      <c r="V229" s="302" t="s">
        <v>16</v>
      </c>
      <c r="W229" s="242" t="s">
        <v>873</v>
      </c>
      <c r="X229" s="303" t="s">
        <v>16</v>
      </c>
    </row>
    <row r="230" spans="1:24" ht="13.5" thickBot="1" x14ac:dyDescent="0.25">
      <c r="A230" s="227" t="s">
        <v>831</v>
      </c>
      <c r="B230" s="224" t="s">
        <v>830</v>
      </c>
      <c r="C230" s="267" t="s">
        <v>32</v>
      </c>
      <c r="D230" s="267" t="s">
        <v>1178</v>
      </c>
      <c r="E230" s="267" t="s">
        <v>3558</v>
      </c>
      <c r="F230" s="267" t="s">
        <v>2691</v>
      </c>
      <c r="G230" s="268">
        <v>0.5</v>
      </c>
      <c r="H230" s="269" t="s">
        <v>3559</v>
      </c>
      <c r="I230" s="268">
        <v>0.5</v>
      </c>
      <c r="J230" s="269" t="s">
        <v>3560</v>
      </c>
      <c r="K230" s="267" t="s">
        <v>873</v>
      </c>
      <c r="L230" s="267" t="s">
        <v>2694</v>
      </c>
      <c r="M230" s="268">
        <v>0</v>
      </c>
      <c r="N230" s="304" t="s">
        <v>16</v>
      </c>
      <c r="O230" s="268">
        <v>0</v>
      </c>
      <c r="P230" s="304" t="s">
        <v>16</v>
      </c>
      <c r="Q230" s="267" t="s">
        <v>873</v>
      </c>
      <c r="R230" s="304" t="s">
        <v>16</v>
      </c>
      <c r="S230" s="268">
        <v>0</v>
      </c>
      <c r="T230" s="304" t="s">
        <v>16</v>
      </c>
      <c r="U230" s="304" t="s">
        <v>16</v>
      </c>
      <c r="V230" s="304" t="s">
        <v>16</v>
      </c>
      <c r="W230" s="267" t="s">
        <v>873</v>
      </c>
      <c r="X230" s="305" t="s">
        <v>16</v>
      </c>
    </row>
    <row r="231" spans="1:24" x14ac:dyDescent="0.2">
      <c r="A231" s="227" t="s">
        <v>26</v>
      </c>
      <c r="B231" s="266" t="s">
        <v>25</v>
      </c>
      <c r="C231" s="270" t="s">
        <v>29</v>
      </c>
      <c r="D231" s="271" t="s">
        <v>1126</v>
      </c>
      <c r="E231" s="271" t="s">
        <v>2690</v>
      </c>
      <c r="F231" s="271" t="s">
        <v>2691</v>
      </c>
      <c r="G231" s="272">
        <v>2.5</v>
      </c>
      <c r="H231" s="273" t="s">
        <v>2692</v>
      </c>
      <c r="I231" s="272">
        <v>2.5</v>
      </c>
      <c r="J231" s="273" t="s">
        <v>2693</v>
      </c>
      <c r="K231" s="271" t="s">
        <v>873</v>
      </c>
      <c r="L231" s="271" t="s">
        <v>2694</v>
      </c>
      <c r="M231" s="300" t="s">
        <v>16</v>
      </c>
      <c r="N231" s="300" t="s">
        <v>16</v>
      </c>
      <c r="O231" s="300" t="s">
        <v>16</v>
      </c>
      <c r="P231" s="300" t="s">
        <v>16</v>
      </c>
      <c r="Q231" s="271" t="s">
        <v>873</v>
      </c>
      <c r="R231" s="300" t="s">
        <v>16</v>
      </c>
      <c r="S231" s="300" t="s">
        <v>16</v>
      </c>
      <c r="T231" s="300" t="s">
        <v>16</v>
      </c>
      <c r="U231" s="300" t="s">
        <v>16</v>
      </c>
      <c r="V231" s="300" t="s">
        <v>16</v>
      </c>
      <c r="W231" s="271" t="s">
        <v>873</v>
      </c>
      <c r="X231" s="301" t="s">
        <v>16</v>
      </c>
    </row>
    <row r="232" spans="1:24" x14ac:dyDescent="0.2">
      <c r="A232" s="227" t="s">
        <v>42</v>
      </c>
      <c r="B232" s="266" t="s">
        <v>41</v>
      </c>
      <c r="C232" s="274" t="s">
        <v>29</v>
      </c>
      <c r="D232" s="246" t="s">
        <v>1133</v>
      </c>
      <c r="E232" s="246" t="s">
        <v>2711</v>
      </c>
      <c r="F232" s="246" t="s">
        <v>2691</v>
      </c>
      <c r="G232" s="247">
        <v>0.85</v>
      </c>
      <c r="H232" s="248" t="s">
        <v>2712</v>
      </c>
      <c r="I232" s="247">
        <v>0.85</v>
      </c>
      <c r="J232" s="248" t="s">
        <v>2713</v>
      </c>
      <c r="K232" s="246" t="s">
        <v>873</v>
      </c>
      <c r="L232" s="246" t="s">
        <v>2694</v>
      </c>
      <c r="M232" s="247">
        <v>0.95</v>
      </c>
      <c r="N232" s="248" t="s">
        <v>2714</v>
      </c>
      <c r="O232" s="247">
        <v>0.95</v>
      </c>
      <c r="P232" s="248" t="s">
        <v>2715</v>
      </c>
      <c r="Q232" s="246" t="s">
        <v>873</v>
      </c>
      <c r="R232" s="246" t="s">
        <v>2687</v>
      </c>
      <c r="S232" s="302" t="s">
        <v>16</v>
      </c>
      <c r="T232" s="302" t="s">
        <v>16</v>
      </c>
      <c r="U232" s="302" t="s">
        <v>16</v>
      </c>
      <c r="V232" s="302" t="s">
        <v>16</v>
      </c>
      <c r="W232" s="246" t="s">
        <v>873</v>
      </c>
      <c r="X232" s="303" t="s">
        <v>16</v>
      </c>
    </row>
    <row r="233" spans="1:24" x14ac:dyDescent="0.2">
      <c r="A233" s="227" t="s">
        <v>70</v>
      </c>
      <c r="B233" s="266" t="s">
        <v>69</v>
      </c>
      <c r="C233" s="274" t="s">
        <v>29</v>
      </c>
      <c r="D233" s="246" t="s">
        <v>1125</v>
      </c>
      <c r="E233" s="246" t="s">
        <v>2740</v>
      </c>
      <c r="F233" s="246" t="s">
        <v>1135</v>
      </c>
      <c r="G233" s="247">
        <v>1</v>
      </c>
      <c r="H233" s="248" t="s">
        <v>2741</v>
      </c>
      <c r="I233" s="247">
        <v>0.70409999999999995</v>
      </c>
      <c r="J233" s="302" t="s">
        <v>16</v>
      </c>
      <c r="K233" s="246" t="s">
        <v>872</v>
      </c>
      <c r="L233" s="246" t="s">
        <v>2723</v>
      </c>
      <c r="M233" s="302" t="s">
        <v>16</v>
      </c>
      <c r="N233" s="302" t="s">
        <v>16</v>
      </c>
      <c r="O233" s="302" t="s">
        <v>16</v>
      </c>
      <c r="P233" s="302" t="s">
        <v>16</v>
      </c>
      <c r="Q233" s="246" t="s">
        <v>873</v>
      </c>
      <c r="R233" s="302" t="s">
        <v>16</v>
      </c>
      <c r="S233" s="302" t="s">
        <v>16</v>
      </c>
      <c r="T233" s="302" t="s">
        <v>16</v>
      </c>
      <c r="U233" s="302" t="s">
        <v>16</v>
      </c>
      <c r="V233" s="302" t="s">
        <v>16</v>
      </c>
      <c r="W233" s="246" t="s">
        <v>873</v>
      </c>
      <c r="X233" s="303" t="s">
        <v>16</v>
      </c>
    </row>
    <row r="234" spans="1:24" x14ac:dyDescent="0.2">
      <c r="A234" s="227" t="s">
        <v>76</v>
      </c>
      <c r="B234" s="266" t="s">
        <v>75</v>
      </c>
      <c r="C234" s="274" t="s">
        <v>29</v>
      </c>
      <c r="D234" s="246" t="s">
        <v>1134</v>
      </c>
      <c r="E234" s="246" t="s">
        <v>2745</v>
      </c>
      <c r="F234" s="246" t="s">
        <v>2691</v>
      </c>
      <c r="G234" s="247">
        <v>1.6</v>
      </c>
      <c r="H234" s="248" t="s">
        <v>2746</v>
      </c>
      <c r="I234" s="247">
        <v>1.53</v>
      </c>
      <c r="J234" s="302" t="s">
        <v>16</v>
      </c>
      <c r="K234" s="246" t="s">
        <v>872</v>
      </c>
      <c r="L234" s="246" t="s">
        <v>2694</v>
      </c>
      <c r="M234" s="302" t="s">
        <v>16</v>
      </c>
      <c r="N234" s="302" t="s">
        <v>16</v>
      </c>
      <c r="O234" s="302" t="s">
        <v>16</v>
      </c>
      <c r="P234" s="302" t="s">
        <v>16</v>
      </c>
      <c r="Q234" s="246" t="s">
        <v>873</v>
      </c>
      <c r="R234" s="302" t="s">
        <v>16</v>
      </c>
      <c r="S234" s="302" t="s">
        <v>16</v>
      </c>
      <c r="T234" s="302" t="s">
        <v>16</v>
      </c>
      <c r="U234" s="302" t="s">
        <v>16</v>
      </c>
      <c r="V234" s="302" t="s">
        <v>16</v>
      </c>
      <c r="W234" s="246" t="s">
        <v>873</v>
      </c>
      <c r="X234" s="303" t="s">
        <v>16</v>
      </c>
    </row>
    <row r="235" spans="1:24" x14ac:dyDescent="0.2">
      <c r="A235" s="227" t="s">
        <v>96</v>
      </c>
      <c r="B235" s="266" t="s">
        <v>95</v>
      </c>
      <c r="C235" s="274" t="s">
        <v>29</v>
      </c>
      <c r="D235" s="246" t="s">
        <v>1157</v>
      </c>
      <c r="E235" s="246" t="s">
        <v>2773</v>
      </c>
      <c r="F235" s="246" t="s">
        <v>1135</v>
      </c>
      <c r="G235" s="247">
        <v>2</v>
      </c>
      <c r="H235" s="248" t="s">
        <v>2774</v>
      </c>
      <c r="I235" s="247">
        <v>2</v>
      </c>
      <c r="J235" s="248" t="s">
        <v>2775</v>
      </c>
      <c r="K235" s="246" t="s">
        <v>873</v>
      </c>
      <c r="L235" s="246" t="s">
        <v>2694</v>
      </c>
      <c r="M235" s="247">
        <v>1</v>
      </c>
      <c r="N235" s="248" t="s">
        <v>2776</v>
      </c>
      <c r="O235" s="247">
        <v>0</v>
      </c>
      <c r="P235" s="302" t="s">
        <v>16</v>
      </c>
      <c r="Q235" s="246" t="s">
        <v>872</v>
      </c>
      <c r="R235" s="246" t="s">
        <v>2694</v>
      </c>
      <c r="S235" s="247">
        <v>0</v>
      </c>
      <c r="T235" s="302" t="s">
        <v>16</v>
      </c>
      <c r="U235" s="247">
        <v>0</v>
      </c>
      <c r="V235" s="302" t="s">
        <v>16</v>
      </c>
      <c r="W235" s="246" t="s">
        <v>873</v>
      </c>
      <c r="X235" s="303" t="s">
        <v>16</v>
      </c>
    </row>
    <row r="236" spans="1:24" x14ac:dyDescent="0.2">
      <c r="A236" s="227" t="s">
        <v>102</v>
      </c>
      <c r="B236" s="266" t="s">
        <v>101</v>
      </c>
      <c r="C236" s="274" t="s">
        <v>29</v>
      </c>
      <c r="D236" s="246" t="s">
        <v>1125</v>
      </c>
      <c r="E236" s="246" t="s">
        <v>2784</v>
      </c>
      <c r="F236" s="246" t="s">
        <v>1135</v>
      </c>
      <c r="G236" s="247">
        <v>0</v>
      </c>
      <c r="H236" s="302" t="s">
        <v>16</v>
      </c>
      <c r="I236" s="247">
        <v>0</v>
      </c>
      <c r="J236" s="302" t="s">
        <v>16</v>
      </c>
      <c r="K236" s="246" t="s">
        <v>873</v>
      </c>
      <c r="L236" s="302" t="s">
        <v>16</v>
      </c>
      <c r="M236" s="247">
        <v>0</v>
      </c>
      <c r="N236" s="302" t="s">
        <v>16</v>
      </c>
      <c r="O236" s="247">
        <v>0</v>
      </c>
      <c r="P236" s="302" t="s">
        <v>16</v>
      </c>
      <c r="Q236" s="246" t="s">
        <v>873</v>
      </c>
      <c r="R236" s="302" t="s">
        <v>16</v>
      </c>
      <c r="S236" s="247">
        <v>0</v>
      </c>
      <c r="T236" s="302" t="s">
        <v>16</v>
      </c>
      <c r="U236" s="247">
        <v>0</v>
      </c>
      <c r="V236" s="302" t="s">
        <v>16</v>
      </c>
      <c r="W236" s="246" t="s">
        <v>873</v>
      </c>
      <c r="X236" s="303" t="s">
        <v>16</v>
      </c>
    </row>
    <row r="237" spans="1:24" x14ac:dyDescent="0.2">
      <c r="A237" s="227" t="s">
        <v>110</v>
      </c>
      <c r="B237" s="266" t="s">
        <v>109</v>
      </c>
      <c r="C237" s="274" t="s">
        <v>29</v>
      </c>
      <c r="D237" s="246" t="s">
        <v>1151</v>
      </c>
      <c r="E237" s="246" t="s">
        <v>1161</v>
      </c>
      <c r="F237" s="246" t="s">
        <v>1135</v>
      </c>
      <c r="G237" s="247">
        <v>0</v>
      </c>
      <c r="H237" s="248" t="s">
        <v>891</v>
      </c>
      <c r="I237" s="247">
        <v>0</v>
      </c>
      <c r="J237" s="248" t="s">
        <v>891</v>
      </c>
      <c r="K237" s="246" t="s">
        <v>873</v>
      </c>
      <c r="L237" s="246" t="s">
        <v>891</v>
      </c>
      <c r="M237" s="247">
        <v>0</v>
      </c>
      <c r="N237" s="248" t="s">
        <v>891</v>
      </c>
      <c r="O237" s="247">
        <v>0</v>
      </c>
      <c r="P237" s="248" t="s">
        <v>891</v>
      </c>
      <c r="Q237" s="246" t="s">
        <v>873</v>
      </c>
      <c r="R237" s="246" t="s">
        <v>891</v>
      </c>
      <c r="S237" s="247">
        <v>0</v>
      </c>
      <c r="T237" s="248" t="s">
        <v>891</v>
      </c>
      <c r="U237" s="247">
        <v>0</v>
      </c>
      <c r="V237" s="248" t="s">
        <v>891</v>
      </c>
      <c r="W237" s="246" t="s">
        <v>873</v>
      </c>
      <c r="X237" s="249" t="s">
        <v>891</v>
      </c>
    </row>
    <row r="238" spans="1:24" x14ac:dyDescent="0.2">
      <c r="A238" s="227" t="s">
        <v>122</v>
      </c>
      <c r="B238" s="266" t="s">
        <v>121</v>
      </c>
      <c r="C238" s="274" t="s">
        <v>29</v>
      </c>
      <c r="D238" s="246" t="s">
        <v>1125</v>
      </c>
      <c r="E238" s="246" t="s">
        <v>2807</v>
      </c>
      <c r="F238" s="246" t="s">
        <v>2664</v>
      </c>
      <c r="G238" s="247">
        <v>1</v>
      </c>
      <c r="H238" s="248" t="s">
        <v>2808</v>
      </c>
      <c r="I238" s="247">
        <v>0.70779999999999998</v>
      </c>
      <c r="J238" s="302" t="s">
        <v>16</v>
      </c>
      <c r="K238" s="246" t="s">
        <v>872</v>
      </c>
      <c r="L238" s="246" t="s">
        <v>2694</v>
      </c>
      <c r="M238" s="247">
        <v>1</v>
      </c>
      <c r="N238" s="248" t="s">
        <v>2809</v>
      </c>
      <c r="O238" s="247">
        <v>0.15040000000000001</v>
      </c>
      <c r="P238" s="302" t="s">
        <v>16</v>
      </c>
      <c r="Q238" s="246" t="s">
        <v>872</v>
      </c>
      <c r="R238" s="246" t="s">
        <v>2694</v>
      </c>
      <c r="S238" s="247">
        <v>1</v>
      </c>
      <c r="T238" s="248" t="s">
        <v>2810</v>
      </c>
      <c r="U238" s="247">
        <v>0.88719999999999999</v>
      </c>
      <c r="V238" s="302" t="s">
        <v>16</v>
      </c>
      <c r="W238" s="246" t="s">
        <v>872</v>
      </c>
      <c r="X238" s="249" t="s">
        <v>2694</v>
      </c>
    </row>
    <row r="239" spans="1:24" x14ac:dyDescent="0.2">
      <c r="A239" s="227" t="s">
        <v>124</v>
      </c>
      <c r="B239" s="266" t="s">
        <v>123</v>
      </c>
      <c r="C239" s="274" t="s">
        <v>29</v>
      </c>
      <c r="D239" s="246" t="s">
        <v>1164</v>
      </c>
      <c r="E239" s="246" t="s">
        <v>2811</v>
      </c>
      <c r="F239" s="246" t="s">
        <v>2664</v>
      </c>
      <c r="G239" s="247">
        <v>1.5</v>
      </c>
      <c r="H239" s="248" t="s">
        <v>2812</v>
      </c>
      <c r="I239" s="247">
        <v>1.5</v>
      </c>
      <c r="J239" s="248" t="s">
        <v>2813</v>
      </c>
      <c r="K239" s="246" t="s">
        <v>873</v>
      </c>
      <c r="L239" s="246" t="s">
        <v>2694</v>
      </c>
      <c r="M239" s="302" t="s">
        <v>16</v>
      </c>
      <c r="N239" s="302" t="s">
        <v>16</v>
      </c>
      <c r="O239" s="302" t="s">
        <v>16</v>
      </c>
      <c r="P239" s="302" t="s">
        <v>16</v>
      </c>
      <c r="Q239" s="246" t="s">
        <v>873</v>
      </c>
      <c r="R239" s="302" t="s">
        <v>16</v>
      </c>
      <c r="S239" s="302" t="s">
        <v>16</v>
      </c>
      <c r="T239" s="302" t="s">
        <v>16</v>
      </c>
      <c r="U239" s="302" t="s">
        <v>16</v>
      </c>
      <c r="V239" s="302" t="s">
        <v>16</v>
      </c>
      <c r="W239" s="246" t="s">
        <v>873</v>
      </c>
      <c r="X239" s="303" t="s">
        <v>16</v>
      </c>
    </row>
    <row r="240" spans="1:24" x14ac:dyDescent="0.2">
      <c r="A240" s="227" t="s">
        <v>128</v>
      </c>
      <c r="B240" s="266" t="s">
        <v>127</v>
      </c>
      <c r="C240" s="274" t="s">
        <v>29</v>
      </c>
      <c r="D240" s="246" t="s">
        <v>1152</v>
      </c>
      <c r="E240" s="246" t="s">
        <v>2818</v>
      </c>
      <c r="F240" s="246" t="s">
        <v>2691</v>
      </c>
      <c r="G240" s="247">
        <v>0.75</v>
      </c>
      <c r="H240" s="248" t="s">
        <v>2819</v>
      </c>
      <c r="I240" s="247">
        <v>0.75</v>
      </c>
      <c r="J240" s="248" t="s">
        <v>2820</v>
      </c>
      <c r="K240" s="246" t="s">
        <v>873</v>
      </c>
      <c r="L240" s="302" t="s">
        <v>16</v>
      </c>
      <c r="M240" s="302" t="s">
        <v>16</v>
      </c>
      <c r="N240" s="302" t="s">
        <v>16</v>
      </c>
      <c r="O240" s="302" t="s">
        <v>16</v>
      </c>
      <c r="P240" s="302" t="s">
        <v>16</v>
      </c>
      <c r="Q240" s="246" t="s">
        <v>873</v>
      </c>
      <c r="R240" s="302" t="s">
        <v>16</v>
      </c>
      <c r="S240" s="302" t="s">
        <v>16</v>
      </c>
      <c r="T240" s="302" t="s">
        <v>16</v>
      </c>
      <c r="U240" s="302" t="s">
        <v>16</v>
      </c>
      <c r="V240" s="302" t="s">
        <v>16</v>
      </c>
      <c r="W240" s="246" t="s">
        <v>873</v>
      </c>
      <c r="X240" s="303" t="s">
        <v>16</v>
      </c>
    </row>
    <row r="241" spans="1:24" x14ac:dyDescent="0.2">
      <c r="A241" s="227" t="s">
        <v>166</v>
      </c>
      <c r="B241" s="266" t="s">
        <v>165</v>
      </c>
      <c r="C241" s="274" t="s">
        <v>29</v>
      </c>
      <c r="D241" s="246" t="s">
        <v>1133</v>
      </c>
      <c r="E241" s="246" t="s">
        <v>2861</v>
      </c>
      <c r="F241" s="246" t="s">
        <v>2691</v>
      </c>
      <c r="G241" s="247">
        <v>1</v>
      </c>
      <c r="H241" s="248" t="s">
        <v>2862</v>
      </c>
      <c r="I241" s="247">
        <v>0.91590000000000005</v>
      </c>
      <c r="J241" s="248" t="s">
        <v>2862</v>
      </c>
      <c r="K241" s="246" t="s">
        <v>872</v>
      </c>
      <c r="L241" s="246" t="s">
        <v>2694</v>
      </c>
      <c r="M241" s="247">
        <v>0.6</v>
      </c>
      <c r="N241" s="248" t="s">
        <v>2805</v>
      </c>
      <c r="O241" s="247">
        <v>0.59889999999999999</v>
      </c>
      <c r="P241" s="248" t="s">
        <v>2863</v>
      </c>
      <c r="Q241" s="246" t="s">
        <v>873</v>
      </c>
      <c r="R241" s="246" t="s">
        <v>2694</v>
      </c>
      <c r="S241" s="247">
        <v>0.85</v>
      </c>
      <c r="T241" s="248" t="s">
        <v>2864</v>
      </c>
      <c r="U241" s="247">
        <v>0.85</v>
      </c>
      <c r="V241" s="248" t="s">
        <v>2865</v>
      </c>
      <c r="W241" s="246" t="s">
        <v>873</v>
      </c>
      <c r="X241" s="249" t="s">
        <v>2772</v>
      </c>
    </row>
    <row r="242" spans="1:24" x14ac:dyDescent="0.2">
      <c r="A242" s="227" t="s">
        <v>170</v>
      </c>
      <c r="B242" s="266" t="s">
        <v>169</v>
      </c>
      <c r="C242" s="274" t="s">
        <v>29</v>
      </c>
      <c r="D242" s="246" t="s">
        <v>1155</v>
      </c>
      <c r="E242" s="246" t="s">
        <v>2871</v>
      </c>
      <c r="F242" s="246" t="s">
        <v>2691</v>
      </c>
      <c r="G242" s="247">
        <v>0.9</v>
      </c>
      <c r="H242" s="248" t="s">
        <v>2872</v>
      </c>
      <c r="I242" s="247">
        <v>0.9</v>
      </c>
      <c r="J242" s="248" t="s">
        <v>2873</v>
      </c>
      <c r="K242" s="246" t="s">
        <v>873</v>
      </c>
      <c r="L242" s="246" t="s">
        <v>2694</v>
      </c>
      <c r="M242" s="302" t="s">
        <v>16</v>
      </c>
      <c r="N242" s="302" t="s">
        <v>16</v>
      </c>
      <c r="O242" s="302" t="s">
        <v>16</v>
      </c>
      <c r="P242" s="302" t="s">
        <v>16</v>
      </c>
      <c r="Q242" s="302" t="s">
        <v>16</v>
      </c>
      <c r="R242" s="302" t="s">
        <v>16</v>
      </c>
      <c r="S242" s="302" t="s">
        <v>16</v>
      </c>
      <c r="T242" s="302" t="s">
        <v>16</v>
      </c>
      <c r="U242" s="302" t="s">
        <v>16</v>
      </c>
      <c r="V242" s="302" t="s">
        <v>16</v>
      </c>
      <c r="W242" s="302" t="s">
        <v>16</v>
      </c>
      <c r="X242" s="303" t="s">
        <v>16</v>
      </c>
    </row>
    <row r="243" spans="1:24" x14ac:dyDescent="0.2">
      <c r="A243" s="227" t="s">
        <v>174</v>
      </c>
      <c r="B243" s="266" t="s">
        <v>173</v>
      </c>
      <c r="C243" s="274" t="s">
        <v>29</v>
      </c>
      <c r="D243" s="246" t="s">
        <v>1184</v>
      </c>
      <c r="E243" s="246" t="s">
        <v>2875</v>
      </c>
      <c r="F243" s="246" t="s">
        <v>2691</v>
      </c>
      <c r="G243" s="247">
        <v>0.75</v>
      </c>
      <c r="H243" s="248" t="s">
        <v>2876</v>
      </c>
      <c r="I243" s="247">
        <v>0.64459999999999995</v>
      </c>
      <c r="J243" s="302" t="s">
        <v>16</v>
      </c>
      <c r="K243" s="246" t="s">
        <v>872</v>
      </c>
      <c r="L243" s="246" t="s">
        <v>2694</v>
      </c>
      <c r="M243" s="302" t="s">
        <v>16</v>
      </c>
      <c r="N243" s="248" t="s">
        <v>2877</v>
      </c>
      <c r="O243" s="247">
        <v>0.40899999999999997</v>
      </c>
      <c r="P243" s="248" t="s">
        <v>2878</v>
      </c>
      <c r="Q243" s="246" t="s">
        <v>873</v>
      </c>
      <c r="R243" s="246" t="s">
        <v>2772</v>
      </c>
      <c r="S243" s="247">
        <v>0.10249999999999999</v>
      </c>
      <c r="T243" s="248" t="s">
        <v>2879</v>
      </c>
      <c r="U243" s="247">
        <v>0.10199999999999999</v>
      </c>
      <c r="V243" s="302" t="s">
        <v>16</v>
      </c>
      <c r="W243" s="246" t="s">
        <v>872</v>
      </c>
      <c r="X243" s="249" t="s">
        <v>2694</v>
      </c>
    </row>
    <row r="244" spans="1:24" x14ac:dyDescent="0.2">
      <c r="A244" s="227" t="s">
        <v>176</v>
      </c>
      <c r="B244" s="266" t="s">
        <v>175</v>
      </c>
      <c r="C244" s="274" t="s">
        <v>29</v>
      </c>
      <c r="D244" s="246" t="s">
        <v>1144</v>
      </c>
      <c r="E244" s="246" t="s">
        <v>16</v>
      </c>
      <c r="F244" s="246" t="s">
        <v>2691</v>
      </c>
      <c r="G244" s="247">
        <v>1.75</v>
      </c>
      <c r="H244" s="248" t="s">
        <v>2880</v>
      </c>
      <c r="I244" s="247">
        <v>1.6168</v>
      </c>
      <c r="J244" s="248" t="s">
        <v>2761</v>
      </c>
      <c r="K244" s="246" t="s">
        <v>873</v>
      </c>
      <c r="L244" s="246" t="s">
        <v>2694</v>
      </c>
      <c r="M244" s="247">
        <v>0.7</v>
      </c>
      <c r="N244" s="248" t="s">
        <v>2881</v>
      </c>
      <c r="O244" s="247">
        <v>0.7</v>
      </c>
      <c r="P244" s="248" t="s">
        <v>2882</v>
      </c>
      <c r="Q244" s="246" t="s">
        <v>873</v>
      </c>
      <c r="R244" s="246" t="s">
        <v>2772</v>
      </c>
      <c r="S244" s="247">
        <v>0.32</v>
      </c>
      <c r="T244" s="248" t="s">
        <v>2848</v>
      </c>
      <c r="U244" s="247">
        <v>0.317</v>
      </c>
      <c r="V244" s="248" t="s">
        <v>2761</v>
      </c>
      <c r="W244" s="246" t="s">
        <v>873</v>
      </c>
      <c r="X244" s="249" t="s">
        <v>2694</v>
      </c>
    </row>
    <row r="245" spans="1:24" x14ac:dyDescent="0.2">
      <c r="A245" s="227" t="s">
        <v>190</v>
      </c>
      <c r="B245" s="266" t="s">
        <v>189</v>
      </c>
      <c r="C245" s="274" t="s">
        <v>29</v>
      </c>
      <c r="D245" s="246" t="s">
        <v>1157</v>
      </c>
      <c r="E245" s="246" t="s">
        <v>1188</v>
      </c>
      <c r="F245" s="246" t="s">
        <v>2691</v>
      </c>
      <c r="G245" s="247">
        <v>1.45</v>
      </c>
      <c r="H245" s="248" t="s">
        <v>2893</v>
      </c>
      <c r="I245" s="247">
        <v>0.95</v>
      </c>
      <c r="J245" s="248" t="s">
        <v>2894</v>
      </c>
      <c r="K245" s="246" t="s">
        <v>873</v>
      </c>
      <c r="L245" s="246" t="s">
        <v>2772</v>
      </c>
      <c r="M245" s="247">
        <v>1</v>
      </c>
      <c r="N245" s="248" t="s">
        <v>2893</v>
      </c>
      <c r="O245" s="247">
        <v>0.89659999999999995</v>
      </c>
      <c r="P245" s="248" t="s">
        <v>2894</v>
      </c>
      <c r="Q245" s="246" t="s">
        <v>873</v>
      </c>
      <c r="R245" s="246" t="s">
        <v>2694</v>
      </c>
      <c r="S245" s="302" t="s">
        <v>16</v>
      </c>
      <c r="T245" s="302" t="s">
        <v>16</v>
      </c>
      <c r="U245" s="302" t="s">
        <v>16</v>
      </c>
      <c r="V245" s="302" t="s">
        <v>16</v>
      </c>
      <c r="W245" s="246" t="s">
        <v>873</v>
      </c>
      <c r="X245" s="303" t="s">
        <v>16</v>
      </c>
    </row>
    <row r="246" spans="1:24" x14ac:dyDescent="0.2">
      <c r="A246" s="227" t="s">
        <v>200</v>
      </c>
      <c r="B246" s="266" t="s">
        <v>199</v>
      </c>
      <c r="C246" s="274" t="s">
        <v>29</v>
      </c>
      <c r="D246" s="246" t="s">
        <v>1149</v>
      </c>
      <c r="E246" s="246" t="s">
        <v>1191</v>
      </c>
      <c r="F246" s="246" t="s">
        <v>2664</v>
      </c>
      <c r="G246" s="247">
        <v>1.4854000000000001</v>
      </c>
      <c r="H246" s="248" t="s">
        <v>2908</v>
      </c>
      <c r="I246" s="247">
        <v>1.4854000000000001</v>
      </c>
      <c r="J246" s="302" t="s">
        <v>16</v>
      </c>
      <c r="K246" s="246" t="s">
        <v>872</v>
      </c>
      <c r="L246" s="302" t="s">
        <v>16</v>
      </c>
      <c r="M246" s="247">
        <v>0</v>
      </c>
      <c r="N246" s="302" t="s">
        <v>16</v>
      </c>
      <c r="O246" s="247">
        <v>0</v>
      </c>
      <c r="P246" s="302" t="s">
        <v>16</v>
      </c>
      <c r="Q246" s="246" t="s">
        <v>873</v>
      </c>
      <c r="R246" s="302" t="s">
        <v>16</v>
      </c>
      <c r="S246" s="302" t="s">
        <v>16</v>
      </c>
      <c r="T246" s="302" t="s">
        <v>16</v>
      </c>
      <c r="U246" s="302" t="s">
        <v>16</v>
      </c>
      <c r="V246" s="302" t="s">
        <v>16</v>
      </c>
      <c r="W246" s="246" t="s">
        <v>873</v>
      </c>
      <c r="X246" s="303" t="s">
        <v>16</v>
      </c>
    </row>
    <row r="247" spans="1:24" x14ac:dyDescent="0.2">
      <c r="A247" s="227" t="s">
        <v>206</v>
      </c>
      <c r="B247" s="266" t="s">
        <v>205</v>
      </c>
      <c r="C247" s="274" t="s">
        <v>29</v>
      </c>
      <c r="D247" s="246" t="s">
        <v>1193</v>
      </c>
      <c r="E247" s="246" t="s">
        <v>2915</v>
      </c>
      <c r="F247" s="246" t="s">
        <v>1124</v>
      </c>
      <c r="G247" s="247">
        <v>0.48449999999999999</v>
      </c>
      <c r="H247" s="248" t="s">
        <v>2916</v>
      </c>
      <c r="I247" s="247">
        <v>0.44579999999999997</v>
      </c>
      <c r="J247" s="248" t="s">
        <v>2761</v>
      </c>
      <c r="K247" s="246" t="s">
        <v>873</v>
      </c>
      <c r="L247" s="246" t="s">
        <v>2723</v>
      </c>
      <c r="M247" s="247">
        <v>0</v>
      </c>
      <c r="N247" s="302" t="s">
        <v>16</v>
      </c>
      <c r="O247" s="247">
        <v>0</v>
      </c>
      <c r="P247" s="302" t="s">
        <v>16</v>
      </c>
      <c r="Q247" s="246" t="s">
        <v>873</v>
      </c>
      <c r="R247" s="302" t="s">
        <v>16</v>
      </c>
      <c r="S247" s="247">
        <v>0</v>
      </c>
      <c r="T247" s="302" t="s">
        <v>16</v>
      </c>
      <c r="U247" s="247">
        <v>0</v>
      </c>
      <c r="V247" s="302" t="s">
        <v>16</v>
      </c>
      <c r="W247" s="246" t="s">
        <v>873</v>
      </c>
      <c r="X247" s="303" t="s">
        <v>16</v>
      </c>
    </row>
    <row r="248" spans="1:24" x14ac:dyDescent="0.2">
      <c r="A248" s="227" t="s">
        <v>235</v>
      </c>
      <c r="B248" s="266" t="s">
        <v>234</v>
      </c>
      <c r="C248" s="274" t="s">
        <v>29</v>
      </c>
      <c r="D248" s="246" t="s">
        <v>1152</v>
      </c>
      <c r="E248" s="246" t="s">
        <v>1202</v>
      </c>
      <c r="F248" s="246" t="s">
        <v>2691</v>
      </c>
      <c r="G248" s="247">
        <v>0.99980000000000002</v>
      </c>
      <c r="H248" s="248" t="s">
        <v>2945</v>
      </c>
      <c r="I248" s="247">
        <v>0.99239999999999995</v>
      </c>
      <c r="J248" s="248" t="s">
        <v>2946</v>
      </c>
      <c r="K248" s="246" t="s">
        <v>873</v>
      </c>
      <c r="L248" s="246" t="s">
        <v>2694</v>
      </c>
      <c r="M248" s="247">
        <v>0</v>
      </c>
      <c r="N248" s="302" t="s">
        <v>16</v>
      </c>
      <c r="O248" s="247">
        <v>0</v>
      </c>
      <c r="P248" s="302" t="s">
        <v>16</v>
      </c>
      <c r="Q248" s="246" t="s">
        <v>873</v>
      </c>
      <c r="R248" s="246" t="s">
        <v>2694</v>
      </c>
      <c r="S248" s="302" t="s">
        <v>16</v>
      </c>
      <c r="T248" s="302" t="s">
        <v>16</v>
      </c>
      <c r="U248" s="247">
        <v>0</v>
      </c>
      <c r="V248" s="302" t="s">
        <v>16</v>
      </c>
      <c r="W248" s="246" t="s">
        <v>873</v>
      </c>
      <c r="X248" s="303" t="s">
        <v>16</v>
      </c>
    </row>
    <row r="249" spans="1:24" x14ac:dyDescent="0.2">
      <c r="A249" s="227" t="s">
        <v>237</v>
      </c>
      <c r="B249" s="266" t="s">
        <v>236</v>
      </c>
      <c r="C249" s="274" t="s">
        <v>29</v>
      </c>
      <c r="D249" s="246" t="s">
        <v>1144</v>
      </c>
      <c r="E249" s="246" t="s">
        <v>2947</v>
      </c>
      <c r="F249" s="246" t="s">
        <v>2691</v>
      </c>
      <c r="G249" s="247">
        <v>0.5</v>
      </c>
      <c r="H249" s="248" t="s">
        <v>2948</v>
      </c>
      <c r="I249" s="247">
        <v>0.42820000000000003</v>
      </c>
      <c r="J249" s="248" t="s">
        <v>1145</v>
      </c>
      <c r="K249" s="246" t="s">
        <v>872</v>
      </c>
      <c r="L249" s="246" t="s">
        <v>2694</v>
      </c>
      <c r="M249" s="247">
        <v>0.7</v>
      </c>
      <c r="N249" s="248" t="s">
        <v>2949</v>
      </c>
      <c r="O249" s="247">
        <v>0.68010000000000004</v>
      </c>
      <c r="P249" s="248" t="s">
        <v>2950</v>
      </c>
      <c r="Q249" s="246" t="s">
        <v>873</v>
      </c>
      <c r="R249" s="246" t="s">
        <v>2694</v>
      </c>
      <c r="S249" s="247">
        <v>0</v>
      </c>
      <c r="T249" s="248" t="s">
        <v>2951</v>
      </c>
      <c r="U249" s="247">
        <v>0.41</v>
      </c>
      <c r="V249" s="248" t="s">
        <v>2952</v>
      </c>
      <c r="W249" s="246" t="s">
        <v>873</v>
      </c>
      <c r="X249" s="249" t="s">
        <v>2772</v>
      </c>
    </row>
    <row r="250" spans="1:24" x14ac:dyDescent="0.2">
      <c r="A250" s="227" t="s">
        <v>245</v>
      </c>
      <c r="B250" s="266" t="s">
        <v>244</v>
      </c>
      <c r="C250" s="274" t="s">
        <v>29</v>
      </c>
      <c r="D250" s="246" t="s">
        <v>1179</v>
      </c>
      <c r="E250" s="246" t="s">
        <v>2957</v>
      </c>
      <c r="F250" s="246" t="s">
        <v>2691</v>
      </c>
      <c r="G250" s="247">
        <v>0.75</v>
      </c>
      <c r="H250" s="248" t="s">
        <v>2958</v>
      </c>
      <c r="I250" s="247">
        <v>0.70689999999999997</v>
      </c>
      <c r="J250" s="302" t="s">
        <v>16</v>
      </c>
      <c r="K250" s="246" t="s">
        <v>872</v>
      </c>
      <c r="L250" s="246" t="s">
        <v>2723</v>
      </c>
      <c r="M250" s="247">
        <v>1</v>
      </c>
      <c r="N250" s="248" t="s">
        <v>2959</v>
      </c>
      <c r="O250" s="247">
        <v>1</v>
      </c>
      <c r="P250" s="248" t="s">
        <v>2960</v>
      </c>
      <c r="Q250" s="246" t="s">
        <v>873</v>
      </c>
      <c r="R250" s="246" t="s">
        <v>2705</v>
      </c>
      <c r="S250" s="247">
        <v>0</v>
      </c>
      <c r="T250" s="302" t="s">
        <v>16</v>
      </c>
      <c r="U250" s="247">
        <v>0</v>
      </c>
      <c r="V250" s="302" t="s">
        <v>16</v>
      </c>
      <c r="W250" s="246" t="s">
        <v>873</v>
      </c>
      <c r="X250" s="303" t="s">
        <v>16</v>
      </c>
    </row>
    <row r="251" spans="1:24" x14ac:dyDescent="0.2">
      <c r="A251" s="227" t="s">
        <v>255</v>
      </c>
      <c r="B251" s="266" t="s">
        <v>254</v>
      </c>
      <c r="C251" s="274" t="s">
        <v>29</v>
      </c>
      <c r="D251" s="246" t="s">
        <v>1155</v>
      </c>
      <c r="E251" s="246" t="s">
        <v>2971</v>
      </c>
      <c r="F251" s="246" t="s">
        <v>2691</v>
      </c>
      <c r="G251" s="247">
        <v>1</v>
      </c>
      <c r="H251" s="248" t="s">
        <v>2972</v>
      </c>
      <c r="I251" s="247">
        <v>1</v>
      </c>
      <c r="J251" s="248" t="s">
        <v>2973</v>
      </c>
      <c r="K251" s="246" t="s">
        <v>873</v>
      </c>
      <c r="L251" s="246" t="s">
        <v>2694</v>
      </c>
      <c r="M251" s="247">
        <v>0</v>
      </c>
      <c r="N251" s="248" t="s">
        <v>1145</v>
      </c>
      <c r="O251" s="247">
        <v>0</v>
      </c>
      <c r="P251" s="248" t="s">
        <v>1145</v>
      </c>
      <c r="Q251" s="302" t="s">
        <v>16</v>
      </c>
      <c r="R251" s="246" t="s">
        <v>1145</v>
      </c>
      <c r="S251" s="247">
        <v>0</v>
      </c>
      <c r="T251" s="248" t="s">
        <v>1145</v>
      </c>
      <c r="U251" s="247">
        <v>0</v>
      </c>
      <c r="V251" s="248" t="s">
        <v>1145</v>
      </c>
      <c r="W251" s="246" t="s">
        <v>873</v>
      </c>
      <c r="X251" s="249" t="s">
        <v>1145</v>
      </c>
    </row>
    <row r="252" spans="1:24" x14ac:dyDescent="0.2">
      <c r="A252" s="227" t="s">
        <v>271</v>
      </c>
      <c r="B252" s="266" t="s">
        <v>270</v>
      </c>
      <c r="C252" s="274" t="s">
        <v>29</v>
      </c>
      <c r="D252" s="246" t="s">
        <v>1199</v>
      </c>
      <c r="E252" s="246" t="s">
        <v>2982</v>
      </c>
      <c r="F252" s="246" t="s">
        <v>1135</v>
      </c>
      <c r="G252" s="247">
        <v>0</v>
      </c>
      <c r="H252" s="302" t="s">
        <v>16</v>
      </c>
      <c r="I252" s="247">
        <v>0</v>
      </c>
      <c r="J252" s="302" t="s">
        <v>16</v>
      </c>
      <c r="K252" s="246" t="s">
        <v>873</v>
      </c>
      <c r="L252" s="302" t="s">
        <v>16</v>
      </c>
      <c r="M252" s="247">
        <v>0</v>
      </c>
      <c r="N252" s="302" t="s">
        <v>16</v>
      </c>
      <c r="O252" s="247">
        <v>0</v>
      </c>
      <c r="P252" s="302" t="s">
        <v>16</v>
      </c>
      <c r="Q252" s="246" t="s">
        <v>873</v>
      </c>
      <c r="R252" s="302" t="s">
        <v>16</v>
      </c>
      <c r="S252" s="247">
        <v>0</v>
      </c>
      <c r="T252" s="302" t="s">
        <v>16</v>
      </c>
      <c r="U252" s="247">
        <v>0</v>
      </c>
      <c r="V252" s="302" t="s">
        <v>16</v>
      </c>
      <c r="W252" s="246" t="s">
        <v>873</v>
      </c>
      <c r="X252" s="303" t="s">
        <v>16</v>
      </c>
    </row>
    <row r="253" spans="1:24" x14ac:dyDescent="0.2">
      <c r="A253" s="227" t="s">
        <v>279</v>
      </c>
      <c r="B253" s="266" t="s">
        <v>278</v>
      </c>
      <c r="C253" s="274" t="s">
        <v>29</v>
      </c>
      <c r="D253" s="246" t="s">
        <v>1133</v>
      </c>
      <c r="E253" s="246" t="s">
        <v>2994</v>
      </c>
      <c r="F253" s="246" t="s">
        <v>2691</v>
      </c>
      <c r="G253" s="247">
        <v>0.6</v>
      </c>
      <c r="H253" s="248" t="s">
        <v>2995</v>
      </c>
      <c r="I253" s="247">
        <v>0.6</v>
      </c>
      <c r="J253" s="248" t="s">
        <v>2996</v>
      </c>
      <c r="K253" s="246" t="s">
        <v>873</v>
      </c>
      <c r="L253" s="246" t="s">
        <v>2694</v>
      </c>
      <c r="M253" s="302" t="s">
        <v>16</v>
      </c>
      <c r="N253" s="302" t="s">
        <v>16</v>
      </c>
      <c r="O253" s="302" t="s">
        <v>16</v>
      </c>
      <c r="P253" s="302" t="s">
        <v>16</v>
      </c>
      <c r="Q253" s="246" t="s">
        <v>873</v>
      </c>
      <c r="R253" s="302" t="s">
        <v>16</v>
      </c>
      <c r="S253" s="302" t="s">
        <v>16</v>
      </c>
      <c r="T253" s="302" t="s">
        <v>16</v>
      </c>
      <c r="U253" s="302" t="s">
        <v>16</v>
      </c>
      <c r="V253" s="302" t="s">
        <v>16</v>
      </c>
      <c r="W253" s="246" t="s">
        <v>873</v>
      </c>
      <c r="X253" s="303" t="s">
        <v>16</v>
      </c>
    </row>
    <row r="254" spans="1:24" x14ac:dyDescent="0.2">
      <c r="A254" s="227" t="s">
        <v>281</v>
      </c>
      <c r="B254" s="266" t="s">
        <v>280</v>
      </c>
      <c r="C254" s="274" t="s">
        <v>29</v>
      </c>
      <c r="D254" s="246" t="s">
        <v>1125</v>
      </c>
      <c r="E254" s="246" t="s">
        <v>2997</v>
      </c>
      <c r="F254" s="246" t="s">
        <v>2691</v>
      </c>
      <c r="G254" s="247">
        <v>3.5</v>
      </c>
      <c r="H254" s="248" t="s">
        <v>2998</v>
      </c>
      <c r="I254" s="247">
        <v>3.2</v>
      </c>
      <c r="J254" s="248" t="s">
        <v>2999</v>
      </c>
      <c r="K254" s="246" t="s">
        <v>873</v>
      </c>
      <c r="L254" s="246" t="s">
        <v>2694</v>
      </c>
      <c r="M254" s="302" t="s">
        <v>16</v>
      </c>
      <c r="N254" s="302" t="s">
        <v>16</v>
      </c>
      <c r="O254" s="302" t="s">
        <v>16</v>
      </c>
      <c r="P254" s="302" t="s">
        <v>16</v>
      </c>
      <c r="Q254" s="302" t="s">
        <v>16</v>
      </c>
      <c r="R254" s="302" t="s">
        <v>16</v>
      </c>
      <c r="S254" s="302" t="s">
        <v>16</v>
      </c>
      <c r="T254" s="302" t="s">
        <v>16</v>
      </c>
      <c r="U254" s="302" t="s">
        <v>16</v>
      </c>
      <c r="V254" s="302" t="s">
        <v>16</v>
      </c>
      <c r="W254" s="302" t="s">
        <v>16</v>
      </c>
      <c r="X254" s="303" t="s">
        <v>16</v>
      </c>
    </row>
    <row r="255" spans="1:24" x14ac:dyDescent="0.2">
      <c r="A255" s="227" t="s">
        <v>285</v>
      </c>
      <c r="B255" s="266" t="s">
        <v>284</v>
      </c>
      <c r="C255" s="274" t="s">
        <v>29</v>
      </c>
      <c r="D255" s="246" t="s">
        <v>1178</v>
      </c>
      <c r="E255" s="246" t="s">
        <v>16</v>
      </c>
      <c r="F255" s="246" t="s">
        <v>2691</v>
      </c>
      <c r="G255" s="247">
        <v>0.75</v>
      </c>
      <c r="H255" s="248" t="s">
        <v>3000</v>
      </c>
      <c r="I255" s="247">
        <v>0.72540000000000004</v>
      </c>
      <c r="J255" s="248" t="s">
        <v>3001</v>
      </c>
      <c r="K255" s="246" t="s">
        <v>872</v>
      </c>
      <c r="L255" s="246" t="s">
        <v>2694</v>
      </c>
      <c r="M255" s="302" t="s">
        <v>16</v>
      </c>
      <c r="N255" s="248" t="s">
        <v>3000</v>
      </c>
      <c r="O255" s="247">
        <v>0.32400000000000001</v>
      </c>
      <c r="P255" s="248" t="s">
        <v>3002</v>
      </c>
      <c r="Q255" s="246" t="s">
        <v>873</v>
      </c>
      <c r="R255" s="246" t="s">
        <v>3002</v>
      </c>
      <c r="S255" s="247">
        <v>0.5</v>
      </c>
      <c r="T255" s="248" t="s">
        <v>3003</v>
      </c>
      <c r="U255" s="247">
        <v>0.5</v>
      </c>
      <c r="V255" s="248" t="s">
        <v>2813</v>
      </c>
      <c r="W255" s="246" t="s">
        <v>873</v>
      </c>
      <c r="X255" s="249" t="s">
        <v>1124</v>
      </c>
    </row>
    <row r="256" spans="1:24" x14ac:dyDescent="0.2">
      <c r="A256" s="227" t="s">
        <v>287</v>
      </c>
      <c r="B256" s="266" t="s">
        <v>286</v>
      </c>
      <c r="C256" s="274" t="s">
        <v>29</v>
      </c>
      <c r="D256" s="246" t="s">
        <v>1134</v>
      </c>
      <c r="E256" s="246" t="s">
        <v>3004</v>
      </c>
      <c r="F256" s="246" t="s">
        <v>1135</v>
      </c>
      <c r="G256" s="247">
        <v>1</v>
      </c>
      <c r="H256" s="248" t="s">
        <v>3005</v>
      </c>
      <c r="I256" s="247">
        <v>1</v>
      </c>
      <c r="J256" s="302" t="s">
        <v>16</v>
      </c>
      <c r="K256" s="246" t="s">
        <v>872</v>
      </c>
      <c r="L256" s="246" t="s">
        <v>2694</v>
      </c>
      <c r="M256" s="247">
        <v>0.5</v>
      </c>
      <c r="N256" s="248" t="s">
        <v>3006</v>
      </c>
      <c r="O256" s="247">
        <v>0</v>
      </c>
      <c r="P256" s="248" t="s">
        <v>3007</v>
      </c>
      <c r="Q256" s="246" t="s">
        <v>873</v>
      </c>
      <c r="R256" s="246" t="s">
        <v>2694</v>
      </c>
      <c r="S256" s="247">
        <v>0</v>
      </c>
      <c r="T256" s="302" t="s">
        <v>16</v>
      </c>
      <c r="U256" s="247">
        <v>0</v>
      </c>
      <c r="V256" s="302" t="s">
        <v>16</v>
      </c>
      <c r="W256" s="246" t="s">
        <v>873</v>
      </c>
      <c r="X256" s="303" t="s">
        <v>16</v>
      </c>
    </row>
    <row r="257" spans="1:24" x14ac:dyDescent="0.2">
      <c r="A257" s="227" t="s">
        <v>295</v>
      </c>
      <c r="B257" s="266" t="s">
        <v>294</v>
      </c>
      <c r="C257" s="274" t="s">
        <v>29</v>
      </c>
      <c r="D257" s="246" t="s">
        <v>1165</v>
      </c>
      <c r="E257" s="246" t="s">
        <v>3014</v>
      </c>
      <c r="F257" s="246" t="s">
        <v>2691</v>
      </c>
      <c r="G257" s="247">
        <v>1</v>
      </c>
      <c r="H257" s="248" t="s">
        <v>2755</v>
      </c>
      <c r="I257" s="247">
        <v>1</v>
      </c>
      <c r="J257" s="248" t="s">
        <v>3015</v>
      </c>
      <c r="K257" s="246" t="s">
        <v>873</v>
      </c>
      <c r="L257" s="246" t="s">
        <v>2687</v>
      </c>
      <c r="M257" s="247">
        <v>0.5</v>
      </c>
      <c r="N257" s="248" t="s">
        <v>3016</v>
      </c>
      <c r="O257" s="247">
        <v>0</v>
      </c>
      <c r="P257" s="248" t="s">
        <v>891</v>
      </c>
      <c r="Q257" s="246" t="s">
        <v>872</v>
      </c>
      <c r="R257" s="246" t="s">
        <v>2687</v>
      </c>
      <c r="S257" s="302" t="s">
        <v>16</v>
      </c>
      <c r="T257" s="302" t="s">
        <v>16</v>
      </c>
      <c r="U257" s="302" t="s">
        <v>16</v>
      </c>
      <c r="V257" s="302" t="s">
        <v>16</v>
      </c>
      <c r="W257" s="246" t="s">
        <v>873</v>
      </c>
      <c r="X257" s="303" t="s">
        <v>16</v>
      </c>
    </row>
    <row r="258" spans="1:24" x14ac:dyDescent="0.2">
      <c r="A258" s="227" t="s">
        <v>301</v>
      </c>
      <c r="B258" s="266" t="s">
        <v>300</v>
      </c>
      <c r="C258" s="274" t="s">
        <v>29</v>
      </c>
      <c r="D258" s="246" t="s">
        <v>1146</v>
      </c>
      <c r="E258" s="246" t="s">
        <v>3022</v>
      </c>
      <c r="F258" s="246" t="s">
        <v>1135</v>
      </c>
      <c r="G258" s="247">
        <v>1</v>
      </c>
      <c r="H258" s="248" t="s">
        <v>3023</v>
      </c>
      <c r="I258" s="247">
        <v>1</v>
      </c>
      <c r="J258" s="302" t="s">
        <v>16</v>
      </c>
      <c r="K258" s="246" t="s">
        <v>872</v>
      </c>
      <c r="L258" s="246" t="s">
        <v>2694</v>
      </c>
      <c r="M258" s="247">
        <v>0</v>
      </c>
      <c r="N258" s="302" t="s">
        <v>16</v>
      </c>
      <c r="O258" s="247">
        <v>0</v>
      </c>
      <c r="P258" s="302" t="s">
        <v>16</v>
      </c>
      <c r="Q258" s="246" t="s">
        <v>873</v>
      </c>
      <c r="R258" s="302" t="s">
        <v>16</v>
      </c>
      <c r="S258" s="247">
        <v>0</v>
      </c>
      <c r="T258" s="302" t="s">
        <v>16</v>
      </c>
      <c r="U258" s="247">
        <v>0</v>
      </c>
      <c r="V258" s="302" t="s">
        <v>16</v>
      </c>
      <c r="W258" s="246" t="s">
        <v>873</v>
      </c>
      <c r="X258" s="303" t="s">
        <v>16</v>
      </c>
    </row>
    <row r="259" spans="1:24" x14ac:dyDescent="0.2">
      <c r="A259" s="227" t="s">
        <v>305</v>
      </c>
      <c r="B259" s="266" t="s">
        <v>304</v>
      </c>
      <c r="C259" s="274" t="s">
        <v>29</v>
      </c>
      <c r="D259" s="246" t="s">
        <v>1195</v>
      </c>
      <c r="E259" s="246" t="s">
        <v>3027</v>
      </c>
      <c r="F259" s="246" t="s">
        <v>2691</v>
      </c>
      <c r="G259" s="247">
        <v>1.5</v>
      </c>
      <c r="H259" s="248" t="s">
        <v>3028</v>
      </c>
      <c r="I259" s="247">
        <v>1.4497</v>
      </c>
      <c r="J259" s="302" t="s">
        <v>16</v>
      </c>
      <c r="K259" s="246" t="s">
        <v>872</v>
      </c>
      <c r="L259" s="246" t="s">
        <v>2694</v>
      </c>
      <c r="M259" s="247">
        <v>1.4476</v>
      </c>
      <c r="N259" s="302" t="s">
        <v>16</v>
      </c>
      <c r="O259" s="302" t="s">
        <v>16</v>
      </c>
      <c r="P259" s="302" t="s">
        <v>16</v>
      </c>
      <c r="Q259" s="246" t="s">
        <v>873</v>
      </c>
      <c r="R259" s="302" t="s">
        <v>16</v>
      </c>
      <c r="S259" s="302" t="s">
        <v>16</v>
      </c>
      <c r="T259" s="302" t="s">
        <v>16</v>
      </c>
      <c r="U259" s="302" t="s">
        <v>16</v>
      </c>
      <c r="V259" s="302" t="s">
        <v>16</v>
      </c>
      <c r="W259" s="246" t="s">
        <v>873</v>
      </c>
      <c r="X259" s="303" t="s">
        <v>16</v>
      </c>
    </row>
    <row r="260" spans="1:24" x14ac:dyDescent="0.2">
      <c r="A260" s="227" t="s">
        <v>307</v>
      </c>
      <c r="B260" s="266" t="s">
        <v>306</v>
      </c>
      <c r="C260" s="274" t="s">
        <v>29</v>
      </c>
      <c r="D260" s="246" t="s">
        <v>1216</v>
      </c>
      <c r="E260" s="246" t="s">
        <v>1217</v>
      </c>
      <c r="F260" s="246" t="s">
        <v>2691</v>
      </c>
      <c r="G260" s="247">
        <v>0.75</v>
      </c>
      <c r="H260" s="248" t="s">
        <v>3029</v>
      </c>
      <c r="I260" s="247">
        <v>0.75</v>
      </c>
      <c r="J260" s="248" t="s">
        <v>2972</v>
      </c>
      <c r="K260" s="246" t="s">
        <v>873</v>
      </c>
      <c r="L260" s="246" t="s">
        <v>2723</v>
      </c>
      <c r="M260" s="247">
        <v>0</v>
      </c>
      <c r="N260" s="302" t="s">
        <v>16</v>
      </c>
      <c r="O260" s="247">
        <v>0</v>
      </c>
      <c r="P260" s="302" t="s">
        <v>16</v>
      </c>
      <c r="Q260" s="302" t="s">
        <v>16</v>
      </c>
      <c r="R260" s="302" t="s">
        <v>16</v>
      </c>
      <c r="S260" s="247">
        <v>0</v>
      </c>
      <c r="T260" s="302" t="s">
        <v>16</v>
      </c>
      <c r="U260" s="247">
        <v>0</v>
      </c>
      <c r="V260" s="302" t="s">
        <v>16</v>
      </c>
      <c r="W260" s="302" t="s">
        <v>16</v>
      </c>
      <c r="X260" s="303" t="s">
        <v>16</v>
      </c>
    </row>
    <row r="261" spans="1:24" x14ac:dyDescent="0.2">
      <c r="A261" s="227" t="s">
        <v>325</v>
      </c>
      <c r="B261" s="266" t="s">
        <v>324</v>
      </c>
      <c r="C261" s="274" t="s">
        <v>29</v>
      </c>
      <c r="D261" s="246" t="s">
        <v>1221</v>
      </c>
      <c r="E261" s="246" t="s">
        <v>1221</v>
      </c>
      <c r="F261" s="246" t="s">
        <v>2691</v>
      </c>
      <c r="G261" s="247">
        <v>0.5</v>
      </c>
      <c r="H261" s="248" t="s">
        <v>3046</v>
      </c>
      <c r="I261" s="247">
        <v>0.4965</v>
      </c>
      <c r="J261" s="248" t="s">
        <v>2693</v>
      </c>
      <c r="K261" s="246" t="s">
        <v>873</v>
      </c>
      <c r="L261" s="246" t="s">
        <v>2694</v>
      </c>
      <c r="M261" s="302" t="s">
        <v>16</v>
      </c>
      <c r="N261" s="248" t="s">
        <v>891</v>
      </c>
      <c r="O261" s="302" t="s">
        <v>16</v>
      </c>
      <c r="P261" s="248" t="s">
        <v>891</v>
      </c>
      <c r="Q261" s="246" t="s">
        <v>873</v>
      </c>
      <c r="R261" s="302" t="s">
        <v>16</v>
      </c>
      <c r="S261" s="302" t="s">
        <v>16</v>
      </c>
      <c r="T261" s="302" t="s">
        <v>16</v>
      </c>
      <c r="U261" s="302" t="s">
        <v>16</v>
      </c>
      <c r="V261" s="302" t="s">
        <v>16</v>
      </c>
      <c r="W261" s="246" t="s">
        <v>873</v>
      </c>
      <c r="X261" s="303" t="s">
        <v>16</v>
      </c>
    </row>
    <row r="262" spans="1:24" x14ac:dyDescent="0.2">
      <c r="A262" s="227" t="s">
        <v>333</v>
      </c>
      <c r="B262" s="266" t="s">
        <v>332</v>
      </c>
      <c r="C262" s="274" t="s">
        <v>29</v>
      </c>
      <c r="D262" s="246" t="s">
        <v>1155</v>
      </c>
      <c r="E262" s="246" t="s">
        <v>3052</v>
      </c>
      <c r="F262" s="246" t="s">
        <v>2691</v>
      </c>
      <c r="G262" s="247">
        <v>1.2</v>
      </c>
      <c r="H262" s="248" t="s">
        <v>3053</v>
      </c>
      <c r="I262" s="247">
        <v>1.1533</v>
      </c>
      <c r="J262" s="248" t="s">
        <v>2841</v>
      </c>
      <c r="K262" s="246" t="s">
        <v>873</v>
      </c>
      <c r="L262" s="246" t="s">
        <v>2694</v>
      </c>
      <c r="M262" s="302" t="s">
        <v>16</v>
      </c>
      <c r="N262" s="302" t="s">
        <v>16</v>
      </c>
      <c r="O262" s="302" t="s">
        <v>16</v>
      </c>
      <c r="P262" s="248" t="s">
        <v>891</v>
      </c>
      <c r="Q262" s="246" t="s">
        <v>873</v>
      </c>
      <c r="R262" s="302" t="s">
        <v>16</v>
      </c>
      <c r="S262" s="302" t="s">
        <v>16</v>
      </c>
      <c r="T262" s="302" t="s">
        <v>16</v>
      </c>
      <c r="U262" s="302" t="s">
        <v>16</v>
      </c>
      <c r="V262" s="302" t="s">
        <v>16</v>
      </c>
      <c r="W262" s="246" t="s">
        <v>873</v>
      </c>
      <c r="X262" s="303" t="s">
        <v>16</v>
      </c>
    </row>
    <row r="263" spans="1:24" x14ac:dyDescent="0.2">
      <c r="A263" s="227" t="s">
        <v>343</v>
      </c>
      <c r="B263" s="266" t="s">
        <v>342</v>
      </c>
      <c r="C263" s="274" t="s">
        <v>29</v>
      </c>
      <c r="D263" s="246" t="s">
        <v>1165</v>
      </c>
      <c r="E263" s="246" t="s">
        <v>1224</v>
      </c>
      <c r="F263" s="246" t="s">
        <v>2664</v>
      </c>
      <c r="G263" s="247">
        <v>0.8</v>
      </c>
      <c r="H263" s="248" t="s">
        <v>2943</v>
      </c>
      <c r="I263" s="247">
        <v>0.78659999999999997</v>
      </c>
      <c r="J263" s="248" t="s">
        <v>3072</v>
      </c>
      <c r="K263" s="246" t="s">
        <v>873</v>
      </c>
      <c r="L263" s="246" t="s">
        <v>2694</v>
      </c>
      <c r="M263" s="302" t="s">
        <v>16</v>
      </c>
      <c r="N263" s="248" t="s">
        <v>3073</v>
      </c>
      <c r="O263" s="302" t="s">
        <v>16</v>
      </c>
      <c r="P263" s="248" t="s">
        <v>3074</v>
      </c>
      <c r="Q263" s="246" t="s">
        <v>873</v>
      </c>
      <c r="R263" s="302" t="s">
        <v>16</v>
      </c>
      <c r="S263" s="302" t="s">
        <v>16</v>
      </c>
      <c r="T263" s="302" t="s">
        <v>16</v>
      </c>
      <c r="U263" s="302" t="s">
        <v>16</v>
      </c>
      <c r="V263" s="302" t="s">
        <v>16</v>
      </c>
      <c r="W263" s="246" t="s">
        <v>873</v>
      </c>
      <c r="X263" s="303" t="s">
        <v>16</v>
      </c>
    </row>
    <row r="264" spans="1:24" x14ac:dyDescent="0.2">
      <c r="A264" s="227" t="s">
        <v>345</v>
      </c>
      <c r="B264" s="266" t="s">
        <v>344</v>
      </c>
      <c r="C264" s="274" t="s">
        <v>29</v>
      </c>
      <c r="D264" s="246" t="s">
        <v>1134</v>
      </c>
      <c r="E264" s="246" t="s">
        <v>3075</v>
      </c>
      <c r="F264" s="246" t="s">
        <v>1135</v>
      </c>
      <c r="G264" s="247">
        <v>0.8</v>
      </c>
      <c r="H264" s="248" t="s">
        <v>3076</v>
      </c>
      <c r="I264" s="247">
        <v>1</v>
      </c>
      <c r="J264" s="248" t="s">
        <v>3077</v>
      </c>
      <c r="K264" s="246" t="s">
        <v>872</v>
      </c>
      <c r="L264" s="246" t="s">
        <v>2705</v>
      </c>
      <c r="M264" s="247">
        <v>1</v>
      </c>
      <c r="N264" s="248" t="s">
        <v>3078</v>
      </c>
      <c r="O264" s="247">
        <v>1</v>
      </c>
      <c r="P264" s="248" t="s">
        <v>3077</v>
      </c>
      <c r="Q264" s="246" t="s">
        <v>872</v>
      </c>
      <c r="R264" s="246" t="s">
        <v>2705</v>
      </c>
      <c r="S264" s="302" t="s">
        <v>16</v>
      </c>
      <c r="T264" s="302" t="s">
        <v>16</v>
      </c>
      <c r="U264" s="302" t="s">
        <v>16</v>
      </c>
      <c r="V264" s="302" t="s">
        <v>16</v>
      </c>
      <c r="W264" s="246" t="s">
        <v>873</v>
      </c>
      <c r="X264" s="303" t="s">
        <v>16</v>
      </c>
    </row>
    <row r="265" spans="1:24" x14ac:dyDescent="0.2">
      <c r="A265" s="227" t="s">
        <v>351</v>
      </c>
      <c r="B265" s="266" t="s">
        <v>350</v>
      </c>
      <c r="C265" s="274" t="s">
        <v>29</v>
      </c>
      <c r="D265" s="246" t="s">
        <v>1134</v>
      </c>
      <c r="E265" s="246" t="s">
        <v>3081</v>
      </c>
      <c r="F265" s="246" t="s">
        <v>1135</v>
      </c>
      <c r="G265" s="247">
        <v>1</v>
      </c>
      <c r="H265" s="248" t="s">
        <v>3082</v>
      </c>
      <c r="I265" s="247">
        <v>0.91</v>
      </c>
      <c r="J265" s="248" t="s">
        <v>1145</v>
      </c>
      <c r="K265" s="246" t="s">
        <v>872</v>
      </c>
      <c r="L265" s="246" t="s">
        <v>2694</v>
      </c>
      <c r="M265" s="247">
        <v>0.5</v>
      </c>
      <c r="N265" s="248" t="s">
        <v>3083</v>
      </c>
      <c r="O265" s="247">
        <v>0.5</v>
      </c>
      <c r="P265" s="248" t="s">
        <v>3084</v>
      </c>
      <c r="Q265" s="246" t="s">
        <v>873</v>
      </c>
      <c r="R265" s="246" t="s">
        <v>2772</v>
      </c>
      <c r="S265" s="247">
        <v>1</v>
      </c>
      <c r="T265" s="248" t="s">
        <v>3029</v>
      </c>
      <c r="U265" s="247">
        <v>1</v>
      </c>
      <c r="V265" s="248" t="s">
        <v>3085</v>
      </c>
      <c r="W265" s="246" t="s">
        <v>873</v>
      </c>
      <c r="X265" s="249" t="s">
        <v>2694</v>
      </c>
    </row>
    <row r="266" spans="1:24" x14ac:dyDescent="0.2">
      <c r="A266" s="227" t="s">
        <v>353</v>
      </c>
      <c r="B266" s="266" t="s">
        <v>352</v>
      </c>
      <c r="C266" s="274" t="s">
        <v>29</v>
      </c>
      <c r="D266" s="246" t="s">
        <v>1226</v>
      </c>
      <c r="E266" s="246" t="s">
        <v>3086</v>
      </c>
      <c r="F266" s="246" t="s">
        <v>2691</v>
      </c>
      <c r="G266" s="247">
        <v>0.95</v>
      </c>
      <c r="H266" s="248" t="s">
        <v>2851</v>
      </c>
      <c r="I266" s="247">
        <v>0.95</v>
      </c>
      <c r="J266" s="248" t="s">
        <v>3087</v>
      </c>
      <c r="K266" s="246" t="s">
        <v>873</v>
      </c>
      <c r="L266" s="302" t="s">
        <v>16</v>
      </c>
      <c r="M266" s="302" t="s">
        <v>16</v>
      </c>
      <c r="N266" s="302" t="s">
        <v>16</v>
      </c>
      <c r="O266" s="302" t="s">
        <v>16</v>
      </c>
      <c r="P266" s="302" t="s">
        <v>16</v>
      </c>
      <c r="Q266" s="246" t="s">
        <v>873</v>
      </c>
      <c r="R266" s="302" t="s">
        <v>16</v>
      </c>
      <c r="S266" s="302" t="s">
        <v>16</v>
      </c>
      <c r="T266" s="302" t="s">
        <v>16</v>
      </c>
      <c r="U266" s="302" t="s">
        <v>16</v>
      </c>
      <c r="V266" s="302" t="s">
        <v>16</v>
      </c>
      <c r="W266" s="246" t="s">
        <v>873</v>
      </c>
      <c r="X266" s="303" t="s">
        <v>16</v>
      </c>
    </row>
    <row r="267" spans="1:24" x14ac:dyDescent="0.2">
      <c r="A267" s="227" t="s">
        <v>355</v>
      </c>
      <c r="B267" s="266" t="s">
        <v>354</v>
      </c>
      <c r="C267" s="274" t="s">
        <v>29</v>
      </c>
      <c r="D267" s="246" t="s">
        <v>1146</v>
      </c>
      <c r="E267" s="246" t="s">
        <v>1227</v>
      </c>
      <c r="F267" s="246" t="s">
        <v>2664</v>
      </c>
      <c r="G267" s="247">
        <v>0.48849999999999999</v>
      </c>
      <c r="H267" s="248" t="s">
        <v>3088</v>
      </c>
      <c r="I267" s="247">
        <v>0.48849999999999999</v>
      </c>
      <c r="J267" s="248" t="s">
        <v>3089</v>
      </c>
      <c r="K267" s="246" t="s">
        <v>873</v>
      </c>
      <c r="L267" s="246" t="s">
        <v>2694</v>
      </c>
      <c r="M267" s="302" t="s">
        <v>16</v>
      </c>
      <c r="N267" s="302" t="s">
        <v>16</v>
      </c>
      <c r="O267" s="302" t="s">
        <v>16</v>
      </c>
      <c r="P267" s="302" t="s">
        <v>16</v>
      </c>
      <c r="Q267" s="246" t="s">
        <v>873</v>
      </c>
      <c r="R267" s="302" t="s">
        <v>16</v>
      </c>
      <c r="S267" s="302" t="s">
        <v>16</v>
      </c>
      <c r="T267" s="302" t="s">
        <v>16</v>
      </c>
      <c r="U267" s="302" t="s">
        <v>16</v>
      </c>
      <c r="V267" s="302" t="s">
        <v>16</v>
      </c>
      <c r="W267" s="246" t="s">
        <v>873</v>
      </c>
      <c r="X267" s="303" t="s">
        <v>16</v>
      </c>
    </row>
    <row r="268" spans="1:24" x14ac:dyDescent="0.2">
      <c r="A268" s="227" t="s">
        <v>361</v>
      </c>
      <c r="B268" s="266" t="s">
        <v>360</v>
      </c>
      <c r="C268" s="274" t="s">
        <v>29</v>
      </c>
      <c r="D268" s="246" t="s">
        <v>1200</v>
      </c>
      <c r="E268" s="246" t="s">
        <v>3095</v>
      </c>
      <c r="F268" s="246" t="s">
        <v>1135</v>
      </c>
      <c r="G268" s="247">
        <v>1.6</v>
      </c>
      <c r="H268" s="248" t="s">
        <v>3096</v>
      </c>
      <c r="I268" s="247">
        <v>1.5739000000000001</v>
      </c>
      <c r="J268" s="248" t="s">
        <v>2743</v>
      </c>
      <c r="K268" s="246" t="s">
        <v>873</v>
      </c>
      <c r="L268" s="246" t="s">
        <v>2694</v>
      </c>
      <c r="M268" s="247">
        <v>1.6</v>
      </c>
      <c r="N268" s="248" t="s">
        <v>3096</v>
      </c>
      <c r="O268" s="247">
        <v>1.548</v>
      </c>
      <c r="P268" s="248" t="s">
        <v>2743</v>
      </c>
      <c r="Q268" s="246" t="s">
        <v>873</v>
      </c>
      <c r="R268" s="246" t="s">
        <v>2694</v>
      </c>
      <c r="S268" s="302" t="s">
        <v>16</v>
      </c>
      <c r="T268" s="302" t="s">
        <v>16</v>
      </c>
      <c r="U268" s="302" t="s">
        <v>16</v>
      </c>
      <c r="V268" s="302" t="s">
        <v>16</v>
      </c>
      <c r="W268" s="246" t="s">
        <v>873</v>
      </c>
      <c r="X268" s="303" t="s">
        <v>16</v>
      </c>
    </row>
    <row r="269" spans="1:24" x14ac:dyDescent="0.2">
      <c r="A269" s="227" t="s">
        <v>363</v>
      </c>
      <c r="B269" s="266" t="s">
        <v>362</v>
      </c>
      <c r="C269" s="274" t="s">
        <v>29</v>
      </c>
      <c r="D269" s="246" t="s">
        <v>1125</v>
      </c>
      <c r="E269" s="246" t="s">
        <v>3097</v>
      </c>
      <c r="F269" s="246" t="s">
        <v>2691</v>
      </c>
      <c r="G269" s="247">
        <v>1.8</v>
      </c>
      <c r="H269" s="248" t="s">
        <v>3098</v>
      </c>
      <c r="I269" s="247">
        <v>1.51</v>
      </c>
      <c r="J269" s="302" t="s">
        <v>16</v>
      </c>
      <c r="K269" s="246" t="s">
        <v>872</v>
      </c>
      <c r="L269" s="246" t="s">
        <v>2694</v>
      </c>
      <c r="M269" s="247">
        <v>0.48</v>
      </c>
      <c r="N269" s="248" t="s">
        <v>2774</v>
      </c>
      <c r="O269" s="247">
        <v>0.48</v>
      </c>
      <c r="P269" s="302" t="s">
        <v>16</v>
      </c>
      <c r="Q269" s="246" t="s">
        <v>872</v>
      </c>
      <c r="R269" s="246" t="s">
        <v>2694</v>
      </c>
      <c r="S269" s="247">
        <v>0.5</v>
      </c>
      <c r="T269" s="248" t="s">
        <v>2696</v>
      </c>
      <c r="U269" s="247">
        <v>0.5</v>
      </c>
      <c r="V269" s="248" t="s">
        <v>2724</v>
      </c>
      <c r="W269" s="246" t="s">
        <v>873</v>
      </c>
      <c r="X269" s="249" t="s">
        <v>2694</v>
      </c>
    </row>
    <row r="270" spans="1:24" x14ac:dyDescent="0.2">
      <c r="A270" s="227" t="s">
        <v>371</v>
      </c>
      <c r="B270" s="266" t="s">
        <v>370</v>
      </c>
      <c r="C270" s="274" t="s">
        <v>29</v>
      </c>
      <c r="D270" s="246" t="s">
        <v>1125</v>
      </c>
      <c r="E270" s="246" t="s">
        <v>1230</v>
      </c>
      <c r="F270" s="246" t="s">
        <v>2664</v>
      </c>
      <c r="G270" s="247">
        <v>1</v>
      </c>
      <c r="H270" s="248" t="s">
        <v>3106</v>
      </c>
      <c r="I270" s="247">
        <v>0.68689999999999996</v>
      </c>
      <c r="J270" s="302" t="s">
        <v>16</v>
      </c>
      <c r="K270" s="246" t="s">
        <v>872</v>
      </c>
      <c r="L270" s="246" t="s">
        <v>2723</v>
      </c>
      <c r="M270" s="247">
        <v>0.21940000000000001</v>
      </c>
      <c r="N270" s="248" t="s">
        <v>3107</v>
      </c>
      <c r="O270" s="247">
        <v>0.21940000000000001</v>
      </c>
      <c r="P270" s="302" t="s">
        <v>16</v>
      </c>
      <c r="Q270" s="246" t="s">
        <v>872</v>
      </c>
      <c r="R270" s="246" t="s">
        <v>2723</v>
      </c>
      <c r="S270" s="247">
        <v>0.36</v>
      </c>
      <c r="T270" s="248" t="s">
        <v>3108</v>
      </c>
      <c r="U270" s="247">
        <v>0.31269999999999998</v>
      </c>
      <c r="V270" s="248" t="s">
        <v>3109</v>
      </c>
      <c r="W270" s="246" t="s">
        <v>873</v>
      </c>
      <c r="X270" s="249" t="s">
        <v>2723</v>
      </c>
    </row>
    <row r="271" spans="1:24" x14ac:dyDescent="0.2">
      <c r="A271" s="227" t="s">
        <v>375</v>
      </c>
      <c r="B271" s="266" t="s">
        <v>374</v>
      </c>
      <c r="C271" s="274" t="s">
        <v>29</v>
      </c>
      <c r="D271" s="246" t="s">
        <v>1125</v>
      </c>
      <c r="E271" s="246" t="s">
        <v>1231</v>
      </c>
      <c r="F271" s="246" t="s">
        <v>2664</v>
      </c>
      <c r="G271" s="247">
        <v>1</v>
      </c>
      <c r="H271" s="248" t="s">
        <v>3112</v>
      </c>
      <c r="I271" s="247">
        <v>0.9829</v>
      </c>
      <c r="J271" s="248" t="s">
        <v>3113</v>
      </c>
      <c r="K271" s="246" t="s">
        <v>873</v>
      </c>
      <c r="L271" s="246" t="s">
        <v>2694</v>
      </c>
      <c r="M271" s="247">
        <v>0</v>
      </c>
      <c r="N271" s="248" t="s">
        <v>891</v>
      </c>
      <c r="O271" s="247">
        <v>0</v>
      </c>
      <c r="P271" s="248" t="s">
        <v>891</v>
      </c>
      <c r="Q271" s="246" t="s">
        <v>873</v>
      </c>
      <c r="R271" s="246" t="s">
        <v>891</v>
      </c>
      <c r="S271" s="247">
        <v>0</v>
      </c>
      <c r="T271" s="248" t="s">
        <v>891</v>
      </c>
      <c r="U271" s="247">
        <v>0</v>
      </c>
      <c r="V271" s="248" t="s">
        <v>891</v>
      </c>
      <c r="W271" s="246" t="s">
        <v>873</v>
      </c>
      <c r="X271" s="249" t="s">
        <v>891</v>
      </c>
    </row>
    <row r="272" spans="1:24" x14ac:dyDescent="0.2">
      <c r="A272" s="227" t="s">
        <v>383</v>
      </c>
      <c r="B272" s="266" t="s">
        <v>382</v>
      </c>
      <c r="C272" s="274" t="s">
        <v>29</v>
      </c>
      <c r="D272" s="246" t="s">
        <v>1234</v>
      </c>
      <c r="E272" s="246" t="s">
        <v>3116</v>
      </c>
      <c r="F272" s="246" t="s">
        <v>2691</v>
      </c>
      <c r="G272" s="247">
        <v>1</v>
      </c>
      <c r="H272" s="248" t="s">
        <v>2810</v>
      </c>
      <c r="I272" s="247">
        <v>0.7</v>
      </c>
      <c r="J272" s="302" t="s">
        <v>16</v>
      </c>
      <c r="K272" s="246" t="s">
        <v>872</v>
      </c>
      <c r="L272" s="302" t="s">
        <v>16</v>
      </c>
      <c r="M272" s="302" t="s">
        <v>16</v>
      </c>
      <c r="N272" s="302" t="s">
        <v>16</v>
      </c>
      <c r="O272" s="302" t="s">
        <v>16</v>
      </c>
      <c r="P272" s="302" t="s">
        <v>16</v>
      </c>
      <c r="Q272" s="246" t="s">
        <v>873</v>
      </c>
      <c r="R272" s="302" t="s">
        <v>16</v>
      </c>
      <c r="S272" s="302" t="s">
        <v>16</v>
      </c>
      <c r="T272" s="302" t="s">
        <v>16</v>
      </c>
      <c r="U272" s="302" t="s">
        <v>16</v>
      </c>
      <c r="V272" s="302" t="s">
        <v>16</v>
      </c>
      <c r="W272" s="246" t="s">
        <v>873</v>
      </c>
      <c r="X272" s="303" t="s">
        <v>16</v>
      </c>
    </row>
    <row r="273" spans="1:24" x14ac:dyDescent="0.2">
      <c r="A273" s="227" t="s">
        <v>385</v>
      </c>
      <c r="B273" s="266" t="s">
        <v>384</v>
      </c>
      <c r="C273" s="274" t="s">
        <v>29</v>
      </c>
      <c r="D273" s="246" t="s">
        <v>1136</v>
      </c>
      <c r="E273" s="246" t="s">
        <v>3117</v>
      </c>
      <c r="F273" s="246" t="s">
        <v>1135</v>
      </c>
      <c r="G273" s="247">
        <v>0</v>
      </c>
      <c r="H273" s="248" t="s">
        <v>1161</v>
      </c>
      <c r="I273" s="247">
        <v>0</v>
      </c>
      <c r="J273" s="248" t="s">
        <v>1161</v>
      </c>
      <c r="K273" s="246" t="s">
        <v>873</v>
      </c>
      <c r="L273" s="302" t="s">
        <v>16</v>
      </c>
      <c r="M273" s="302" t="s">
        <v>16</v>
      </c>
      <c r="N273" s="302" t="s">
        <v>16</v>
      </c>
      <c r="O273" s="302" t="s">
        <v>16</v>
      </c>
      <c r="P273" s="302" t="s">
        <v>16</v>
      </c>
      <c r="Q273" s="246" t="s">
        <v>873</v>
      </c>
      <c r="R273" s="302" t="s">
        <v>16</v>
      </c>
      <c r="S273" s="302" t="s">
        <v>16</v>
      </c>
      <c r="T273" s="302" t="s">
        <v>16</v>
      </c>
      <c r="U273" s="302" t="s">
        <v>16</v>
      </c>
      <c r="V273" s="302" t="s">
        <v>16</v>
      </c>
      <c r="W273" s="246" t="s">
        <v>873</v>
      </c>
      <c r="X273" s="303" t="s">
        <v>16</v>
      </c>
    </row>
    <row r="274" spans="1:24" x14ac:dyDescent="0.2">
      <c r="A274" s="227" t="s">
        <v>399</v>
      </c>
      <c r="B274" s="266" t="s">
        <v>398</v>
      </c>
      <c r="C274" s="274" t="s">
        <v>29</v>
      </c>
      <c r="D274" s="246" t="s">
        <v>1143</v>
      </c>
      <c r="E274" s="246" t="s">
        <v>3129</v>
      </c>
      <c r="F274" s="246" t="s">
        <v>2691</v>
      </c>
      <c r="G274" s="247">
        <v>1.2339</v>
      </c>
      <c r="H274" s="248" t="s">
        <v>2696</v>
      </c>
      <c r="I274" s="247">
        <v>1.2335</v>
      </c>
      <c r="J274" s="248" t="s">
        <v>3130</v>
      </c>
      <c r="K274" s="246" t="s">
        <v>873</v>
      </c>
      <c r="L274" s="246" t="s">
        <v>2694</v>
      </c>
      <c r="M274" s="302" t="s">
        <v>16</v>
      </c>
      <c r="N274" s="302" t="s">
        <v>16</v>
      </c>
      <c r="O274" s="302" t="s">
        <v>16</v>
      </c>
      <c r="P274" s="302" t="s">
        <v>16</v>
      </c>
      <c r="Q274" s="246" t="s">
        <v>873</v>
      </c>
      <c r="R274" s="302" t="s">
        <v>16</v>
      </c>
      <c r="S274" s="302" t="s">
        <v>16</v>
      </c>
      <c r="T274" s="302" t="s">
        <v>16</v>
      </c>
      <c r="U274" s="302" t="s">
        <v>16</v>
      </c>
      <c r="V274" s="302" t="s">
        <v>16</v>
      </c>
      <c r="W274" s="246" t="s">
        <v>873</v>
      </c>
      <c r="X274" s="303" t="s">
        <v>16</v>
      </c>
    </row>
    <row r="275" spans="1:24" x14ac:dyDescent="0.2">
      <c r="A275" s="227" t="s">
        <v>405</v>
      </c>
      <c r="B275" s="266" t="s">
        <v>404</v>
      </c>
      <c r="C275" s="274" t="s">
        <v>29</v>
      </c>
      <c r="D275" s="246" t="s">
        <v>1213</v>
      </c>
      <c r="E275" s="246" t="s">
        <v>3134</v>
      </c>
      <c r="F275" s="246" t="s">
        <v>1135</v>
      </c>
      <c r="G275" s="302" t="s">
        <v>16</v>
      </c>
      <c r="H275" s="302" t="s">
        <v>16</v>
      </c>
      <c r="I275" s="302" t="s">
        <v>16</v>
      </c>
      <c r="J275" s="302" t="s">
        <v>16</v>
      </c>
      <c r="K275" s="246" t="s">
        <v>873</v>
      </c>
      <c r="L275" s="302" t="s">
        <v>16</v>
      </c>
      <c r="M275" s="247">
        <v>0</v>
      </c>
      <c r="N275" s="302" t="s">
        <v>16</v>
      </c>
      <c r="O275" s="247">
        <v>0</v>
      </c>
      <c r="P275" s="302" t="s">
        <v>16</v>
      </c>
      <c r="Q275" s="246" t="s">
        <v>873</v>
      </c>
      <c r="R275" s="302" t="s">
        <v>16</v>
      </c>
      <c r="S275" s="247">
        <v>0</v>
      </c>
      <c r="T275" s="302" t="s">
        <v>16</v>
      </c>
      <c r="U275" s="247">
        <v>0</v>
      </c>
      <c r="V275" s="302" t="s">
        <v>16</v>
      </c>
      <c r="W275" s="246" t="s">
        <v>873</v>
      </c>
      <c r="X275" s="303" t="s">
        <v>16</v>
      </c>
    </row>
    <row r="276" spans="1:24" x14ac:dyDescent="0.2">
      <c r="A276" s="227" t="s">
        <v>419</v>
      </c>
      <c r="B276" s="266" t="s">
        <v>418</v>
      </c>
      <c r="C276" s="274" t="s">
        <v>29</v>
      </c>
      <c r="D276" s="246" t="s">
        <v>1241</v>
      </c>
      <c r="E276" s="246" t="s">
        <v>1241</v>
      </c>
      <c r="F276" s="246" t="s">
        <v>1124</v>
      </c>
      <c r="G276" s="247">
        <v>0.25</v>
      </c>
      <c r="H276" s="248" t="s">
        <v>3145</v>
      </c>
      <c r="I276" s="247">
        <v>0.25</v>
      </c>
      <c r="J276" s="248" t="s">
        <v>2813</v>
      </c>
      <c r="K276" s="246" t="s">
        <v>873</v>
      </c>
      <c r="L276" s="246" t="s">
        <v>2694</v>
      </c>
      <c r="M276" s="247">
        <v>0</v>
      </c>
      <c r="N276" s="248" t="s">
        <v>891</v>
      </c>
      <c r="O276" s="247">
        <v>0</v>
      </c>
      <c r="P276" s="248" t="s">
        <v>891</v>
      </c>
      <c r="Q276" s="246" t="s">
        <v>873</v>
      </c>
      <c r="R276" s="246" t="s">
        <v>891</v>
      </c>
      <c r="S276" s="247">
        <v>0</v>
      </c>
      <c r="T276" s="248" t="s">
        <v>891</v>
      </c>
      <c r="U276" s="247">
        <v>0</v>
      </c>
      <c r="V276" s="248" t="s">
        <v>891</v>
      </c>
      <c r="W276" s="246" t="s">
        <v>873</v>
      </c>
      <c r="X276" s="249" t="s">
        <v>891</v>
      </c>
    </row>
    <row r="277" spans="1:24" x14ac:dyDescent="0.2">
      <c r="A277" s="227" t="s">
        <v>437</v>
      </c>
      <c r="B277" s="266" t="s">
        <v>436</v>
      </c>
      <c r="C277" s="274" t="s">
        <v>29</v>
      </c>
      <c r="D277" s="246" t="s">
        <v>1134</v>
      </c>
      <c r="E277" s="246" t="s">
        <v>3160</v>
      </c>
      <c r="F277" s="246" t="s">
        <v>1135</v>
      </c>
      <c r="G277" s="247">
        <v>2</v>
      </c>
      <c r="H277" s="248" t="s">
        <v>3161</v>
      </c>
      <c r="I277" s="247">
        <v>2</v>
      </c>
      <c r="J277" s="248" t="s">
        <v>2727</v>
      </c>
      <c r="K277" s="246" t="s">
        <v>873</v>
      </c>
      <c r="L277" s="246" t="s">
        <v>2694</v>
      </c>
      <c r="M277" s="302" t="s">
        <v>16</v>
      </c>
      <c r="N277" s="302" t="s">
        <v>16</v>
      </c>
      <c r="O277" s="247">
        <v>0</v>
      </c>
      <c r="P277" s="302" t="s">
        <v>16</v>
      </c>
      <c r="Q277" s="246" t="s">
        <v>873</v>
      </c>
      <c r="R277" s="302" t="s">
        <v>16</v>
      </c>
      <c r="S277" s="247">
        <v>0</v>
      </c>
      <c r="T277" s="302" t="s">
        <v>16</v>
      </c>
      <c r="U277" s="247">
        <v>0</v>
      </c>
      <c r="V277" s="302" t="s">
        <v>16</v>
      </c>
      <c r="W277" s="246" t="s">
        <v>873</v>
      </c>
      <c r="X277" s="303" t="s">
        <v>16</v>
      </c>
    </row>
    <row r="278" spans="1:24" x14ac:dyDescent="0.2">
      <c r="A278" s="227" t="s">
        <v>453</v>
      </c>
      <c r="B278" s="266" t="s">
        <v>452</v>
      </c>
      <c r="C278" s="274" t="s">
        <v>29</v>
      </c>
      <c r="D278" s="246" t="s">
        <v>1157</v>
      </c>
      <c r="E278" s="246" t="s">
        <v>3173</v>
      </c>
      <c r="F278" s="246" t="s">
        <v>2664</v>
      </c>
      <c r="G278" s="247">
        <v>0.5</v>
      </c>
      <c r="H278" s="248" t="s">
        <v>3174</v>
      </c>
      <c r="I278" s="247">
        <v>0.39229999999999998</v>
      </c>
      <c r="J278" s="302" t="s">
        <v>16</v>
      </c>
      <c r="K278" s="246" t="s">
        <v>872</v>
      </c>
      <c r="L278" s="246" t="s">
        <v>2723</v>
      </c>
      <c r="M278" s="247">
        <v>0.5</v>
      </c>
      <c r="N278" s="248" t="s">
        <v>3175</v>
      </c>
      <c r="O278" s="247">
        <v>0.43480000000000002</v>
      </c>
      <c r="P278" s="302" t="s">
        <v>16</v>
      </c>
      <c r="Q278" s="246" t="s">
        <v>872</v>
      </c>
      <c r="R278" s="246" t="s">
        <v>2723</v>
      </c>
      <c r="S278" s="247">
        <v>0.3</v>
      </c>
      <c r="T278" s="248" t="s">
        <v>3176</v>
      </c>
      <c r="U278" s="247">
        <v>0.29949999999999999</v>
      </c>
      <c r="V278" s="248" t="s">
        <v>2973</v>
      </c>
      <c r="W278" s="246" t="s">
        <v>873</v>
      </c>
      <c r="X278" s="249" t="s">
        <v>2723</v>
      </c>
    </row>
    <row r="279" spans="1:24" x14ac:dyDescent="0.2">
      <c r="A279" s="227" t="s">
        <v>467</v>
      </c>
      <c r="B279" s="266" t="s">
        <v>466</v>
      </c>
      <c r="C279" s="274" t="s">
        <v>29</v>
      </c>
      <c r="D279" s="246" t="s">
        <v>1125</v>
      </c>
      <c r="E279" s="246" t="s">
        <v>3189</v>
      </c>
      <c r="F279" s="246" t="s">
        <v>2664</v>
      </c>
      <c r="G279" s="247">
        <v>0.89</v>
      </c>
      <c r="H279" s="248" t="s">
        <v>3190</v>
      </c>
      <c r="I279" s="247">
        <v>0.89</v>
      </c>
      <c r="J279" s="248" t="s">
        <v>3191</v>
      </c>
      <c r="K279" s="246" t="s">
        <v>873</v>
      </c>
      <c r="L279" s="246" t="s">
        <v>2694</v>
      </c>
      <c r="M279" s="247">
        <v>0</v>
      </c>
      <c r="N279" s="302" t="s">
        <v>16</v>
      </c>
      <c r="O279" s="247">
        <v>0</v>
      </c>
      <c r="P279" s="302" t="s">
        <v>16</v>
      </c>
      <c r="Q279" s="246" t="s">
        <v>873</v>
      </c>
      <c r="R279" s="302" t="s">
        <v>16</v>
      </c>
      <c r="S279" s="247">
        <v>0</v>
      </c>
      <c r="T279" s="302" t="s">
        <v>16</v>
      </c>
      <c r="U279" s="247">
        <v>0</v>
      </c>
      <c r="V279" s="302" t="s">
        <v>16</v>
      </c>
      <c r="W279" s="246" t="s">
        <v>873</v>
      </c>
      <c r="X279" s="303" t="s">
        <v>16</v>
      </c>
    </row>
    <row r="280" spans="1:24" x14ac:dyDescent="0.2">
      <c r="A280" s="227" t="s">
        <v>474</v>
      </c>
      <c r="B280" s="266" t="s">
        <v>473</v>
      </c>
      <c r="C280" s="274" t="s">
        <v>29</v>
      </c>
      <c r="D280" s="246" t="s">
        <v>1146</v>
      </c>
      <c r="E280" s="246" t="s">
        <v>3194</v>
      </c>
      <c r="F280" s="246" t="s">
        <v>1135</v>
      </c>
      <c r="G280" s="247">
        <v>2</v>
      </c>
      <c r="H280" s="248" t="s">
        <v>3195</v>
      </c>
      <c r="I280" s="247">
        <v>1.32</v>
      </c>
      <c r="J280" s="248" t="s">
        <v>891</v>
      </c>
      <c r="K280" s="246" t="s">
        <v>872</v>
      </c>
      <c r="L280" s="246" t="s">
        <v>3196</v>
      </c>
      <c r="M280" s="247">
        <v>0</v>
      </c>
      <c r="N280" s="248" t="s">
        <v>891</v>
      </c>
      <c r="O280" s="247">
        <v>0</v>
      </c>
      <c r="P280" s="248" t="s">
        <v>891</v>
      </c>
      <c r="Q280" s="246" t="s">
        <v>873</v>
      </c>
      <c r="R280" s="246" t="s">
        <v>891</v>
      </c>
      <c r="S280" s="247">
        <v>0</v>
      </c>
      <c r="T280" s="248" t="s">
        <v>891</v>
      </c>
      <c r="U280" s="247">
        <v>0</v>
      </c>
      <c r="V280" s="248" t="s">
        <v>891</v>
      </c>
      <c r="W280" s="246" t="s">
        <v>873</v>
      </c>
      <c r="X280" s="249" t="s">
        <v>891</v>
      </c>
    </row>
    <row r="281" spans="1:24" x14ac:dyDescent="0.2">
      <c r="A281" s="227" t="s">
        <v>488</v>
      </c>
      <c r="B281" s="266" t="s">
        <v>487</v>
      </c>
      <c r="C281" s="274" t="s">
        <v>29</v>
      </c>
      <c r="D281" s="246" t="s">
        <v>1254</v>
      </c>
      <c r="E281" s="246" t="s">
        <v>3203</v>
      </c>
      <c r="F281" s="246" t="s">
        <v>1124</v>
      </c>
      <c r="G281" s="247">
        <v>1</v>
      </c>
      <c r="H281" s="248" t="s">
        <v>2743</v>
      </c>
      <c r="I281" s="247">
        <v>1</v>
      </c>
      <c r="J281" s="248" t="s">
        <v>2882</v>
      </c>
      <c r="K281" s="246" t="s">
        <v>873</v>
      </c>
      <c r="L281" s="246" t="s">
        <v>2694</v>
      </c>
      <c r="M281" s="302" t="s">
        <v>16</v>
      </c>
      <c r="N281" s="248" t="s">
        <v>2706</v>
      </c>
      <c r="O281" s="247">
        <v>0</v>
      </c>
      <c r="P281" s="248" t="s">
        <v>3204</v>
      </c>
      <c r="Q281" s="246" t="s">
        <v>873</v>
      </c>
      <c r="R281" s="302" t="s">
        <v>16</v>
      </c>
      <c r="S281" s="302" t="s">
        <v>16</v>
      </c>
      <c r="T281" s="302" t="s">
        <v>16</v>
      </c>
      <c r="U281" s="302" t="s">
        <v>16</v>
      </c>
      <c r="V281" s="302" t="s">
        <v>16</v>
      </c>
      <c r="W281" s="246" t="s">
        <v>873</v>
      </c>
      <c r="X281" s="303" t="s">
        <v>16</v>
      </c>
    </row>
    <row r="282" spans="1:24" x14ac:dyDescent="0.2">
      <c r="A282" s="227" t="s">
        <v>498</v>
      </c>
      <c r="B282" s="266" t="s">
        <v>497</v>
      </c>
      <c r="C282" s="274" t="s">
        <v>29</v>
      </c>
      <c r="D282" s="246" t="s">
        <v>1129</v>
      </c>
      <c r="E282" s="246" t="s">
        <v>3211</v>
      </c>
      <c r="F282" s="246" t="s">
        <v>2691</v>
      </c>
      <c r="G282" s="247">
        <v>1</v>
      </c>
      <c r="H282" s="248" t="s">
        <v>3212</v>
      </c>
      <c r="I282" s="247">
        <v>0.97809999999999997</v>
      </c>
      <c r="J282" s="302" t="s">
        <v>16</v>
      </c>
      <c r="K282" s="246" t="s">
        <v>872</v>
      </c>
      <c r="L282" s="246" t="s">
        <v>2694</v>
      </c>
      <c r="M282" s="247">
        <v>0.69299999999999995</v>
      </c>
      <c r="N282" s="248" t="s">
        <v>2792</v>
      </c>
      <c r="O282" s="247">
        <v>0.69299999999999995</v>
      </c>
      <c r="P282" s="248" t="s">
        <v>2761</v>
      </c>
      <c r="Q282" s="246" t="s">
        <v>873</v>
      </c>
      <c r="R282" s="246" t="s">
        <v>2694</v>
      </c>
      <c r="S282" s="302" t="s">
        <v>16</v>
      </c>
      <c r="T282" s="302" t="s">
        <v>16</v>
      </c>
      <c r="U282" s="302" t="s">
        <v>16</v>
      </c>
      <c r="V282" s="302" t="s">
        <v>16</v>
      </c>
      <c r="W282" s="302" t="s">
        <v>16</v>
      </c>
      <c r="X282" s="303" t="s">
        <v>16</v>
      </c>
    </row>
    <row r="283" spans="1:24" x14ac:dyDescent="0.2">
      <c r="A283" s="227" t="s">
        <v>502</v>
      </c>
      <c r="B283" s="266" t="s">
        <v>501</v>
      </c>
      <c r="C283" s="274" t="s">
        <v>29</v>
      </c>
      <c r="D283" s="246" t="s">
        <v>1157</v>
      </c>
      <c r="E283" s="246" t="s">
        <v>1258</v>
      </c>
      <c r="F283" s="246" t="s">
        <v>1135</v>
      </c>
      <c r="G283" s="247">
        <v>1</v>
      </c>
      <c r="H283" s="248" t="s">
        <v>3214</v>
      </c>
      <c r="I283" s="247">
        <v>0.72</v>
      </c>
      <c r="J283" s="302" t="s">
        <v>16</v>
      </c>
      <c r="K283" s="246" t="s">
        <v>873</v>
      </c>
      <c r="L283" s="246" t="s">
        <v>2694</v>
      </c>
      <c r="M283" s="302" t="s">
        <v>16</v>
      </c>
      <c r="N283" s="302" t="s">
        <v>16</v>
      </c>
      <c r="O283" s="302" t="s">
        <v>16</v>
      </c>
      <c r="P283" s="302" t="s">
        <v>16</v>
      </c>
      <c r="Q283" s="246" t="s">
        <v>873</v>
      </c>
      <c r="R283" s="302" t="s">
        <v>16</v>
      </c>
      <c r="S283" s="302" t="s">
        <v>16</v>
      </c>
      <c r="T283" s="302" t="s">
        <v>16</v>
      </c>
      <c r="U283" s="302" t="s">
        <v>16</v>
      </c>
      <c r="V283" s="302" t="s">
        <v>16</v>
      </c>
      <c r="W283" s="246" t="s">
        <v>873</v>
      </c>
      <c r="X283" s="303" t="s">
        <v>16</v>
      </c>
    </row>
    <row r="284" spans="1:24" x14ac:dyDescent="0.2">
      <c r="A284" s="227" t="s">
        <v>514</v>
      </c>
      <c r="B284" s="266" t="s">
        <v>513</v>
      </c>
      <c r="C284" s="274" t="s">
        <v>29</v>
      </c>
      <c r="D284" s="246" t="s">
        <v>1261</v>
      </c>
      <c r="E284" s="246" t="s">
        <v>16</v>
      </c>
      <c r="F284" s="246" t="s">
        <v>1124</v>
      </c>
      <c r="G284" s="247">
        <v>0</v>
      </c>
      <c r="H284" s="302" t="s">
        <v>16</v>
      </c>
      <c r="I284" s="247">
        <v>0</v>
      </c>
      <c r="J284" s="302" t="s">
        <v>16</v>
      </c>
      <c r="K284" s="246" t="s">
        <v>873</v>
      </c>
      <c r="L284" s="302" t="s">
        <v>16</v>
      </c>
      <c r="M284" s="247">
        <v>0</v>
      </c>
      <c r="N284" s="302" t="s">
        <v>16</v>
      </c>
      <c r="O284" s="247">
        <v>0</v>
      </c>
      <c r="P284" s="302" t="s">
        <v>16</v>
      </c>
      <c r="Q284" s="246" t="s">
        <v>873</v>
      </c>
      <c r="R284" s="302" t="s">
        <v>16</v>
      </c>
      <c r="S284" s="247">
        <v>0</v>
      </c>
      <c r="T284" s="302" t="s">
        <v>16</v>
      </c>
      <c r="U284" s="247">
        <v>0</v>
      </c>
      <c r="V284" s="302" t="s">
        <v>16</v>
      </c>
      <c r="W284" s="246" t="s">
        <v>873</v>
      </c>
      <c r="X284" s="303" t="s">
        <v>16</v>
      </c>
    </row>
    <row r="285" spans="1:24" x14ac:dyDescent="0.2">
      <c r="A285" s="227" t="s">
        <v>518</v>
      </c>
      <c r="B285" s="266" t="s">
        <v>517</v>
      </c>
      <c r="C285" s="274" t="s">
        <v>29</v>
      </c>
      <c r="D285" s="246" t="s">
        <v>1262</v>
      </c>
      <c r="E285" s="246" t="s">
        <v>1263</v>
      </c>
      <c r="F285" s="246" t="s">
        <v>1135</v>
      </c>
      <c r="G285" s="247">
        <v>1.4112</v>
      </c>
      <c r="H285" s="248" t="s">
        <v>3224</v>
      </c>
      <c r="I285" s="247">
        <v>0.91559999999999997</v>
      </c>
      <c r="J285" s="302" t="s">
        <v>16</v>
      </c>
      <c r="K285" s="246" t="s">
        <v>872</v>
      </c>
      <c r="L285" s="246" t="s">
        <v>2694</v>
      </c>
      <c r="M285" s="247">
        <v>0.25</v>
      </c>
      <c r="N285" s="248" t="s">
        <v>3225</v>
      </c>
      <c r="O285" s="247">
        <v>0.25</v>
      </c>
      <c r="P285" s="248" t="s">
        <v>3226</v>
      </c>
      <c r="Q285" s="246" t="s">
        <v>872</v>
      </c>
      <c r="R285" s="246" t="s">
        <v>2694</v>
      </c>
      <c r="S285" s="247">
        <v>0.25</v>
      </c>
      <c r="T285" s="248" t="s">
        <v>2753</v>
      </c>
      <c r="U285" s="247">
        <v>0.25</v>
      </c>
      <c r="V285" s="248" t="s">
        <v>3227</v>
      </c>
      <c r="W285" s="246" t="s">
        <v>873</v>
      </c>
      <c r="X285" s="249" t="s">
        <v>2694</v>
      </c>
    </row>
    <row r="286" spans="1:24" x14ac:dyDescent="0.2">
      <c r="A286" s="227" t="s">
        <v>520</v>
      </c>
      <c r="B286" s="266" t="s">
        <v>519</v>
      </c>
      <c r="C286" s="274" t="s">
        <v>29</v>
      </c>
      <c r="D286" s="246" t="s">
        <v>1125</v>
      </c>
      <c r="E286" s="246" t="s">
        <v>1264</v>
      </c>
      <c r="F286" s="246" t="s">
        <v>2664</v>
      </c>
      <c r="G286" s="247">
        <v>1</v>
      </c>
      <c r="H286" s="248" t="s">
        <v>3228</v>
      </c>
      <c r="I286" s="247">
        <v>0.74570000000000003</v>
      </c>
      <c r="J286" s="302" t="s">
        <v>16</v>
      </c>
      <c r="K286" s="246" t="s">
        <v>872</v>
      </c>
      <c r="L286" s="246" t="s">
        <v>2694</v>
      </c>
      <c r="M286" s="247">
        <v>0.38</v>
      </c>
      <c r="N286" s="248" t="s">
        <v>3053</v>
      </c>
      <c r="O286" s="247">
        <v>0.37230000000000002</v>
      </c>
      <c r="P286" s="248" t="s">
        <v>2813</v>
      </c>
      <c r="Q286" s="246" t="s">
        <v>873</v>
      </c>
      <c r="R286" s="246" t="s">
        <v>2694</v>
      </c>
      <c r="S286" s="247">
        <v>0</v>
      </c>
      <c r="T286" s="248" t="s">
        <v>891</v>
      </c>
      <c r="U286" s="247">
        <v>0</v>
      </c>
      <c r="V286" s="248" t="s">
        <v>891</v>
      </c>
      <c r="W286" s="246" t="s">
        <v>873</v>
      </c>
      <c r="X286" s="249" t="s">
        <v>891</v>
      </c>
    </row>
    <row r="287" spans="1:24" x14ac:dyDescent="0.2">
      <c r="A287" s="227" t="s">
        <v>524</v>
      </c>
      <c r="B287" s="266" t="s">
        <v>523</v>
      </c>
      <c r="C287" s="274" t="s">
        <v>29</v>
      </c>
      <c r="D287" s="246" t="s">
        <v>1209</v>
      </c>
      <c r="E287" s="246" t="s">
        <v>3231</v>
      </c>
      <c r="F287" s="246" t="s">
        <v>2691</v>
      </c>
      <c r="G287" s="247">
        <v>0.25</v>
      </c>
      <c r="H287" s="248" t="s">
        <v>3232</v>
      </c>
      <c r="I287" s="247">
        <v>0.22939999999999999</v>
      </c>
      <c r="J287" s="302" t="s">
        <v>16</v>
      </c>
      <c r="K287" s="246" t="s">
        <v>872</v>
      </c>
      <c r="L287" s="246" t="s">
        <v>2694</v>
      </c>
      <c r="M287" s="302" t="s">
        <v>16</v>
      </c>
      <c r="N287" s="302" t="s">
        <v>16</v>
      </c>
      <c r="O287" s="302" t="s">
        <v>16</v>
      </c>
      <c r="P287" s="302" t="s">
        <v>16</v>
      </c>
      <c r="Q287" s="246" t="s">
        <v>873</v>
      </c>
      <c r="R287" s="302" t="s">
        <v>16</v>
      </c>
      <c r="S287" s="302" t="s">
        <v>16</v>
      </c>
      <c r="T287" s="302" t="s">
        <v>16</v>
      </c>
      <c r="U287" s="302" t="s">
        <v>16</v>
      </c>
      <c r="V287" s="302" t="s">
        <v>16</v>
      </c>
      <c r="W287" s="246" t="s">
        <v>872</v>
      </c>
      <c r="X287" s="303" t="s">
        <v>16</v>
      </c>
    </row>
    <row r="288" spans="1:24" x14ac:dyDescent="0.2">
      <c r="A288" s="227" t="s">
        <v>534</v>
      </c>
      <c r="B288" s="266" t="s">
        <v>533</v>
      </c>
      <c r="C288" s="274" t="s">
        <v>29</v>
      </c>
      <c r="D288" s="246" t="s">
        <v>1146</v>
      </c>
      <c r="E288" s="246" t="s">
        <v>3242</v>
      </c>
      <c r="F288" s="246" t="s">
        <v>2691</v>
      </c>
      <c r="G288" s="247">
        <v>2.75</v>
      </c>
      <c r="H288" s="248" t="s">
        <v>2942</v>
      </c>
      <c r="I288" s="247">
        <v>2.5731000000000002</v>
      </c>
      <c r="J288" s="302" t="s">
        <v>16</v>
      </c>
      <c r="K288" s="246" t="s">
        <v>872</v>
      </c>
      <c r="L288" s="246" t="s">
        <v>2694</v>
      </c>
      <c r="M288" s="247">
        <v>0.104</v>
      </c>
      <c r="N288" s="248" t="s">
        <v>3243</v>
      </c>
      <c r="O288" s="247">
        <v>0.104</v>
      </c>
      <c r="P288" s="302" t="s">
        <v>16</v>
      </c>
      <c r="Q288" s="246" t="s">
        <v>872</v>
      </c>
      <c r="R288" s="246" t="s">
        <v>2694</v>
      </c>
      <c r="S288" s="247">
        <v>0</v>
      </c>
      <c r="T288" s="248" t="s">
        <v>891</v>
      </c>
      <c r="U288" s="247">
        <v>0</v>
      </c>
      <c r="V288" s="248" t="s">
        <v>891</v>
      </c>
      <c r="W288" s="246" t="s">
        <v>873</v>
      </c>
      <c r="X288" s="249" t="s">
        <v>891</v>
      </c>
    </row>
    <row r="289" spans="1:24" x14ac:dyDescent="0.2">
      <c r="A289" s="227" t="s">
        <v>548</v>
      </c>
      <c r="B289" s="266" t="s">
        <v>547</v>
      </c>
      <c r="C289" s="274" t="s">
        <v>29</v>
      </c>
      <c r="D289" s="246" t="s">
        <v>1157</v>
      </c>
      <c r="E289" s="246" t="s">
        <v>1270</v>
      </c>
      <c r="F289" s="246" t="s">
        <v>2691</v>
      </c>
      <c r="G289" s="247">
        <v>1.5</v>
      </c>
      <c r="H289" s="248" t="s">
        <v>3258</v>
      </c>
      <c r="I289" s="247">
        <v>1.4842</v>
      </c>
      <c r="J289" s="248" t="s">
        <v>891</v>
      </c>
      <c r="K289" s="246" t="s">
        <v>872</v>
      </c>
      <c r="L289" s="246" t="s">
        <v>2694</v>
      </c>
      <c r="M289" s="247">
        <v>0.25</v>
      </c>
      <c r="N289" s="248" t="s">
        <v>2789</v>
      </c>
      <c r="O289" s="247">
        <v>0.25</v>
      </c>
      <c r="P289" s="248" t="s">
        <v>3230</v>
      </c>
      <c r="Q289" s="246" t="s">
        <v>873</v>
      </c>
      <c r="R289" s="246" t="s">
        <v>3259</v>
      </c>
      <c r="S289" s="247">
        <v>0</v>
      </c>
      <c r="T289" s="248" t="s">
        <v>891</v>
      </c>
      <c r="U289" s="247">
        <v>0</v>
      </c>
      <c r="V289" s="248" t="s">
        <v>891</v>
      </c>
      <c r="W289" s="246" t="s">
        <v>873</v>
      </c>
      <c r="X289" s="249" t="s">
        <v>891</v>
      </c>
    </row>
    <row r="290" spans="1:24" x14ac:dyDescent="0.2">
      <c r="A290" s="227" t="s">
        <v>564</v>
      </c>
      <c r="B290" s="266" t="s">
        <v>563</v>
      </c>
      <c r="C290" s="274" t="s">
        <v>29</v>
      </c>
      <c r="D290" s="246" t="s">
        <v>1272</v>
      </c>
      <c r="E290" s="246" t="s">
        <v>3279</v>
      </c>
      <c r="F290" s="246" t="s">
        <v>2691</v>
      </c>
      <c r="G290" s="247">
        <v>0.03</v>
      </c>
      <c r="H290" s="248" t="s">
        <v>2798</v>
      </c>
      <c r="I290" s="247">
        <v>0.03</v>
      </c>
      <c r="J290" s="248" t="s">
        <v>3280</v>
      </c>
      <c r="K290" s="246" t="s">
        <v>873</v>
      </c>
      <c r="L290" s="246" t="s">
        <v>2723</v>
      </c>
      <c r="M290" s="247">
        <v>0.02</v>
      </c>
      <c r="N290" s="248" t="s">
        <v>2798</v>
      </c>
      <c r="O290" s="247">
        <v>0.02</v>
      </c>
      <c r="P290" s="248" t="s">
        <v>3280</v>
      </c>
      <c r="Q290" s="246" t="s">
        <v>873</v>
      </c>
      <c r="R290" s="246" t="s">
        <v>2723</v>
      </c>
      <c r="S290" s="302" t="s">
        <v>16</v>
      </c>
      <c r="T290" s="302" t="s">
        <v>16</v>
      </c>
      <c r="U290" s="302" t="s">
        <v>16</v>
      </c>
      <c r="V290" s="302" t="s">
        <v>16</v>
      </c>
      <c r="W290" s="246" t="s">
        <v>873</v>
      </c>
      <c r="X290" s="303" t="s">
        <v>16</v>
      </c>
    </row>
    <row r="291" spans="1:24" x14ac:dyDescent="0.2">
      <c r="A291" s="227" t="s">
        <v>574</v>
      </c>
      <c r="B291" s="266" t="s">
        <v>573</v>
      </c>
      <c r="C291" s="274" t="s">
        <v>29</v>
      </c>
      <c r="D291" s="246" t="s">
        <v>1274</v>
      </c>
      <c r="E291" s="246" t="s">
        <v>3286</v>
      </c>
      <c r="F291" s="246" t="s">
        <v>1124</v>
      </c>
      <c r="G291" s="247">
        <v>0.4</v>
      </c>
      <c r="H291" s="248" t="s">
        <v>2848</v>
      </c>
      <c r="I291" s="247">
        <v>0.4</v>
      </c>
      <c r="J291" s="248" t="s">
        <v>3050</v>
      </c>
      <c r="K291" s="246" t="s">
        <v>873</v>
      </c>
      <c r="L291" s="246" t="s">
        <v>2694</v>
      </c>
      <c r="M291" s="247">
        <v>0.375</v>
      </c>
      <c r="N291" s="248" t="s">
        <v>2969</v>
      </c>
      <c r="O291" s="247">
        <v>0.375</v>
      </c>
      <c r="P291" s="248" t="s">
        <v>2894</v>
      </c>
      <c r="Q291" s="246" t="s">
        <v>873</v>
      </c>
      <c r="R291" s="246" t="s">
        <v>2772</v>
      </c>
      <c r="S291" s="302" t="s">
        <v>16</v>
      </c>
      <c r="T291" s="302" t="s">
        <v>16</v>
      </c>
      <c r="U291" s="302" t="s">
        <v>16</v>
      </c>
      <c r="V291" s="302" t="s">
        <v>16</v>
      </c>
      <c r="W291" s="246" t="s">
        <v>873</v>
      </c>
      <c r="X291" s="303" t="s">
        <v>16</v>
      </c>
    </row>
    <row r="292" spans="1:24" x14ac:dyDescent="0.2">
      <c r="A292" s="227" t="s">
        <v>576</v>
      </c>
      <c r="B292" s="266" t="s">
        <v>575</v>
      </c>
      <c r="C292" s="274" t="s">
        <v>29</v>
      </c>
      <c r="D292" s="246" t="s">
        <v>1133</v>
      </c>
      <c r="E292" s="246" t="s">
        <v>3287</v>
      </c>
      <c r="F292" s="246" t="s">
        <v>2691</v>
      </c>
      <c r="G292" s="247">
        <v>1</v>
      </c>
      <c r="H292" s="248" t="s">
        <v>3288</v>
      </c>
      <c r="I292" s="247">
        <v>0.98880000000000001</v>
      </c>
      <c r="J292" s="302" t="s">
        <v>16</v>
      </c>
      <c r="K292" s="246" t="s">
        <v>872</v>
      </c>
      <c r="L292" s="246" t="s">
        <v>2694</v>
      </c>
      <c r="M292" s="247">
        <v>0.65</v>
      </c>
      <c r="N292" s="248" t="s">
        <v>3289</v>
      </c>
      <c r="O292" s="247">
        <v>0.65</v>
      </c>
      <c r="P292" s="248" t="s">
        <v>3290</v>
      </c>
      <c r="Q292" s="246" t="s">
        <v>873</v>
      </c>
      <c r="R292" s="246" t="s">
        <v>2772</v>
      </c>
      <c r="S292" s="302" t="s">
        <v>16</v>
      </c>
      <c r="T292" s="302" t="s">
        <v>16</v>
      </c>
      <c r="U292" s="302" t="s">
        <v>16</v>
      </c>
      <c r="V292" s="302" t="s">
        <v>16</v>
      </c>
      <c r="W292" s="246" t="s">
        <v>873</v>
      </c>
      <c r="X292" s="303" t="s">
        <v>16</v>
      </c>
    </row>
    <row r="293" spans="1:24" x14ac:dyDescent="0.2">
      <c r="A293" s="227" t="s">
        <v>580</v>
      </c>
      <c r="B293" s="266" t="s">
        <v>579</v>
      </c>
      <c r="C293" s="274" t="s">
        <v>29</v>
      </c>
      <c r="D293" s="246" t="s">
        <v>1125</v>
      </c>
      <c r="E293" s="246" t="s">
        <v>1276</v>
      </c>
      <c r="F293" s="246" t="s">
        <v>2664</v>
      </c>
      <c r="G293" s="247">
        <v>1</v>
      </c>
      <c r="H293" s="248" t="s">
        <v>3292</v>
      </c>
      <c r="I293" s="247">
        <v>0.65229999999999999</v>
      </c>
      <c r="J293" s="302" t="s">
        <v>16</v>
      </c>
      <c r="K293" s="246" t="s">
        <v>872</v>
      </c>
      <c r="L293" s="246" t="s">
        <v>2694</v>
      </c>
      <c r="M293" s="247">
        <v>0.85</v>
      </c>
      <c r="N293" s="248" t="s">
        <v>3177</v>
      </c>
      <c r="O293" s="247">
        <v>0.69599999999999995</v>
      </c>
      <c r="P293" s="302" t="s">
        <v>16</v>
      </c>
      <c r="Q293" s="246" t="s">
        <v>872</v>
      </c>
      <c r="R293" s="246" t="s">
        <v>2694</v>
      </c>
      <c r="S293" s="302" t="s">
        <v>16</v>
      </c>
      <c r="T293" s="302" t="s">
        <v>16</v>
      </c>
      <c r="U293" s="302" t="s">
        <v>16</v>
      </c>
      <c r="V293" s="302" t="s">
        <v>16</v>
      </c>
      <c r="W293" s="302" t="s">
        <v>16</v>
      </c>
      <c r="X293" s="303" t="s">
        <v>16</v>
      </c>
    </row>
    <row r="294" spans="1:24" x14ac:dyDescent="0.2">
      <c r="A294" s="227" t="s">
        <v>588</v>
      </c>
      <c r="B294" s="266" t="s">
        <v>587</v>
      </c>
      <c r="C294" s="274" t="s">
        <v>29</v>
      </c>
      <c r="D294" s="246" t="s">
        <v>1229</v>
      </c>
      <c r="E294" s="246" t="s">
        <v>1278</v>
      </c>
      <c r="F294" s="246" t="s">
        <v>2691</v>
      </c>
      <c r="G294" s="247">
        <v>1</v>
      </c>
      <c r="H294" s="248" t="s">
        <v>3302</v>
      </c>
      <c r="I294" s="247">
        <v>1</v>
      </c>
      <c r="J294" s="248" t="s">
        <v>3303</v>
      </c>
      <c r="K294" s="246" t="s">
        <v>873</v>
      </c>
      <c r="L294" s="246" t="s">
        <v>2694</v>
      </c>
      <c r="M294" s="247">
        <v>0.3</v>
      </c>
      <c r="N294" s="248" t="s">
        <v>3304</v>
      </c>
      <c r="O294" s="247">
        <v>0.28039999999999998</v>
      </c>
      <c r="P294" s="248" t="s">
        <v>891</v>
      </c>
      <c r="Q294" s="246" t="s">
        <v>872</v>
      </c>
      <c r="R294" s="246" t="s">
        <v>2694</v>
      </c>
      <c r="S294" s="247">
        <v>0.5</v>
      </c>
      <c r="T294" s="248" t="s">
        <v>3305</v>
      </c>
      <c r="U294" s="247">
        <v>0.4703</v>
      </c>
      <c r="V294" s="248" t="s">
        <v>891</v>
      </c>
      <c r="W294" s="246" t="s">
        <v>872</v>
      </c>
      <c r="X294" s="249" t="s">
        <v>2694</v>
      </c>
    </row>
    <row r="295" spans="1:24" x14ac:dyDescent="0.2">
      <c r="A295" s="227" t="s">
        <v>600</v>
      </c>
      <c r="B295" s="266" t="s">
        <v>599</v>
      </c>
      <c r="C295" s="274" t="s">
        <v>29</v>
      </c>
      <c r="D295" s="246" t="s">
        <v>1128</v>
      </c>
      <c r="E295" s="246" t="s">
        <v>3314</v>
      </c>
      <c r="F295" s="246" t="s">
        <v>2691</v>
      </c>
      <c r="G295" s="247">
        <v>1</v>
      </c>
      <c r="H295" s="248" t="s">
        <v>3315</v>
      </c>
      <c r="I295" s="247">
        <v>0.86</v>
      </c>
      <c r="J295" s="302" t="s">
        <v>16</v>
      </c>
      <c r="K295" s="246" t="s">
        <v>872</v>
      </c>
      <c r="L295" s="246" t="s">
        <v>2705</v>
      </c>
      <c r="M295" s="247">
        <v>1</v>
      </c>
      <c r="N295" s="248" t="s">
        <v>3316</v>
      </c>
      <c r="O295" s="247">
        <v>0.95409999999999995</v>
      </c>
      <c r="P295" s="302" t="s">
        <v>16</v>
      </c>
      <c r="Q295" s="246" t="s">
        <v>872</v>
      </c>
      <c r="R295" s="246" t="s">
        <v>2705</v>
      </c>
      <c r="S295" s="247">
        <v>0.4</v>
      </c>
      <c r="T295" s="248" t="s">
        <v>3317</v>
      </c>
      <c r="U295" s="247">
        <v>0.4</v>
      </c>
      <c r="V295" s="248" t="s">
        <v>2923</v>
      </c>
      <c r="W295" s="246" t="s">
        <v>873</v>
      </c>
      <c r="X295" s="249" t="s">
        <v>2723</v>
      </c>
    </row>
    <row r="296" spans="1:24" x14ac:dyDescent="0.2">
      <c r="A296" s="227" t="s">
        <v>616</v>
      </c>
      <c r="B296" s="266" t="s">
        <v>615</v>
      </c>
      <c r="C296" s="274" t="s">
        <v>29</v>
      </c>
      <c r="D296" s="246" t="s">
        <v>1171</v>
      </c>
      <c r="E296" s="246" t="s">
        <v>3338</v>
      </c>
      <c r="F296" s="246" t="s">
        <v>2691</v>
      </c>
      <c r="G296" s="247">
        <v>1.9605999999999999</v>
      </c>
      <c r="H296" s="248" t="s">
        <v>3339</v>
      </c>
      <c r="I296" s="247">
        <v>1.9605999999999999</v>
      </c>
      <c r="J296" s="248" t="s">
        <v>3340</v>
      </c>
      <c r="K296" s="246" t="s">
        <v>873</v>
      </c>
      <c r="L296" s="246" t="s">
        <v>2687</v>
      </c>
      <c r="M296" s="302" t="s">
        <v>16</v>
      </c>
      <c r="N296" s="302" t="s">
        <v>16</v>
      </c>
      <c r="O296" s="302" t="s">
        <v>16</v>
      </c>
      <c r="P296" s="302" t="s">
        <v>16</v>
      </c>
      <c r="Q296" s="246" t="s">
        <v>873</v>
      </c>
      <c r="R296" s="302" t="s">
        <v>16</v>
      </c>
      <c r="S296" s="302" t="s">
        <v>16</v>
      </c>
      <c r="T296" s="302" t="s">
        <v>16</v>
      </c>
      <c r="U296" s="302" t="s">
        <v>16</v>
      </c>
      <c r="V296" s="302" t="s">
        <v>16</v>
      </c>
      <c r="W296" s="246" t="s">
        <v>873</v>
      </c>
      <c r="X296" s="303" t="s">
        <v>16</v>
      </c>
    </row>
    <row r="297" spans="1:24" x14ac:dyDescent="0.2">
      <c r="A297" s="227" t="s">
        <v>618</v>
      </c>
      <c r="B297" s="266" t="s">
        <v>617</v>
      </c>
      <c r="C297" s="274" t="s">
        <v>29</v>
      </c>
      <c r="D297" s="246" t="s">
        <v>1143</v>
      </c>
      <c r="E297" s="246" t="s">
        <v>3341</v>
      </c>
      <c r="F297" s="246" t="s">
        <v>2691</v>
      </c>
      <c r="G297" s="247">
        <v>1</v>
      </c>
      <c r="H297" s="248" t="s">
        <v>3342</v>
      </c>
      <c r="I297" s="247">
        <v>0.93389999999999995</v>
      </c>
      <c r="J297" s="248" t="s">
        <v>3343</v>
      </c>
      <c r="K297" s="246" t="s">
        <v>873</v>
      </c>
      <c r="L297" s="246" t="s">
        <v>2694</v>
      </c>
      <c r="M297" s="247">
        <v>1</v>
      </c>
      <c r="N297" s="248" t="s">
        <v>3344</v>
      </c>
      <c r="O297" s="247">
        <v>0.78</v>
      </c>
      <c r="P297" s="248" t="s">
        <v>3345</v>
      </c>
      <c r="Q297" s="246" t="s">
        <v>873</v>
      </c>
      <c r="R297" s="246" t="s">
        <v>2772</v>
      </c>
      <c r="S297" s="247">
        <v>0</v>
      </c>
      <c r="T297" s="302" t="s">
        <v>16</v>
      </c>
      <c r="U297" s="302" t="s">
        <v>16</v>
      </c>
      <c r="V297" s="302" t="s">
        <v>16</v>
      </c>
      <c r="W297" s="246" t="s">
        <v>873</v>
      </c>
      <c r="X297" s="303" t="s">
        <v>16</v>
      </c>
    </row>
    <row r="298" spans="1:24" x14ac:dyDescent="0.2">
      <c r="A298" s="227" t="s">
        <v>622</v>
      </c>
      <c r="B298" s="266" t="s">
        <v>621</v>
      </c>
      <c r="C298" s="274" t="s">
        <v>29</v>
      </c>
      <c r="D298" s="246" t="s">
        <v>1283</v>
      </c>
      <c r="E298" s="246" t="s">
        <v>3347</v>
      </c>
      <c r="F298" s="246" t="s">
        <v>2691</v>
      </c>
      <c r="G298" s="247">
        <v>1</v>
      </c>
      <c r="H298" s="248" t="s">
        <v>3348</v>
      </c>
      <c r="I298" s="247">
        <v>1</v>
      </c>
      <c r="J298" s="248" t="s">
        <v>2841</v>
      </c>
      <c r="K298" s="246" t="s">
        <v>873</v>
      </c>
      <c r="L298" s="246" t="s">
        <v>2687</v>
      </c>
      <c r="M298" s="302" t="s">
        <v>16</v>
      </c>
      <c r="N298" s="302" t="s">
        <v>16</v>
      </c>
      <c r="O298" s="302" t="s">
        <v>16</v>
      </c>
      <c r="P298" s="302" t="s">
        <v>16</v>
      </c>
      <c r="Q298" s="246" t="s">
        <v>873</v>
      </c>
      <c r="R298" s="302" t="s">
        <v>16</v>
      </c>
      <c r="S298" s="302" t="s">
        <v>16</v>
      </c>
      <c r="T298" s="302" t="s">
        <v>16</v>
      </c>
      <c r="U298" s="302" t="s">
        <v>16</v>
      </c>
      <c r="V298" s="302" t="s">
        <v>16</v>
      </c>
      <c r="W298" s="246" t="s">
        <v>873</v>
      </c>
      <c r="X298" s="303" t="s">
        <v>16</v>
      </c>
    </row>
    <row r="299" spans="1:24" x14ac:dyDescent="0.2">
      <c r="A299" s="227" t="s">
        <v>658</v>
      </c>
      <c r="B299" s="266" t="s">
        <v>657</v>
      </c>
      <c r="C299" s="274" t="s">
        <v>29</v>
      </c>
      <c r="D299" s="246" t="s">
        <v>1134</v>
      </c>
      <c r="E299" s="246" t="s">
        <v>3377</v>
      </c>
      <c r="F299" s="246" t="s">
        <v>1135</v>
      </c>
      <c r="G299" s="247">
        <v>0.8</v>
      </c>
      <c r="H299" s="248" t="s">
        <v>3378</v>
      </c>
      <c r="I299" s="247">
        <v>0.8</v>
      </c>
      <c r="J299" s="248" t="s">
        <v>3379</v>
      </c>
      <c r="K299" s="246" t="s">
        <v>873</v>
      </c>
      <c r="L299" s="302" t="s">
        <v>16</v>
      </c>
      <c r="M299" s="302" t="s">
        <v>16</v>
      </c>
      <c r="N299" s="302" t="s">
        <v>16</v>
      </c>
      <c r="O299" s="302" t="s">
        <v>16</v>
      </c>
      <c r="P299" s="302" t="s">
        <v>16</v>
      </c>
      <c r="Q299" s="302" t="s">
        <v>16</v>
      </c>
      <c r="R299" s="302" t="s">
        <v>16</v>
      </c>
      <c r="S299" s="302" t="s">
        <v>16</v>
      </c>
      <c r="T299" s="302" t="s">
        <v>16</v>
      </c>
      <c r="U299" s="302" t="s">
        <v>16</v>
      </c>
      <c r="V299" s="302" t="s">
        <v>16</v>
      </c>
      <c r="W299" s="302" t="s">
        <v>16</v>
      </c>
      <c r="X299" s="303" t="s">
        <v>16</v>
      </c>
    </row>
    <row r="300" spans="1:24" x14ac:dyDescent="0.2">
      <c r="A300" s="227" t="s">
        <v>686</v>
      </c>
      <c r="B300" s="266" t="s">
        <v>685</v>
      </c>
      <c r="C300" s="274" t="s">
        <v>29</v>
      </c>
      <c r="D300" s="246" t="s">
        <v>1144</v>
      </c>
      <c r="E300" s="246" t="s">
        <v>3408</v>
      </c>
      <c r="F300" s="246" t="s">
        <v>2691</v>
      </c>
      <c r="G300" s="247">
        <v>1.25</v>
      </c>
      <c r="H300" s="248" t="s">
        <v>3409</v>
      </c>
      <c r="I300" s="247">
        <v>1.0855999999999999</v>
      </c>
      <c r="J300" s="302" t="s">
        <v>16</v>
      </c>
      <c r="K300" s="246" t="s">
        <v>872</v>
      </c>
      <c r="L300" s="246" t="s">
        <v>2694</v>
      </c>
      <c r="M300" s="247">
        <v>0.495</v>
      </c>
      <c r="N300" s="248" t="s">
        <v>3410</v>
      </c>
      <c r="O300" s="247">
        <v>0.48199999999999998</v>
      </c>
      <c r="P300" s="248" t="s">
        <v>3411</v>
      </c>
      <c r="Q300" s="246" t="s">
        <v>873</v>
      </c>
      <c r="R300" s="246" t="s">
        <v>2694</v>
      </c>
      <c r="S300" s="302" t="s">
        <v>16</v>
      </c>
      <c r="T300" s="302" t="s">
        <v>16</v>
      </c>
      <c r="U300" s="302" t="s">
        <v>16</v>
      </c>
      <c r="V300" s="302" t="s">
        <v>16</v>
      </c>
      <c r="W300" s="246" t="s">
        <v>873</v>
      </c>
      <c r="X300" s="303" t="s">
        <v>16</v>
      </c>
    </row>
    <row r="301" spans="1:24" x14ac:dyDescent="0.2">
      <c r="A301" s="227" t="s">
        <v>728</v>
      </c>
      <c r="B301" s="266" t="s">
        <v>727</v>
      </c>
      <c r="C301" s="274" t="s">
        <v>29</v>
      </c>
      <c r="D301" s="246" t="s">
        <v>1136</v>
      </c>
      <c r="E301" s="246" t="s">
        <v>1299</v>
      </c>
      <c r="F301" s="246" t="s">
        <v>2691</v>
      </c>
      <c r="G301" s="247">
        <v>1.2</v>
      </c>
      <c r="H301" s="248" t="s">
        <v>3460</v>
      </c>
      <c r="I301" s="247">
        <v>1.1617</v>
      </c>
      <c r="J301" s="248" t="s">
        <v>3461</v>
      </c>
      <c r="K301" s="246" t="s">
        <v>873</v>
      </c>
      <c r="L301" s="246" t="s">
        <v>2694</v>
      </c>
      <c r="M301" s="247">
        <v>0.6</v>
      </c>
      <c r="N301" s="248" t="s">
        <v>3462</v>
      </c>
      <c r="O301" s="247">
        <v>0.56310000000000004</v>
      </c>
      <c r="P301" s="248" t="s">
        <v>2686</v>
      </c>
      <c r="Q301" s="246" t="s">
        <v>872</v>
      </c>
      <c r="R301" s="246" t="s">
        <v>2694</v>
      </c>
      <c r="S301" s="247">
        <v>0.6</v>
      </c>
      <c r="T301" s="248" t="s">
        <v>3463</v>
      </c>
      <c r="U301" s="247">
        <v>0.47</v>
      </c>
      <c r="V301" s="248" t="s">
        <v>2923</v>
      </c>
      <c r="W301" s="246" t="s">
        <v>873</v>
      </c>
      <c r="X301" s="249" t="s">
        <v>2721</v>
      </c>
    </row>
    <row r="302" spans="1:24" x14ac:dyDescent="0.2">
      <c r="A302" s="227" t="s">
        <v>730</v>
      </c>
      <c r="B302" s="266" t="s">
        <v>729</v>
      </c>
      <c r="C302" s="274" t="s">
        <v>29</v>
      </c>
      <c r="D302" s="246" t="s">
        <v>1125</v>
      </c>
      <c r="E302" s="246" t="s">
        <v>3464</v>
      </c>
      <c r="F302" s="246" t="s">
        <v>2664</v>
      </c>
      <c r="G302" s="247">
        <v>0.5</v>
      </c>
      <c r="H302" s="248" t="s">
        <v>3465</v>
      </c>
      <c r="I302" s="247">
        <v>0.41099999999999998</v>
      </c>
      <c r="J302" s="302" t="s">
        <v>16</v>
      </c>
      <c r="K302" s="246" t="s">
        <v>872</v>
      </c>
      <c r="L302" s="246" t="s">
        <v>2694</v>
      </c>
      <c r="M302" s="247">
        <v>0.5</v>
      </c>
      <c r="N302" s="248" t="s">
        <v>3127</v>
      </c>
      <c r="O302" s="247">
        <v>0.49249999999999999</v>
      </c>
      <c r="P302" s="302" t="s">
        <v>16</v>
      </c>
      <c r="Q302" s="246" t="s">
        <v>872</v>
      </c>
      <c r="R302" s="246" t="s">
        <v>2694</v>
      </c>
      <c r="S302" s="302" t="s">
        <v>16</v>
      </c>
      <c r="T302" s="302" t="s">
        <v>16</v>
      </c>
      <c r="U302" s="302" t="s">
        <v>16</v>
      </c>
      <c r="V302" s="302" t="s">
        <v>16</v>
      </c>
      <c r="W302" s="246" t="s">
        <v>873</v>
      </c>
      <c r="X302" s="303" t="s">
        <v>16</v>
      </c>
    </row>
    <row r="303" spans="1:24" x14ac:dyDescent="0.2">
      <c r="A303" s="227" t="s">
        <v>736</v>
      </c>
      <c r="B303" s="266" t="s">
        <v>735</v>
      </c>
      <c r="C303" s="274" t="s">
        <v>29</v>
      </c>
      <c r="D303" s="246" t="s">
        <v>1167</v>
      </c>
      <c r="E303" s="246" t="s">
        <v>1300</v>
      </c>
      <c r="F303" s="246" t="s">
        <v>2691</v>
      </c>
      <c r="G303" s="247">
        <v>1.1000000000000001</v>
      </c>
      <c r="H303" s="248" t="s">
        <v>3470</v>
      </c>
      <c r="I303" s="247">
        <v>1.0981000000000001</v>
      </c>
      <c r="J303" s="248" t="s">
        <v>3471</v>
      </c>
      <c r="K303" s="246" t="s">
        <v>873</v>
      </c>
      <c r="L303" s="246" t="s">
        <v>2694</v>
      </c>
      <c r="M303" s="247">
        <v>0</v>
      </c>
      <c r="N303" s="302" t="s">
        <v>16</v>
      </c>
      <c r="O303" s="247">
        <v>0</v>
      </c>
      <c r="P303" s="302" t="s">
        <v>16</v>
      </c>
      <c r="Q303" s="246" t="s">
        <v>873</v>
      </c>
      <c r="R303" s="302" t="s">
        <v>16</v>
      </c>
      <c r="S303" s="302" t="s">
        <v>16</v>
      </c>
      <c r="T303" s="302" t="s">
        <v>16</v>
      </c>
      <c r="U303" s="302" t="s">
        <v>16</v>
      </c>
      <c r="V303" s="302" t="s">
        <v>16</v>
      </c>
      <c r="W303" s="246" t="s">
        <v>873</v>
      </c>
      <c r="X303" s="303" t="s">
        <v>16</v>
      </c>
    </row>
    <row r="304" spans="1:24" x14ac:dyDescent="0.2">
      <c r="A304" s="227" t="s">
        <v>755</v>
      </c>
      <c r="B304" s="266" t="s">
        <v>754</v>
      </c>
      <c r="C304" s="274" t="s">
        <v>29</v>
      </c>
      <c r="D304" s="246" t="s">
        <v>1126</v>
      </c>
      <c r="E304" s="246" t="s">
        <v>1304</v>
      </c>
      <c r="F304" s="246" t="s">
        <v>2691</v>
      </c>
      <c r="G304" s="247">
        <v>1.35</v>
      </c>
      <c r="H304" s="248" t="s">
        <v>3486</v>
      </c>
      <c r="I304" s="247">
        <v>1.3</v>
      </c>
      <c r="J304" s="248" t="s">
        <v>3487</v>
      </c>
      <c r="K304" s="246" t="s">
        <v>873</v>
      </c>
      <c r="L304" s="246" t="s">
        <v>2694</v>
      </c>
      <c r="M304" s="302" t="s">
        <v>16</v>
      </c>
      <c r="N304" s="302" t="s">
        <v>16</v>
      </c>
      <c r="O304" s="302" t="s">
        <v>16</v>
      </c>
      <c r="P304" s="302" t="s">
        <v>16</v>
      </c>
      <c r="Q304" s="246" t="s">
        <v>873</v>
      </c>
      <c r="R304" s="302" t="s">
        <v>16</v>
      </c>
      <c r="S304" s="302" t="s">
        <v>16</v>
      </c>
      <c r="T304" s="302" t="s">
        <v>16</v>
      </c>
      <c r="U304" s="302" t="s">
        <v>16</v>
      </c>
      <c r="V304" s="302" t="s">
        <v>16</v>
      </c>
      <c r="W304" s="246" t="s">
        <v>873</v>
      </c>
      <c r="X304" s="303" t="s">
        <v>16</v>
      </c>
    </row>
    <row r="305" spans="1:24" x14ac:dyDescent="0.2">
      <c r="A305" s="227" t="s">
        <v>767</v>
      </c>
      <c r="B305" s="266" t="s">
        <v>766</v>
      </c>
      <c r="C305" s="274" t="s">
        <v>29</v>
      </c>
      <c r="D305" s="246" t="s">
        <v>1200</v>
      </c>
      <c r="E305" s="246" t="s">
        <v>3498</v>
      </c>
      <c r="F305" s="246" t="s">
        <v>2836</v>
      </c>
      <c r="G305" s="302" t="s">
        <v>16</v>
      </c>
      <c r="H305" s="302" t="s">
        <v>16</v>
      </c>
      <c r="I305" s="302" t="s">
        <v>16</v>
      </c>
      <c r="J305" s="302" t="s">
        <v>16</v>
      </c>
      <c r="K305" s="246" t="s">
        <v>873</v>
      </c>
      <c r="L305" s="302" t="s">
        <v>16</v>
      </c>
      <c r="M305" s="302" t="s">
        <v>16</v>
      </c>
      <c r="N305" s="302" t="s">
        <v>16</v>
      </c>
      <c r="O305" s="302" t="s">
        <v>16</v>
      </c>
      <c r="P305" s="302" t="s">
        <v>16</v>
      </c>
      <c r="Q305" s="246" t="s">
        <v>873</v>
      </c>
      <c r="R305" s="302" t="s">
        <v>16</v>
      </c>
      <c r="S305" s="302" t="s">
        <v>16</v>
      </c>
      <c r="T305" s="302" t="s">
        <v>16</v>
      </c>
      <c r="U305" s="302" t="s">
        <v>16</v>
      </c>
      <c r="V305" s="302" t="s">
        <v>16</v>
      </c>
      <c r="W305" s="246" t="s">
        <v>873</v>
      </c>
      <c r="X305" s="303" t="s">
        <v>16</v>
      </c>
    </row>
    <row r="306" spans="1:24" x14ac:dyDescent="0.2">
      <c r="A306" s="227" t="s">
        <v>771</v>
      </c>
      <c r="B306" s="266" t="s">
        <v>770</v>
      </c>
      <c r="C306" s="274" t="s">
        <v>29</v>
      </c>
      <c r="D306" s="246" t="s">
        <v>1167</v>
      </c>
      <c r="E306" s="246" t="s">
        <v>3503</v>
      </c>
      <c r="F306" s="246" t="s">
        <v>1135</v>
      </c>
      <c r="G306" s="247">
        <v>1.75</v>
      </c>
      <c r="H306" s="248" t="s">
        <v>3504</v>
      </c>
      <c r="I306" s="247">
        <v>1.68</v>
      </c>
      <c r="J306" s="248" t="s">
        <v>891</v>
      </c>
      <c r="K306" s="246" t="s">
        <v>872</v>
      </c>
      <c r="L306" s="246" t="s">
        <v>2723</v>
      </c>
      <c r="M306" s="247">
        <v>0</v>
      </c>
      <c r="N306" s="302" t="s">
        <v>16</v>
      </c>
      <c r="O306" s="247">
        <v>0</v>
      </c>
      <c r="P306" s="302" t="s">
        <v>16</v>
      </c>
      <c r="Q306" s="246" t="s">
        <v>873</v>
      </c>
      <c r="R306" s="302" t="s">
        <v>16</v>
      </c>
      <c r="S306" s="247">
        <v>0</v>
      </c>
      <c r="T306" s="302" t="s">
        <v>16</v>
      </c>
      <c r="U306" s="247">
        <v>0</v>
      </c>
      <c r="V306" s="302" t="s">
        <v>16</v>
      </c>
      <c r="W306" s="246" t="s">
        <v>873</v>
      </c>
      <c r="X306" s="303" t="s">
        <v>16</v>
      </c>
    </row>
    <row r="307" spans="1:24" x14ac:dyDescent="0.2">
      <c r="A307" s="227" t="s">
        <v>791</v>
      </c>
      <c r="B307" s="266" t="s">
        <v>790</v>
      </c>
      <c r="C307" s="274" t="s">
        <v>29</v>
      </c>
      <c r="D307" s="246" t="s">
        <v>1149</v>
      </c>
      <c r="E307" s="246" t="s">
        <v>1255</v>
      </c>
      <c r="F307" s="246" t="s">
        <v>2691</v>
      </c>
      <c r="G307" s="247">
        <v>1</v>
      </c>
      <c r="H307" s="248" t="s">
        <v>3520</v>
      </c>
      <c r="I307" s="247">
        <v>0.83179999999999998</v>
      </c>
      <c r="J307" s="302" t="s">
        <v>16</v>
      </c>
      <c r="K307" s="246" t="s">
        <v>872</v>
      </c>
      <c r="L307" s="246" t="s">
        <v>3521</v>
      </c>
      <c r="M307" s="302" t="s">
        <v>16</v>
      </c>
      <c r="N307" s="302" t="s">
        <v>16</v>
      </c>
      <c r="O307" s="302" t="s">
        <v>16</v>
      </c>
      <c r="P307" s="302" t="s">
        <v>16</v>
      </c>
      <c r="Q307" s="302" t="s">
        <v>16</v>
      </c>
      <c r="R307" s="302" t="s">
        <v>16</v>
      </c>
      <c r="S307" s="302" t="s">
        <v>16</v>
      </c>
      <c r="T307" s="302" t="s">
        <v>16</v>
      </c>
      <c r="U307" s="302" t="s">
        <v>16</v>
      </c>
      <c r="V307" s="302" t="s">
        <v>16</v>
      </c>
      <c r="W307" s="302" t="s">
        <v>16</v>
      </c>
      <c r="X307" s="303" t="s">
        <v>16</v>
      </c>
    </row>
    <row r="308" spans="1:24" x14ac:dyDescent="0.2">
      <c r="A308" s="227" t="s">
        <v>813</v>
      </c>
      <c r="B308" s="266" t="s">
        <v>812</v>
      </c>
      <c r="C308" s="274" t="s">
        <v>29</v>
      </c>
      <c r="D308" s="246" t="s">
        <v>1134</v>
      </c>
      <c r="E308" s="246" t="s">
        <v>3537</v>
      </c>
      <c r="F308" s="246" t="s">
        <v>1135</v>
      </c>
      <c r="G308" s="247">
        <v>0.99</v>
      </c>
      <c r="H308" s="302" t="s">
        <v>16</v>
      </c>
      <c r="I308" s="247">
        <v>0.99</v>
      </c>
      <c r="J308" s="302" t="s">
        <v>16</v>
      </c>
      <c r="K308" s="246" t="s">
        <v>872</v>
      </c>
      <c r="L308" s="302" t="s">
        <v>16</v>
      </c>
      <c r="M308" s="247">
        <v>1</v>
      </c>
      <c r="N308" s="248" t="s">
        <v>2789</v>
      </c>
      <c r="O308" s="247">
        <v>1</v>
      </c>
      <c r="P308" s="248" t="s">
        <v>3538</v>
      </c>
      <c r="Q308" s="246" t="s">
        <v>873</v>
      </c>
      <c r="R308" s="302" t="s">
        <v>16</v>
      </c>
      <c r="S308" s="247">
        <v>0</v>
      </c>
      <c r="T308" s="302" t="s">
        <v>16</v>
      </c>
      <c r="U308" s="247">
        <v>0</v>
      </c>
      <c r="V308" s="302" t="s">
        <v>16</v>
      </c>
      <c r="W308" s="246" t="s">
        <v>873</v>
      </c>
      <c r="X308" s="303" t="s">
        <v>16</v>
      </c>
    </row>
    <row r="309" spans="1:24" ht="13.5" thickBot="1" x14ac:dyDescent="0.25">
      <c r="A309" s="262" t="s">
        <v>839</v>
      </c>
      <c r="B309" s="290" t="s">
        <v>838</v>
      </c>
      <c r="C309" s="291" t="s">
        <v>29</v>
      </c>
      <c r="D309" s="292" t="s">
        <v>1125</v>
      </c>
      <c r="E309" s="292" t="s">
        <v>3568</v>
      </c>
      <c r="F309" s="292" t="s">
        <v>1135</v>
      </c>
      <c r="G309" s="293">
        <v>1.08</v>
      </c>
      <c r="H309" s="294" t="s">
        <v>2998</v>
      </c>
      <c r="I309" s="293">
        <v>1.08</v>
      </c>
      <c r="J309" s="294" t="s">
        <v>3569</v>
      </c>
      <c r="K309" s="292" t="s">
        <v>873</v>
      </c>
      <c r="L309" s="292" t="s">
        <v>2694</v>
      </c>
      <c r="M309" s="293">
        <v>0</v>
      </c>
      <c r="N309" s="304" t="s">
        <v>16</v>
      </c>
      <c r="O309" s="293">
        <v>0</v>
      </c>
      <c r="P309" s="304" t="s">
        <v>16</v>
      </c>
      <c r="Q309" s="292" t="s">
        <v>873</v>
      </c>
      <c r="R309" s="304" t="s">
        <v>16</v>
      </c>
      <c r="S309" s="293">
        <v>0</v>
      </c>
      <c r="T309" s="304" t="s">
        <v>16</v>
      </c>
      <c r="U309" s="293">
        <v>0</v>
      </c>
      <c r="V309" s="304" t="s">
        <v>16</v>
      </c>
      <c r="W309" s="292" t="s">
        <v>873</v>
      </c>
      <c r="X309" s="305" t="s">
        <v>16</v>
      </c>
    </row>
    <row r="310" spans="1:24" x14ac:dyDescent="0.2">
      <c r="A310" s="225" t="s">
        <v>44</v>
      </c>
      <c r="B310" s="226" t="s">
        <v>43</v>
      </c>
      <c r="C310" s="295" t="s">
        <v>45</v>
      </c>
      <c r="D310" s="295" t="s">
        <v>1134</v>
      </c>
      <c r="E310" s="295" t="s">
        <v>16</v>
      </c>
      <c r="F310" s="295" t="s">
        <v>1135</v>
      </c>
      <c r="G310" s="300" t="s">
        <v>16</v>
      </c>
      <c r="H310" s="300" t="s">
        <v>16</v>
      </c>
      <c r="I310" s="300" t="s">
        <v>16</v>
      </c>
      <c r="J310" s="300" t="s">
        <v>16</v>
      </c>
      <c r="K310" s="300" t="s">
        <v>16</v>
      </c>
      <c r="L310" s="300" t="s">
        <v>16</v>
      </c>
      <c r="M310" s="300" t="s">
        <v>16</v>
      </c>
      <c r="N310" s="300" t="s">
        <v>16</v>
      </c>
      <c r="O310" s="300" t="s">
        <v>16</v>
      </c>
      <c r="P310" s="300" t="s">
        <v>16</v>
      </c>
      <c r="Q310" s="300" t="s">
        <v>16</v>
      </c>
      <c r="R310" s="300" t="s">
        <v>16</v>
      </c>
      <c r="S310" s="300" t="s">
        <v>16</v>
      </c>
      <c r="T310" s="300" t="s">
        <v>16</v>
      </c>
      <c r="U310" s="300" t="s">
        <v>16</v>
      </c>
      <c r="V310" s="300" t="s">
        <v>16</v>
      </c>
      <c r="W310" s="300" t="s">
        <v>16</v>
      </c>
      <c r="X310" s="301" t="s">
        <v>16</v>
      </c>
    </row>
    <row r="311" spans="1:24" x14ac:dyDescent="0.2">
      <c r="A311" s="227" t="s">
        <v>47</v>
      </c>
      <c r="B311" s="224" t="s">
        <v>46</v>
      </c>
      <c r="C311" s="250" t="s">
        <v>45</v>
      </c>
      <c r="D311" s="250" t="s">
        <v>1136</v>
      </c>
      <c r="E311" s="250" t="s">
        <v>1137</v>
      </c>
      <c r="F311" s="250" t="s">
        <v>2664</v>
      </c>
      <c r="G311" s="252">
        <v>0.25</v>
      </c>
      <c r="H311" s="253" t="s">
        <v>2716</v>
      </c>
      <c r="I311" s="252">
        <v>0.25</v>
      </c>
      <c r="J311" s="253" t="s">
        <v>2717</v>
      </c>
      <c r="K311" s="250" t="s">
        <v>873</v>
      </c>
      <c r="L311" s="250" t="s">
        <v>2694</v>
      </c>
      <c r="M311" s="302" t="s">
        <v>16</v>
      </c>
      <c r="N311" s="302" t="s">
        <v>16</v>
      </c>
      <c r="O311" s="302" t="s">
        <v>16</v>
      </c>
      <c r="P311" s="302" t="s">
        <v>16</v>
      </c>
      <c r="Q311" s="250" t="s">
        <v>873</v>
      </c>
      <c r="R311" s="302" t="s">
        <v>16</v>
      </c>
      <c r="S311" s="302" t="s">
        <v>16</v>
      </c>
      <c r="T311" s="302" t="s">
        <v>16</v>
      </c>
      <c r="U311" s="302" t="s">
        <v>16</v>
      </c>
      <c r="V311" s="302" t="s">
        <v>16</v>
      </c>
      <c r="W311" s="250" t="s">
        <v>873</v>
      </c>
      <c r="X311" s="303" t="s">
        <v>16</v>
      </c>
    </row>
    <row r="312" spans="1:24" x14ac:dyDescent="0.2">
      <c r="A312" s="227" t="s">
        <v>55</v>
      </c>
      <c r="B312" s="224" t="s">
        <v>54</v>
      </c>
      <c r="C312" s="250" t="s">
        <v>45</v>
      </c>
      <c r="D312" s="250" t="s">
        <v>1142</v>
      </c>
      <c r="E312" s="250" t="s">
        <v>1142</v>
      </c>
      <c r="F312" s="250" t="s">
        <v>1124</v>
      </c>
      <c r="G312" s="252">
        <v>0.75</v>
      </c>
      <c r="H312" s="253" t="s">
        <v>2725</v>
      </c>
      <c r="I312" s="252">
        <v>0.75</v>
      </c>
      <c r="J312" s="253" t="s">
        <v>2726</v>
      </c>
      <c r="K312" s="250" t="s">
        <v>873</v>
      </c>
      <c r="L312" s="250" t="s">
        <v>2694</v>
      </c>
      <c r="M312" s="252">
        <v>0.25</v>
      </c>
      <c r="N312" s="253" t="s">
        <v>2725</v>
      </c>
      <c r="O312" s="252">
        <v>0.25</v>
      </c>
      <c r="P312" s="253" t="s">
        <v>2727</v>
      </c>
      <c r="Q312" s="250" t="s">
        <v>873</v>
      </c>
      <c r="R312" s="250" t="s">
        <v>2687</v>
      </c>
      <c r="S312" s="302" t="s">
        <v>16</v>
      </c>
      <c r="T312" s="302" t="s">
        <v>16</v>
      </c>
      <c r="U312" s="302" t="s">
        <v>16</v>
      </c>
      <c r="V312" s="302" t="s">
        <v>16</v>
      </c>
      <c r="W312" s="250" t="s">
        <v>873</v>
      </c>
      <c r="X312" s="303" t="s">
        <v>16</v>
      </c>
    </row>
    <row r="313" spans="1:24" x14ac:dyDescent="0.2">
      <c r="A313" s="227" t="s">
        <v>80</v>
      </c>
      <c r="B313" s="224" t="s">
        <v>79</v>
      </c>
      <c r="C313" s="250" t="s">
        <v>45</v>
      </c>
      <c r="D313" s="250" t="s">
        <v>1125</v>
      </c>
      <c r="E313" s="250" t="s">
        <v>2750</v>
      </c>
      <c r="F313" s="250" t="s">
        <v>1135</v>
      </c>
      <c r="G313" s="252">
        <v>1.75</v>
      </c>
      <c r="H313" s="253" t="s">
        <v>2751</v>
      </c>
      <c r="I313" s="252">
        <v>1.41</v>
      </c>
      <c r="J313" s="302" t="s">
        <v>16</v>
      </c>
      <c r="K313" s="250" t="s">
        <v>872</v>
      </c>
      <c r="L313" s="250" t="s">
        <v>2694</v>
      </c>
      <c r="M313" s="252">
        <v>0</v>
      </c>
      <c r="N313" s="302" t="s">
        <v>16</v>
      </c>
      <c r="O313" s="252">
        <v>0</v>
      </c>
      <c r="P313" s="302" t="s">
        <v>16</v>
      </c>
      <c r="Q313" s="250" t="s">
        <v>873</v>
      </c>
      <c r="R313" s="302" t="s">
        <v>16</v>
      </c>
      <c r="S313" s="252">
        <v>0</v>
      </c>
      <c r="T313" s="302" t="s">
        <v>16</v>
      </c>
      <c r="U313" s="252">
        <v>0</v>
      </c>
      <c r="V313" s="302" t="s">
        <v>16</v>
      </c>
      <c r="W313" s="250" t="s">
        <v>873</v>
      </c>
      <c r="X313" s="303" t="s">
        <v>16</v>
      </c>
    </row>
    <row r="314" spans="1:24" x14ac:dyDescent="0.2">
      <c r="A314" s="227" t="s">
        <v>92</v>
      </c>
      <c r="B314" s="224" t="s">
        <v>91</v>
      </c>
      <c r="C314" s="250" t="s">
        <v>45</v>
      </c>
      <c r="D314" s="250" t="s">
        <v>1134</v>
      </c>
      <c r="E314" s="250" t="s">
        <v>2767</v>
      </c>
      <c r="F314" s="250" t="s">
        <v>2691</v>
      </c>
      <c r="G314" s="252">
        <v>0.7</v>
      </c>
      <c r="H314" s="253" t="s">
        <v>2768</v>
      </c>
      <c r="I314" s="252">
        <v>0.7</v>
      </c>
      <c r="J314" s="253" t="s">
        <v>2769</v>
      </c>
      <c r="K314" s="250" t="s">
        <v>873</v>
      </c>
      <c r="L314" s="250" t="s">
        <v>2694</v>
      </c>
      <c r="M314" s="252">
        <v>0.75</v>
      </c>
      <c r="N314" s="253" t="s">
        <v>2770</v>
      </c>
      <c r="O314" s="252">
        <v>0.75</v>
      </c>
      <c r="P314" s="253" t="s">
        <v>2771</v>
      </c>
      <c r="Q314" s="250" t="s">
        <v>873</v>
      </c>
      <c r="R314" s="250" t="s">
        <v>2694</v>
      </c>
      <c r="S314" s="252">
        <v>0.75</v>
      </c>
      <c r="T314" s="253" t="s">
        <v>2770</v>
      </c>
      <c r="U314" s="252">
        <v>0.75</v>
      </c>
      <c r="V314" s="253" t="s">
        <v>2771</v>
      </c>
      <c r="W314" s="250" t="s">
        <v>873</v>
      </c>
      <c r="X314" s="251" t="s">
        <v>2772</v>
      </c>
    </row>
    <row r="315" spans="1:24" x14ac:dyDescent="0.2">
      <c r="A315" s="227" t="s">
        <v>114</v>
      </c>
      <c r="B315" s="224" t="s">
        <v>113</v>
      </c>
      <c r="C315" s="250" t="s">
        <v>45</v>
      </c>
      <c r="D315" s="250" t="s">
        <v>1125</v>
      </c>
      <c r="E315" s="250" t="s">
        <v>2795</v>
      </c>
      <c r="F315" s="250" t="s">
        <v>2664</v>
      </c>
      <c r="G315" s="252">
        <v>1</v>
      </c>
      <c r="H315" s="253" t="s">
        <v>2796</v>
      </c>
      <c r="I315" s="252">
        <v>0.69140000000000001</v>
      </c>
      <c r="J315" s="302" t="s">
        <v>16</v>
      </c>
      <c r="K315" s="250" t="s">
        <v>872</v>
      </c>
      <c r="L315" s="250" t="s">
        <v>2694</v>
      </c>
      <c r="M315" s="252">
        <v>0.78739999999999999</v>
      </c>
      <c r="N315" s="253" t="s">
        <v>2797</v>
      </c>
      <c r="O315" s="252">
        <v>0.73870000000000002</v>
      </c>
      <c r="P315" s="302" t="s">
        <v>16</v>
      </c>
      <c r="Q315" s="250" t="s">
        <v>872</v>
      </c>
      <c r="R315" s="250" t="s">
        <v>2694</v>
      </c>
      <c r="S315" s="252">
        <v>0.54100000000000004</v>
      </c>
      <c r="T315" s="253" t="s">
        <v>2798</v>
      </c>
      <c r="U315" s="252">
        <v>0.48</v>
      </c>
      <c r="V315" s="253" t="s">
        <v>2799</v>
      </c>
      <c r="W315" s="250" t="s">
        <v>873</v>
      </c>
      <c r="X315" s="251" t="s">
        <v>2694</v>
      </c>
    </row>
    <row r="316" spans="1:24" x14ac:dyDescent="0.2">
      <c r="A316" s="227" t="s">
        <v>120</v>
      </c>
      <c r="B316" s="224" t="s">
        <v>119</v>
      </c>
      <c r="C316" s="250" t="s">
        <v>45</v>
      </c>
      <c r="D316" s="250" t="s">
        <v>1162</v>
      </c>
      <c r="E316" s="250" t="s">
        <v>1163</v>
      </c>
      <c r="F316" s="250" t="s">
        <v>2691</v>
      </c>
      <c r="G316" s="252">
        <v>0.60499999999999998</v>
      </c>
      <c r="H316" s="253" t="s">
        <v>2803</v>
      </c>
      <c r="I316" s="252">
        <v>0.60499999999999998</v>
      </c>
      <c r="J316" s="253" t="s">
        <v>2804</v>
      </c>
      <c r="K316" s="250" t="s">
        <v>872</v>
      </c>
      <c r="L316" s="250" t="s">
        <v>2687</v>
      </c>
      <c r="M316" s="252">
        <v>0.5</v>
      </c>
      <c r="N316" s="253" t="s">
        <v>2805</v>
      </c>
      <c r="O316" s="252">
        <v>0.5</v>
      </c>
      <c r="P316" s="253" t="s">
        <v>2806</v>
      </c>
      <c r="Q316" s="250" t="s">
        <v>873</v>
      </c>
      <c r="R316" s="250" t="s">
        <v>2694</v>
      </c>
      <c r="S316" s="302" t="s">
        <v>16</v>
      </c>
      <c r="T316" s="302" t="s">
        <v>16</v>
      </c>
      <c r="U316" s="302" t="s">
        <v>16</v>
      </c>
      <c r="V316" s="302" t="s">
        <v>16</v>
      </c>
      <c r="W316" s="302" t="s">
        <v>16</v>
      </c>
      <c r="X316" s="303" t="s">
        <v>16</v>
      </c>
    </row>
    <row r="317" spans="1:24" x14ac:dyDescent="0.2">
      <c r="A317" s="227" t="s">
        <v>130</v>
      </c>
      <c r="B317" s="224" t="s">
        <v>129</v>
      </c>
      <c r="C317" s="250" t="s">
        <v>45</v>
      </c>
      <c r="D317" s="250" t="s">
        <v>1165</v>
      </c>
      <c r="E317" s="250" t="s">
        <v>2821</v>
      </c>
      <c r="F317" s="250" t="s">
        <v>2691</v>
      </c>
      <c r="G317" s="252">
        <v>0.75</v>
      </c>
      <c r="H317" s="253" t="s">
        <v>2822</v>
      </c>
      <c r="I317" s="252">
        <v>0.66100000000000003</v>
      </c>
      <c r="J317" s="253" t="s">
        <v>891</v>
      </c>
      <c r="K317" s="250" t="s">
        <v>872</v>
      </c>
      <c r="L317" s="250" t="s">
        <v>2723</v>
      </c>
      <c r="M317" s="252">
        <v>0.22</v>
      </c>
      <c r="N317" s="253" t="s">
        <v>2823</v>
      </c>
      <c r="O317" s="252">
        <v>0.21729999999999999</v>
      </c>
      <c r="P317" s="253" t="s">
        <v>2824</v>
      </c>
      <c r="Q317" s="250" t="s">
        <v>873</v>
      </c>
      <c r="R317" s="250" t="s">
        <v>2723</v>
      </c>
      <c r="S317" s="302" t="s">
        <v>16</v>
      </c>
      <c r="T317" s="302" t="s">
        <v>16</v>
      </c>
      <c r="U317" s="302" t="s">
        <v>16</v>
      </c>
      <c r="V317" s="302" t="s">
        <v>16</v>
      </c>
      <c r="W317" s="250" t="s">
        <v>873</v>
      </c>
      <c r="X317" s="303" t="s">
        <v>16</v>
      </c>
    </row>
    <row r="318" spans="1:24" x14ac:dyDescent="0.2">
      <c r="A318" s="227" t="s">
        <v>142</v>
      </c>
      <c r="B318" s="224" t="s">
        <v>141</v>
      </c>
      <c r="C318" s="250" t="s">
        <v>45</v>
      </c>
      <c r="D318" s="250" t="s">
        <v>1169</v>
      </c>
      <c r="E318" s="250" t="s">
        <v>1170</v>
      </c>
      <c r="F318" s="250" t="s">
        <v>1124</v>
      </c>
      <c r="G318" s="252">
        <v>0.75</v>
      </c>
      <c r="H318" s="253" t="s">
        <v>2798</v>
      </c>
      <c r="I318" s="252">
        <v>0.75</v>
      </c>
      <c r="J318" s="253" t="s">
        <v>2835</v>
      </c>
      <c r="K318" s="250" t="s">
        <v>873</v>
      </c>
      <c r="L318" s="250" t="s">
        <v>2694</v>
      </c>
      <c r="M318" s="302" t="s">
        <v>16</v>
      </c>
      <c r="N318" s="302" t="s">
        <v>16</v>
      </c>
      <c r="O318" s="302" t="s">
        <v>16</v>
      </c>
      <c r="P318" s="302" t="s">
        <v>16</v>
      </c>
      <c r="Q318" s="250" t="s">
        <v>873</v>
      </c>
      <c r="R318" s="302" t="s">
        <v>16</v>
      </c>
      <c r="S318" s="302" t="s">
        <v>16</v>
      </c>
      <c r="T318" s="302" t="s">
        <v>16</v>
      </c>
      <c r="U318" s="302" t="s">
        <v>16</v>
      </c>
      <c r="V318" s="302" t="s">
        <v>16</v>
      </c>
      <c r="W318" s="250" t="s">
        <v>873</v>
      </c>
      <c r="X318" s="303" t="s">
        <v>16</v>
      </c>
    </row>
    <row r="319" spans="1:24" x14ac:dyDescent="0.2">
      <c r="A319" s="227" t="s">
        <v>158</v>
      </c>
      <c r="B319" s="224" t="s">
        <v>157</v>
      </c>
      <c r="C319" s="250" t="s">
        <v>45</v>
      </c>
      <c r="D319" s="250" t="s">
        <v>1179</v>
      </c>
      <c r="E319" s="250" t="s">
        <v>2853</v>
      </c>
      <c r="F319" s="250" t="s">
        <v>2691</v>
      </c>
      <c r="G319" s="252">
        <v>0.75</v>
      </c>
      <c r="H319" s="253" t="s">
        <v>2854</v>
      </c>
      <c r="I319" s="252">
        <v>0.64600000000000002</v>
      </c>
      <c r="J319" s="302" t="s">
        <v>16</v>
      </c>
      <c r="K319" s="250" t="s">
        <v>872</v>
      </c>
      <c r="L319" s="250" t="s">
        <v>2705</v>
      </c>
      <c r="M319" s="302" t="s">
        <v>16</v>
      </c>
      <c r="N319" s="302" t="s">
        <v>16</v>
      </c>
      <c r="O319" s="302" t="s">
        <v>16</v>
      </c>
      <c r="P319" s="302" t="s">
        <v>16</v>
      </c>
      <c r="Q319" s="250" t="s">
        <v>873</v>
      </c>
      <c r="R319" s="302" t="s">
        <v>16</v>
      </c>
      <c r="S319" s="302" t="s">
        <v>16</v>
      </c>
      <c r="T319" s="302" t="s">
        <v>16</v>
      </c>
      <c r="U319" s="302" t="s">
        <v>16</v>
      </c>
      <c r="V319" s="302" t="s">
        <v>16</v>
      </c>
      <c r="W319" s="250" t="s">
        <v>873</v>
      </c>
      <c r="X319" s="303" t="s">
        <v>16</v>
      </c>
    </row>
    <row r="320" spans="1:24" x14ac:dyDescent="0.2">
      <c r="A320" s="227" t="s">
        <v>178</v>
      </c>
      <c r="B320" s="224" t="s">
        <v>177</v>
      </c>
      <c r="C320" s="250" t="s">
        <v>45</v>
      </c>
      <c r="D320" s="250" t="s">
        <v>1146</v>
      </c>
      <c r="E320" s="250" t="s">
        <v>1185</v>
      </c>
      <c r="F320" s="250" t="s">
        <v>2664</v>
      </c>
      <c r="G320" s="252">
        <v>0.7</v>
      </c>
      <c r="H320" s="253" t="s">
        <v>2883</v>
      </c>
      <c r="I320" s="252">
        <v>0.627</v>
      </c>
      <c r="J320" s="253" t="s">
        <v>891</v>
      </c>
      <c r="K320" s="250" t="s">
        <v>872</v>
      </c>
      <c r="L320" s="250" t="s">
        <v>2687</v>
      </c>
      <c r="M320" s="302" t="s">
        <v>16</v>
      </c>
      <c r="N320" s="302" t="s">
        <v>16</v>
      </c>
      <c r="O320" s="302" t="s">
        <v>16</v>
      </c>
      <c r="P320" s="302" t="s">
        <v>16</v>
      </c>
      <c r="Q320" s="250" t="s">
        <v>873</v>
      </c>
      <c r="R320" s="302" t="s">
        <v>16</v>
      </c>
      <c r="S320" s="252">
        <v>0</v>
      </c>
      <c r="T320" s="302" t="s">
        <v>16</v>
      </c>
      <c r="U320" s="302" t="s">
        <v>16</v>
      </c>
      <c r="V320" s="302" t="s">
        <v>16</v>
      </c>
      <c r="W320" s="250" t="s">
        <v>873</v>
      </c>
      <c r="X320" s="303" t="s">
        <v>16</v>
      </c>
    </row>
    <row r="321" spans="1:24" x14ac:dyDescent="0.2">
      <c r="A321" s="227" t="s">
        <v>182</v>
      </c>
      <c r="B321" s="224" t="s">
        <v>181</v>
      </c>
      <c r="C321" s="250" t="s">
        <v>45</v>
      </c>
      <c r="D321" s="250" t="s">
        <v>1125</v>
      </c>
      <c r="E321" s="250" t="s">
        <v>2887</v>
      </c>
      <c r="F321" s="250" t="s">
        <v>2691</v>
      </c>
      <c r="G321" s="252">
        <v>1.25</v>
      </c>
      <c r="H321" s="253" t="s">
        <v>2848</v>
      </c>
      <c r="I321" s="252">
        <v>1.2286999999999999</v>
      </c>
      <c r="J321" s="253" t="s">
        <v>2888</v>
      </c>
      <c r="K321" s="250" t="s">
        <v>873</v>
      </c>
      <c r="L321" s="250" t="s">
        <v>2694</v>
      </c>
      <c r="M321" s="252">
        <v>0</v>
      </c>
      <c r="N321" s="302" t="s">
        <v>16</v>
      </c>
      <c r="O321" s="252">
        <v>0</v>
      </c>
      <c r="P321" s="302" t="s">
        <v>16</v>
      </c>
      <c r="Q321" s="250" t="s">
        <v>873</v>
      </c>
      <c r="R321" s="302" t="s">
        <v>16</v>
      </c>
      <c r="S321" s="252">
        <v>0</v>
      </c>
      <c r="T321" s="302" t="s">
        <v>16</v>
      </c>
      <c r="U321" s="252">
        <v>0</v>
      </c>
      <c r="V321" s="302" t="s">
        <v>16</v>
      </c>
      <c r="W321" s="250" t="s">
        <v>873</v>
      </c>
      <c r="X321" s="303" t="s">
        <v>16</v>
      </c>
    </row>
    <row r="322" spans="1:24" x14ac:dyDescent="0.2">
      <c r="A322" s="227" t="s">
        <v>196</v>
      </c>
      <c r="B322" s="224" t="s">
        <v>195</v>
      </c>
      <c r="C322" s="250" t="s">
        <v>45</v>
      </c>
      <c r="D322" s="250" t="s">
        <v>1125</v>
      </c>
      <c r="E322" s="250" t="s">
        <v>2901</v>
      </c>
      <c r="F322" s="250" t="s">
        <v>2664</v>
      </c>
      <c r="G322" s="252">
        <v>0.3</v>
      </c>
      <c r="H322" s="253" t="s">
        <v>2902</v>
      </c>
      <c r="I322" s="252">
        <v>0.3</v>
      </c>
      <c r="J322" s="302" t="s">
        <v>16</v>
      </c>
      <c r="K322" s="250" t="s">
        <v>872</v>
      </c>
      <c r="L322" s="250" t="s">
        <v>2723</v>
      </c>
      <c r="M322" s="252">
        <v>0.7</v>
      </c>
      <c r="N322" s="253" t="s">
        <v>2903</v>
      </c>
      <c r="O322" s="252">
        <v>0.6895</v>
      </c>
      <c r="P322" s="253" t="s">
        <v>2904</v>
      </c>
      <c r="Q322" s="250" t="s">
        <v>873</v>
      </c>
      <c r="R322" s="250" t="s">
        <v>2694</v>
      </c>
      <c r="S322" s="302" t="s">
        <v>16</v>
      </c>
      <c r="T322" s="302" t="s">
        <v>16</v>
      </c>
      <c r="U322" s="302" t="s">
        <v>16</v>
      </c>
      <c r="V322" s="302" t="s">
        <v>16</v>
      </c>
      <c r="W322" s="250" t="s">
        <v>873</v>
      </c>
      <c r="X322" s="303" t="s">
        <v>16</v>
      </c>
    </row>
    <row r="323" spans="1:24" x14ac:dyDescent="0.2">
      <c r="A323" s="227" t="s">
        <v>198</v>
      </c>
      <c r="B323" s="224" t="s">
        <v>197</v>
      </c>
      <c r="C323" s="250" t="s">
        <v>45</v>
      </c>
      <c r="D323" s="250" t="s">
        <v>1190</v>
      </c>
      <c r="E323" s="250" t="s">
        <v>2905</v>
      </c>
      <c r="F323" s="250" t="s">
        <v>2691</v>
      </c>
      <c r="G323" s="252">
        <v>0.7</v>
      </c>
      <c r="H323" s="253" t="s">
        <v>2906</v>
      </c>
      <c r="I323" s="252">
        <v>0.7</v>
      </c>
      <c r="J323" s="253" t="s">
        <v>2907</v>
      </c>
      <c r="K323" s="250" t="s">
        <v>873</v>
      </c>
      <c r="L323" s="250" t="s">
        <v>2694</v>
      </c>
      <c r="M323" s="252">
        <v>0</v>
      </c>
      <c r="N323" s="302" t="s">
        <v>16</v>
      </c>
      <c r="O323" s="252">
        <v>0</v>
      </c>
      <c r="P323" s="302" t="s">
        <v>16</v>
      </c>
      <c r="Q323" s="250" t="s">
        <v>873</v>
      </c>
      <c r="R323" s="302" t="s">
        <v>16</v>
      </c>
      <c r="S323" s="252">
        <v>0</v>
      </c>
      <c r="T323" s="302" t="s">
        <v>16</v>
      </c>
      <c r="U323" s="252">
        <v>0</v>
      </c>
      <c r="V323" s="302" t="s">
        <v>16</v>
      </c>
      <c r="W323" s="250" t="s">
        <v>873</v>
      </c>
      <c r="X323" s="303" t="s">
        <v>16</v>
      </c>
    </row>
    <row r="324" spans="1:24" x14ac:dyDescent="0.2">
      <c r="A324" s="227" t="s">
        <v>208</v>
      </c>
      <c r="B324" s="224" t="s">
        <v>207</v>
      </c>
      <c r="C324" s="250" t="s">
        <v>45</v>
      </c>
      <c r="D324" s="250" t="s">
        <v>1165</v>
      </c>
      <c r="E324" s="250" t="s">
        <v>1194</v>
      </c>
      <c r="F324" s="250" t="s">
        <v>2691</v>
      </c>
      <c r="G324" s="252">
        <v>1.5201</v>
      </c>
      <c r="H324" s="253" t="s">
        <v>2851</v>
      </c>
      <c r="I324" s="252">
        <v>1.4914000000000001</v>
      </c>
      <c r="J324" s="253" t="s">
        <v>2917</v>
      </c>
      <c r="K324" s="250" t="s">
        <v>873</v>
      </c>
      <c r="L324" s="250" t="s">
        <v>2694</v>
      </c>
      <c r="M324" s="302" t="s">
        <v>16</v>
      </c>
      <c r="N324" s="302" t="s">
        <v>16</v>
      </c>
      <c r="O324" s="302" t="s">
        <v>16</v>
      </c>
      <c r="P324" s="302" t="s">
        <v>16</v>
      </c>
      <c r="Q324" s="250" t="s">
        <v>873</v>
      </c>
      <c r="R324" s="302" t="s">
        <v>16</v>
      </c>
      <c r="S324" s="302" t="s">
        <v>16</v>
      </c>
      <c r="T324" s="302" t="s">
        <v>16</v>
      </c>
      <c r="U324" s="302" t="s">
        <v>16</v>
      </c>
      <c r="V324" s="302" t="s">
        <v>16</v>
      </c>
      <c r="W324" s="250" t="s">
        <v>873</v>
      </c>
      <c r="X324" s="303" t="s">
        <v>16</v>
      </c>
    </row>
    <row r="325" spans="1:24" x14ac:dyDescent="0.2">
      <c r="A325" s="227" t="s">
        <v>227</v>
      </c>
      <c r="B325" s="224" t="s">
        <v>226</v>
      </c>
      <c r="C325" s="250" t="s">
        <v>45</v>
      </c>
      <c r="D325" s="250" t="s">
        <v>1155</v>
      </c>
      <c r="E325" s="250" t="s">
        <v>1199</v>
      </c>
      <c r="F325" s="250" t="s">
        <v>2691</v>
      </c>
      <c r="G325" s="252">
        <v>1</v>
      </c>
      <c r="H325" s="253" t="s">
        <v>2938</v>
      </c>
      <c r="I325" s="252">
        <v>1</v>
      </c>
      <c r="J325" s="302" t="s">
        <v>16</v>
      </c>
      <c r="K325" s="250" t="s">
        <v>872</v>
      </c>
      <c r="L325" s="250" t="s">
        <v>2723</v>
      </c>
      <c r="M325" s="252">
        <v>0</v>
      </c>
      <c r="N325" s="302" t="s">
        <v>16</v>
      </c>
      <c r="O325" s="252">
        <v>0</v>
      </c>
      <c r="P325" s="302" t="s">
        <v>16</v>
      </c>
      <c r="Q325" s="250" t="s">
        <v>873</v>
      </c>
      <c r="R325" s="302" t="s">
        <v>16</v>
      </c>
      <c r="S325" s="252">
        <v>0</v>
      </c>
      <c r="T325" s="302" t="s">
        <v>16</v>
      </c>
      <c r="U325" s="252">
        <v>0</v>
      </c>
      <c r="V325" s="302" t="s">
        <v>16</v>
      </c>
      <c r="W325" s="250" t="s">
        <v>873</v>
      </c>
      <c r="X325" s="303" t="s">
        <v>16</v>
      </c>
    </row>
    <row r="326" spans="1:24" x14ac:dyDescent="0.2">
      <c r="A326" s="227" t="s">
        <v>239</v>
      </c>
      <c r="B326" s="224" t="s">
        <v>238</v>
      </c>
      <c r="C326" s="250" t="s">
        <v>45</v>
      </c>
      <c r="D326" s="250" t="s">
        <v>1203</v>
      </c>
      <c r="E326" s="250" t="s">
        <v>2953</v>
      </c>
      <c r="F326" s="250" t="s">
        <v>1124</v>
      </c>
      <c r="G326" s="252">
        <v>0.9</v>
      </c>
      <c r="H326" s="253" t="s">
        <v>2885</v>
      </c>
      <c r="I326" s="252">
        <v>0.85</v>
      </c>
      <c r="J326" s="253" t="s">
        <v>2726</v>
      </c>
      <c r="K326" s="250" t="s">
        <v>873</v>
      </c>
      <c r="L326" s="250" t="s">
        <v>2694</v>
      </c>
      <c r="M326" s="302" t="s">
        <v>16</v>
      </c>
      <c r="N326" s="302" t="s">
        <v>16</v>
      </c>
      <c r="O326" s="302" t="s">
        <v>16</v>
      </c>
      <c r="P326" s="302" t="s">
        <v>16</v>
      </c>
      <c r="Q326" s="250" t="s">
        <v>873</v>
      </c>
      <c r="R326" s="302" t="s">
        <v>16</v>
      </c>
      <c r="S326" s="302" t="s">
        <v>16</v>
      </c>
      <c r="T326" s="302" t="s">
        <v>16</v>
      </c>
      <c r="U326" s="302" t="s">
        <v>16</v>
      </c>
      <c r="V326" s="302" t="s">
        <v>16</v>
      </c>
      <c r="W326" s="250" t="s">
        <v>873</v>
      </c>
      <c r="X326" s="303" t="s">
        <v>16</v>
      </c>
    </row>
    <row r="327" spans="1:24" x14ac:dyDescent="0.2">
      <c r="A327" s="227" t="s">
        <v>251</v>
      </c>
      <c r="B327" s="224" t="s">
        <v>250</v>
      </c>
      <c r="C327" s="250" t="s">
        <v>45</v>
      </c>
      <c r="D327" s="250" t="s">
        <v>1176</v>
      </c>
      <c r="E327" s="250" t="s">
        <v>2963</v>
      </c>
      <c r="F327" s="250" t="s">
        <v>1135</v>
      </c>
      <c r="G327" s="252">
        <v>1</v>
      </c>
      <c r="H327" s="253" t="s">
        <v>14</v>
      </c>
      <c r="I327" s="252">
        <v>1</v>
      </c>
      <c r="J327" s="253" t="s">
        <v>15</v>
      </c>
      <c r="K327" s="250" t="s">
        <v>873</v>
      </c>
      <c r="L327" s="250" t="s">
        <v>2694</v>
      </c>
      <c r="M327" s="252">
        <v>1</v>
      </c>
      <c r="N327" s="253" t="s">
        <v>2964</v>
      </c>
      <c r="O327" s="252">
        <v>1</v>
      </c>
      <c r="P327" s="253" t="s">
        <v>2965</v>
      </c>
      <c r="Q327" s="250" t="s">
        <v>873</v>
      </c>
      <c r="R327" s="250" t="s">
        <v>2694</v>
      </c>
      <c r="S327" s="302" t="s">
        <v>16</v>
      </c>
      <c r="T327" s="302" t="s">
        <v>16</v>
      </c>
      <c r="U327" s="302" t="s">
        <v>16</v>
      </c>
      <c r="V327" s="302" t="s">
        <v>16</v>
      </c>
      <c r="W327" s="250" t="s">
        <v>873</v>
      </c>
      <c r="X327" s="303" t="s">
        <v>16</v>
      </c>
    </row>
    <row r="328" spans="1:24" x14ac:dyDescent="0.2">
      <c r="A328" s="227" t="s">
        <v>253</v>
      </c>
      <c r="B328" s="224" t="s">
        <v>252</v>
      </c>
      <c r="C328" s="250" t="s">
        <v>45</v>
      </c>
      <c r="D328" s="250" t="s">
        <v>1146</v>
      </c>
      <c r="E328" s="250" t="s">
        <v>2966</v>
      </c>
      <c r="F328" s="250" t="s">
        <v>1135</v>
      </c>
      <c r="G328" s="252">
        <v>1</v>
      </c>
      <c r="H328" s="253" t="s">
        <v>2967</v>
      </c>
      <c r="I328" s="252">
        <v>0.88649999999999995</v>
      </c>
      <c r="J328" s="253" t="s">
        <v>2968</v>
      </c>
      <c r="K328" s="250" t="s">
        <v>873</v>
      </c>
      <c r="L328" s="250" t="s">
        <v>2694</v>
      </c>
      <c r="M328" s="252">
        <v>1</v>
      </c>
      <c r="N328" s="253" t="s">
        <v>2969</v>
      </c>
      <c r="O328" s="252">
        <v>1</v>
      </c>
      <c r="P328" s="253" t="s">
        <v>2970</v>
      </c>
      <c r="Q328" s="250" t="s">
        <v>873</v>
      </c>
      <c r="R328" s="250" t="s">
        <v>2694</v>
      </c>
      <c r="S328" s="252">
        <v>0</v>
      </c>
      <c r="T328" s="253" t="s">
        <v>891</v>
      </c>
      <c r="U328" s="252">
        <v>0</v>
      </c>
      <c r="V328" s="253" t="s">
        <v>891</v>
      </c>
      <c r="W328" s="250" t="s">
        <v>873</v>
      </c>
      <c r="X328" s="303" t="s">
        <v>16</v>
      </c>
    </row>
    <row r="329" spans="1:24" x14ac:dyDescent="0.2">
      <c r="A329" s="227" t="s">
        <v>313</v>
      </c>
      <c r="B329" s="224" t="s">
        <v>312</v>
      </c>
      <c r="C329" s="250" t="s">
        <v>45</v>
      </c>
      <c r="D329" s="250" t="s">
        <v>1134</v>
      </c>
      <c r="E329" s="250" t="s">
        <v>3036</v>
      </c>
      <c r="F329" s="250" t="s">
        <v>1135</v>
      </c>
      <c r="G329" s="252">
        <v>1</v>
      </c>
      <c r="H329" s="253" t="s">
        <v>3037</v>
      </c>
      <c r="I329" s="252">
        <v>0.98109999999999997</v>
      </c>
      <c r="J329" s="253" t="s">
        <v>3038</v>
      </c>
      <c r="K329" s="250" t="s">
        <v>873</v>
      </c>
      <c r="L329" s="250" t="s">
        <v>2694</v>
      </c>
      <c r="M329" s="302" t="s">
        <v>16</v>
      </c>
      <c r="N329" s="302" t="s">
        <v>16</v>
      </c>
      <c r="O329" s="302" t="s">
        <v>16</v>
      </c>
      <c r="P329" s="302" t="s">
        <v>16</v>
      </c>
      <c r="Q329" s="250" t="s">
        <v>873</v>
      </c>
      <c r="R329" s="302" t="s">
        <v>16</v>
      </c>
      <c r="S329" s="302" t="s">
        <v>16</v>
      </c>
      <c r="T329" s="302" t="s">
        <v>16</v>
      </c>
      <c r="U329" s="302" t="s">
        <v>16</v>
      </c>
      <c r="V329" s="302" t="s">
        <v>16</v>
      </c>
      <c r="W329" s="250" t="s">
        <v>873</v>
      </c>
      <c r="X329" s="303" t="s">
        <v>16</v>
      </c>
    </row>
    <row r="330" spans="1:24" x14ac:dyDescent="0.2">
      <c r="A330" s="227" t="s">
        <v>321</v>
      </c>
      <c r="B330" s="224" t="s">
        <v>320</v>
      </c>
      <c r="C330" s="250" t="s">
        <v>45</v>
      </c>
      <c r="D330" s="250" t="s">
        <v>1136</v>
      </c>
      <c r="E330" s="250" t="s">
        <v>3044</v>
      </c>
      <c r="F330" s="250" t="s">
        <v>2664</v>
      </c>
      <c r="G330" s="252">
        <v>0</v>
      </c>
      <c r="H330" s="302" t="s">
        <v>16</v>
      </c>
      <c r="I330" s="252">
        <v>0</v>
      </c>
      <c r="J330" s="302" t="s">
        <v>16</v>
      </c>
      <c r="K330" s="250" t="s">
        <v>873</v>
      </c>
      <c r="L330" s="302" t="s">
        <v>16</v>
      </c>
      <c r="M330" s="252">
        <v>0</v>
      </c>
      <c r="N330" s="302" t="s">
        <v>16</v>
      </c>
      <c r="O330" s="252">
        <v>0</v>
      </c>
      <c r="P330" s="302" t="s">
        <v>16</v>
      </c>
      <c r="Q330" s="250" t="s">
        <v>873</v>
      </c>
      <c r="R330" s="302" t="s">
        <v>16</v>
      </c>
      <c r="S330" s="252">
        <v>0</v>
      </c>
      <c r="T330" s="302" t="s">
        <v>16</v>
      </c>
      <c r="U330" s="252">
        <v>0</v>
      </c>
      <c r="V330" s="302" t="s">
        <v>16</v>
      </c>
      <c r="W330" s="250" t="s">
        <v>873</v>
      </c>
      <c r="X330" s="303" t="s">
        <v>16</v>
      </c>
    </row>
    <row r="331" spans="1:24" x14ac:dyDescent="0.2">
      <c r="A331" s="227" t="s">
        <v>341</v>
      </c>
      <c r="B331" s="224" t="s">
        <v>340</v>
      </c>
      <c r="C331" s="250" t="s">
        <v>45</v>
      </c>
      <c r="D331" s="250" t="s">
        <v>1216</v>
      </c>
      <c r="E331" s="250" t="s">
        <v>3067</v>
      </c>
      <c r="F331" s="250" t="s">
        <v>2691</v>
      </c>
      <c r="G331" s="252">
        <v>2.4</v>
      </c>
      <c r="H331" s="253" t="s">
        <v>3068</v>
      </c>
      <c r="I331" s="252">
        <v>2.4</v>
      </c>
      <c r="J331" s="253" t="s">
        <v>3069</v>
      </c>
      <c r="K331" s="250" t="s">
        <v>873</v>
      </c>
      <c r="L331" s="250" t="s">
        <v>2694</v>
      </c>
      <c r="M331" s="252">
        <v>0.48659999999999998</v>
      </c>
      <c r="N331" s="253" t="s">
        <v>3070</v>
      </c>
      <c r="O331" s="252">
        <v>0.49619999999999997</v>
      </c>
      <c r="P331" s="253" t="s">
        <v>3071</v>
      </c>
      <c r="Q331" s="250" t="s">
        <v>873</v>
      </c>
      <c r="R331" s="250" t="s">
        <v>2772</v>
      </c>
      <c r="S331" s="302" t="s">
        <v>16</v>
      </c>
      <c r="T331" s="302" t="s">
        <v>16</v>
      </c>
      <c r="U331" s="302" t="s">
        <v>16</v>
      </c>
      <c r="V331" s="302" t="s">
        <v>16</v>
      </c>
      <c r="W331" s="250" t="s">
        <v>873</v>
      </c>
      <c r="X331" s="303" t="s">
        <v>16</v>
      </c>
    </row>
    <row r="332" spans="1:24" x14ac:dyDescent="0.2">
      <c r="A332" s="227" t="s">
        <v>401</v>
      </c>
      <c r="B332" s="224" t="s">
        <v>400</v>
      </c>
      <c r="C332" s="250" t="s">
        <v>45</v>
      </c>
      <c r="D332" s="250" t="s">
        <v>1236</v>
      </c>
      <c r="E332" s="250" t="s">
        <v>3131</v>
      </c>
      <c r="F332" s="250" t="s">
        <v>2691</v>
      </c>
      <c r="G332" s="252">
        <v>0.49120000000000003</v>
      </c>
      <c r="H332" s="253" t="s">
        <v>2916</v>
      </c>
      <c r="I332" s="252">
        <v>0.49120000000000003</v>
      </c>
      <c r="J332" s="253" t="s">
        <v>2882</v>
      </c>
      <c r="K332" s="250" t="s">
        <v>873</v>
      </c>
      <c r="L332" s="250" t="s">
        <v>2694</v>
      </c>
      <c r="M332" s="302" t="s">
        <v>16</v>
      </c>
      <c r="N332" s="302" t="s">
        <v>16</v>
      </c>
      <c r="O332" s="302" t="s">
        <v>16</v>
      </c>
      <c r="P332" s="302" t="s">
        <v>16</v>
      </c>
      <c r="Q332" s="250" t="s">
        <v>873</v>
      </c>
      <c r="R332" s="302" t="s">
        <v>16</v>
      </c>
      <c r="S332" s="302" t="s">
        <v>16</v>
      </c>
      <c r="T332" s="302" t="s">
        <v>16</v>
      </c>
      <c r="U332" s="302" t="s">
        <v>16</v>
      </c>
      <c r="V332" s="302" t="s">
        <v>16</v>
      </c>
      <c r="W332" s="250" t="s">
        <v>873</v>
      </c>
      <c r="X332" s="303" t="s">
        <v>16</v>
      </c>
    </row>
    <row r="333" spans="1:24" x14ac:dyDescent="0.2">
      <c r="A333" s="227" t="s">
        <v>445</v>
      </c>
      <c r="B333" s="224" t="s">
        <v>444</v>
      </c>
      <c r="C333" s="250" t="s">
        <v>45</v>
      </c>
      <c r="D333" s="250" t="s">
        <v>1126</v>
      </c>
      <c r="E333" s="250" t="s">
        <v>3165</v>
      </c>
      <c r="F333" s="250" t="s">
        <v>2691</v>
      </c>
      <c r="G333" s="252">
        <v>0.6</v>
      </c>
      <c r="H333" s="253" t="s">
        <v>3166</v>
      </c>
      <c r="I333" s="252">
        <v>0.6</v>
      </c>
      <c r="J333" s="253" t="s">
        <v>3167</v>
      </c>
      <c r="K333" s="250" t="s">
        <v>873</v>
      </c>
      <c r="L333" s="250" t="s">
        <v>2694</v>
      </c>
      <c r="M333" s="302" t="s">
        <v>16</v>
      </c>
      <c r="N333" s="302" t="s">
        <v>16</v>
      </c>
      <c r="O333" s="302" t="s">
        <v>16</v>
      </c>
      <c r="P333" s="302" t="s">
        <v>16</v>
      </c>
      <c r="Q333" s="250" t="s">
        <v>873</v>
      </c>
      <c r="R333" s="302" t="s">
        <v>16</v>
      </c>
      <c r="S333" s="302" t="s">
        <v>16</v>
      </c>
      <c r="T333" s="302" t="s">
        <v>16</v>
      </c>
      <c r="U333" s="302" t="s">
        <v>16</v>
      </c>
      <c r="V333" s="302" t="s">
        <v>16</v>
      </c>
      <c r="W333" s="250" t="s">
        <v>873</v>
      </c>
      <c r="X333" s="303" t="s">
        <v>16</v>
      </c>
    </row>
    <row r="334" spans="1:24" x14ac:dyDescent="0.2">
      <c r="A334" s="227" t="s">
        <v>451</v>
      </c>
      <c r="B334" s="224" t="s">
        <v>450</v>
      </c>
      <c r="C334" s="250" t="s">
        <v>45</v>
      </c>
      <c r="D334" s="250" t="s">
        <v>1134</v>
      </c>
      <c r="E334" s="250" t="s">
        <v>1145</v>
      </c>
      <c r="F334" s="250" t="s">
        <v>1135</v>
      </c>
      <c r="G334" s="252">
        <v>0.7</v>
      </c>
      <c r="H334" s="253" t="s">
        <v>3172</v>
      </c>
      <c r="I334" s="252">
        <v>0.7</v>
      </c>
      <c r="J334" s="253" t="s">
        <v>1247</v>
      </c>
      <c r="K334" s="250" t="s">
        <v>873</v>
      </c>
      <c r="L334" s="250" t="s">
        <v>2694</v>
      </c>
      <c r="M334" s="302" t="s">
        <v>16</v>
      </c>
      <c r="N334" s="302" t="s">
        <v>16</v>
      </c>
      <c r="O334" s="302" t="s">
        <v>16</v>
      </c>
      <c r="P334" s="302" t="s">
        <v>16</v>
      </c>
      <c r="Q334" s="302" t="s">
        <v>16</v>
      </c>
      <c r="R334" s="302" t="s">
        <v>16</v>
      </c>
      <c r="S334" s="302" t="s">
        <v>16</v>
      </c>
      <c r="T334" s="302" t="s">
        <v>16</v>
      </c>
      <c r="U334" s="302" t="s">
        <v>16</v>
      </c>
      <c r="V334" s="302" t="s">
        <v>16</v>
      </c>
      <c r="W334" s="302" t="s">
        <v>16</v>
      </c>
      <c r="X334" s="303" t="s">
        <v>16</v>
      </c>
    </row>
    <row r="335" spans="1:24" x14ac:dyDescent="0.2">
      <c r="A335" s="227" t="s">
        <v>463</v>
      </c>
      <c r="B335" s="224" t="s">
        <v>462</v>
      </c>
      <c r="C335" s="250" t="s">
        <v>45</v>
      </c>
      <c r="D335" s="250" t="s">
        <v>1136</v>
      </c>
      <c r="E335" s="250" t="s">
        <v>1249</v>
      </c>
      <c r="F335" s="250" t="s">
        <v>2691</v>
      </c>
      <c r="G335" s="252">
        <v>1</v>
      </c>
      <c r="H335" s="253" t="s">
        <v>3181</v>
      </c>
      <c r="I335" s="252">
        <v>0.96889999999999998</v>
      </c>
      <c r="J335" s="253" t="s">
        <v>3182</v>
      </c>
      <c r="K335" s="250" t="s">
        <v>872</v>
      </c>
      <c r="L335" s="250" t="s">
        <v>2772</v>
      </c>
      <c r="M335" s="252">
        <v>0.115</v>
      </c>
      <c r="N335" s="253" t="s">
        <v>3183</v>
      </c>
      <c r="O335" s="252">
        <v>0.115</v>
      </c>
      <c r="P335" s="253" t="s">
        <v>3184</v>
      </c>
      <c r="Q335" s="250" t="s">
        <v>873</v>
      </c>
      <c r="R335" s="250" t="s">
        <v>3002</v>
      </c>
      <c r="S335" s="302" t="s">
        <v>16</v>
      </c>
      <c r="T335" s="253" t="s">
        <v>3185</v>
      </c>
      <c r="U335" s="302" t="s">
        <v>16</v>
      </c>
      <c r="V335" s="253" t="s">
        <v>3186</v>
      </c>
      <c r="W335" s="250" t="s">
        <v>873</v>
      </c>
      <c r="X335" s="303" t="s">
        <v>16</v>
      </c>
    </row>
    <row r="336" spans="1:24" x14ac:dyDescent="0.2">
      <c r="A336" s="227" t="s">
        <v>480</v>
      </c>
      <c r="B336" s="224" t="s">
        <v>479</v>
      </c>
      <c r="C336" s="250" t="s">
        <v>45</v>
      </c>
      <c r="D336" s="250" t="s">
        <v>1125</v>
      </c>
      <c r="E336" s="250" t="s">
        <v>3200</v>
      </c>
      <c r="F336" s="250" t="s">
        <v>1135</v>
      </c>
      <c r="G336" s="252">
        <v>1</v>
      </c>
      <c r="H336" s="253" t="s">
        <v>3201</v>
      </c>
      <c r="I336" s="252">
        <v>1</v>
      </c>
      <c r="J336" s="253" t="s">
        <v>3202</v>
      </c>
      <c r="K336" s="250" t="s">
        <v>873</v>
      </c>
      <c r="L336" s="250" t="s">
        <v>2694</v>
      </c>
      <c r="M336" s="302" t="s">
        <v>16</v>
      </c>
      <c r="N336" s="302" t="s">
        <v>16</v>
      </c>
      <c r="O336" s="302" t="s">
        <v>16</v>
      </c>
      <c r="P336" s="302" t="s">
        <v>16</v>
      </c>
      <c r="Q336" s="250" t="s">
        <v>873</v>
      </c>
      <c r="R336" s="302" t="s">
        <v>16</v>
      </c>
      <c r="S336" s="302" t="s">
        <v>16</v>
      </c>
      <c r="T336" s="302" t="s">
        <v>16</v>
      </c>
      <c r="U336" s="302" t="s">
        <v>16</v>
      </c>
      <c r="V336" s="302" t="s">
        <v>16</v>
      </c>
      <c r="W336" s="250" t="s">
        <v>873</v>
      </c>
      <c r="X336" s="251" t="s">
        <v>2694</v>
      </c>
    </row>
    <row r="337" spans="1:24" x14ac:dyDescent="0.2">
      <c r="A337" s="227" t="s">
        <v>500</v>
      </c>
      <c r="B337" s="224" t="s">
        <v>499</v>
      </c>
      <c r="C337" s="250" t="s">
        <v>45</v>
      </c>
      <c r="D337" s="250" t="s">
        <v>1257</v>
      </c>
      <c r="E337" s="250" t="s">
        <v>3213</v>
      </c>
      <c r="F337" s="250" t="s">
        <v>2691</v>
      </c>
      <c r="G337" s="252">
        <v>0.5</v>
      </c>
      <c r="H337" s="253" t="s">
        <v>3107</v>
      </c>
      <c r="I337" s="252">
        <v>0.5</v>
      </c>
      <c r="J337" s="253" t="s">
        <v>13</v>
      </c>
      <c r="K337" s="250" t="s">
        <v>872</v>
      </c>
      <c r="L337" s="250" t="s">
        <v>2687</v>
      </c>
      <c r="M337" s="302" t="s">
        <v>16</v>
      </c>
      <c r="N337" s="302" t="s">
        <v>16</v>
      </c>
      <c r="O337" s="302" t="s">
        <v>16</v>
      </c>
      <c r="P337" s="302" t="s">
        <v>16</v>
      </c>
      <c r="Q337" s="250" t="s">
        <v>873</v>
      </c>
      <c r="R337" s="302" t="s">
        <v>16</v>
      </c>
      <c r="S337" s="302" t="s">
        <v>16</v>
      </c>
      <c r="T337" s="302" t="s">
        <v>16</v>
      </c>
      <c r="U337" s="302" t="s">
        <v>16</v>
      </c>
      <c r="V337" s="302" t="s">
        <v>16</v>
      </c>
      <c r="W337" s="250" t="s">
        <v>873</v>
      </c>
      <c r="X337" s="303" t="s">
        <v>16</v>
      </c>
    </row>
    <row r="338" spans="1:24" x14ac:dyDescent="0.2">
      <c r="A338" s="227" t="s">
        <v>556</v>
      </c>
      <c r="B338" s="224" t="s">
        <v>555</v>
      </c>
      <c r="C338" s="250" t="s">
        <v>45</v>
      </c>
      <c r="D338" s="250" t="s">
        <v>1134</v>
      </c>
      <c r="E338" s="250" t="s">
        <v>16</v>
      </c>
      <c r="F338" s="250" t="s">
        <v>2691</v>
      </c>
      <c r="G338" s="252">
        <v>0.9456</v>
      </c>
      <c r="H338" s="253" t="s">
        <v>3266</v>
      </c>
      <c r="I338" s="252">
        <v>0.9456</v>
      </c>
      <c r="J338" s="253" t="s">
        <v>1161</v>
      </c>
      <c r="K338" s="250" t="s">
        <v>872</v>
      </c>
      <c r="L338" s="250" t="s">
        <v>2694</v>
      </c>
      <c r="M338" s="252">
        <v>0.19750000000000001</v>
      </c>
      <c r="N338" s="253" t="s">
        <v>3267</v>
      </c>
      <c r="O338" s="252">
        <v>0.19750000000000001</v>
      </c>
      <c r="P338" s="253" t="s">
        <v>3268</v>
      </c>
      <c r="Q338" s="250" t="s">
        <v>873</v>
      </c>
      <c r="R338" s="250" t="s">
        <v>2694</v>
      </c>
      <c r="S338" s="252">
        <v>0</v>
      </c>
      <c r="T338" s="253" t="s">
        <v>891</v>
      </c>
      <c r="U338" s="252">
        <v>0</v>
      </c>
      <c r="V338" s="253" t="s">
        <v>891</v>
      </c>
      <c r="W338" s="250" t="s">
        <v>873</v>
      </c>
      <c r="X338" s="251" t="s">
        <v>1161</v>
      </c>
    </row>
    <row r="339" spans="1:24" x14ac:dyDescent="0.2">
      <c r="A339" s="227" t="s">
        <v>562</v>
      </c>
      <c r="B339" s="224" t="s">
        <v>561</v>
      </c>
      <c r="C339" s="250" t="s">
        <v>45</v>
      </c>
      <c r="D339" s="250" t="s">
        <v>1125</v>
      </c>
      <c r="E339" s="250" t="s">
        <v>3275</v>
      </c>
      <c r="F339" s="250" t="s">
        <v>1135</v>
      </c>
      <c r="G339" s="252">
        <v>1</v>
      </c>
      <c r="H339" s="253" t="s">
        <v>3276</v>
      </c>
      <c r="I339" s="252">
        <v>0.99139999999999995</v>
      </c>
      <c r="J339" s="302" t="s">
        <v>16</v>
      </c>
      <c r="K339" s="250" t="s">
        <v>872</v>
      </c>
      <c r="L339" s="250" t="s">
        <v>2694</v>
      </c>
      <c r="M339" s="252">
        <v>0.5</v>
      </c>
      <c r="N339" s="253" t="s">
        <v>3277</v>
      </c>
      <c r="O339" s="252">
        <v>0.4914</v>
      </c>
      <c r="P339" s="253" t="s">
        <v>3278</v>
      </c>
      <c r="Q339" s="250" t="s">
        <v>873</v>
      </c>
      <c r="R339" s="250" t="s">
        <v>2694</v>
      </c>
      <c r="S339" s="302" t="s">
        <v>16</v>
      </c>
      <c r="T339" s="302" t="s">
        <v>16</v>
      </c>
      <c r="U339" s="302" t="s">
        <v>16</v>
      </c>
      <c r="V339" s="302" t="s">
        <v>16</v>
      </c>
      <c r="W339" s="250" t="s">
        <v>873</v>
      </c>
      <c r="X339" s="303" t="s">
        <v>16</v>
      </c>
    </row>
    <row r="340" spans="1:24" x14ac:dyDescent="0.2">
      <c r="A340" s="227" t="s">
        <v>568</v>
      </c>
      <c r="B340" s="224" t="s">
        <v>567</v>
      </c>
      <c r="C340" s="250" t="s">
        <v>45</v>
      </c>
      <c r="D340" s="250" t="s">
        <v>1125</v>
      </c>
      <c r="E340" s="250" t="s">
        <v>3283</v>
      </c>
      <c r="F340" s="250" t="s">
        <v>2664</v>
      </c>
      <c r="G340" s="252">
        <v>1.5</v>
      </c>
      <c r="H340" s="253" t="s">
        <v>3265</v>
      </c>
      <c r="I340" s="252">
        <v>1.3797999999999999</v>
      </c>
      <c r="J340" s="302" t="s">
        <v>16</v>
      </c>
      <c r="K340" s="250" t="s">
        <v>872</v>
      </c>
      <c r="L340" s="250" t="s">
        <v>2694</v>
      </c>
      <c r="M340" s="252">
        <v>0</v>
      </c>
      <c r="N340" s="302" t="s">
        <v>16</v>
      </c>
      <c r="O340" s="252">
        <v>0</v>
      </c>
      <c r="P340" s="302" t="s">
        <v>16</v>
      </c>
      <c r="Q340" s="250" t="s">
        <v>873</v>
      </c>
      <c r="R340" s="302" t="s">
        <v>16</v>
      </c>
      <c r="S340" s="252">
        <v>0</v>
      </c>
      <c r="T340" s="302" t="s">
        <v>16</v>
      </c>
      <c r="U340" s="302" t="s">
        <v>16</v>
      </c>
      <c r="V340" s="302" t="s">
        <v>16</v>
      </c>
      <c r="W340" s="250" t="s">
        <v>873</v>
      </c>
      <c r="X340" s="303" t="s">
        <v>16</v>
      </c>
    </row>
    <row r="341" spans="1:24" x14ac:dyDescent="0.2">
      <c r="A341" s="227" t="s">
        <v>598</v>
      </c>
      <c r="B341" s="224" t="s">
        <v>597</v>
      </c>
      <c r="C341" s="250" t="s">
        <v>45</v>
      </c>
      <c r="D341" s="250" t="s">
        <v>1213</v>
      </c>
      <c r="E341" s="250" t="s">
        <v>3310</v>
      </c>
      <c r="F341" s="250" t="s">
        <v>1135</v>
      </c>
      <c r="G341" s="252">
        <v>1.5</v>
      </c>
      <c r="H341" s="253" t="s">
        <v>3311</v>
      </c>
      <c r="I341" s="252">
        <v>1.3685</v>
      </c>
      <c r="J341" s="253" t="s">
        <v>1161</v>
      </c>
      <c r="K341" s="250" t="s">
        <v>872</v>
      </c>
      <c r="L341" s="250" t="s">
        <v>2723</v>
      </c>
      <c r="M341" s="252">
        <v>0.47960000000000003</v>
      </c>
      <c r="N341" s="253" t="s">
        <v>3312</v>
      </c>
      <c r="O341" s="252">
        <v>0.47960000000000003</v>
      </c>
      <c r="P341" s="253" t="s">
        <v>3313</v>
      </c>
      <c r="Q341" s="250" t="s">
        <v>873</v>
      </c>
      <c r="R341" s="250" t="s">
        <v>2772</v>
      </c>
      <c r="S341" s="302" t="s">
        <v>16</v>
      </c>
      <c r="T341" s="302" t="s">
        <v>16</v>
      </c>
      <c r="U341" s="302" t="s">
        <v>16</v>
      </c>
      <c r="V341" s="302" t="s">
        <v>16</v>
      </c>
      <c r="W341" s="250" t="s">
        <v>873</v>
      </c>
      <c r="X341" s="303" t="s">
        <v>16</v>
      </c>
    </row>
    <row r="342" spans="1:24" x14ac:dyDescent="0.2">
      <c r="A342" s="227" t="s">
        <v>608</v>
      </c>
      <c r="B342" s="224" t="s">
        <v>607</v>
      </c>
      <c r="C342" s="250" t="s">
        <v>45</v>
      </c>
      <c r="D342" s="250" t="s">
        <v>1134</v>
      </c>
      <c r="E342" s="250" t="s">
        <v>1281</v>
      </c>
      <c r="F342" s="250" t="s">
        <v>2691</v>
      </c>
      <c r="G342" s="252">
        <v>0.5</v>
      </c>
      <c r="H342" s="253" t="s">
        <v>3327</v>
      </c>
      <c r="I342" s="252">
        <v>0.4909</v>
      </c>
      <c r="J342" s="302" t="s">
        <v>16</v>
      </c>
      <c r="K342" s="250" t="s">
        <v>872</v>
      </c>
      <c r="L342" s="250" t="s">
        <v>2694</v>
      </c>
      <c r="M342" s="252">
        <v>0.4</v>
      </c>
      <c r="N342" s="253" t="s">
        <v>3328</v>
      </c>
      <c r="O342" s="252">
        <v>0.33250000000000002</v>
      </c>
      <c r="P342" s="302" t="s">
        <v>16</v>
      </c>
      <c r="Q342" s="250" t="s">
        <v>872</v>
      </c>
      <c r="R342" s="250" t="s">
        <v>2694</v>
      </c>
      <c r="S342" s="252">
        <v>0.8</v>
      </c>
      <c r="T342" s="253" t="s">
        <v>3329</v>
      </c>
      <c r="U342" s="252">
        <v>0.64219999999999999</v>
      </c>
      <c r="V342" s="302" t="s">
        <v>16</v>
      </c>
      <c r="W342" s="250" t="s">
        <v>872</v>
      </c>
      <c r="X342" s="251" t="s">
        <v>2694</v>
      </c>
    </row>
    <row r="343" spans="1:24" x14ac:dyDescent="0.2">
      <c r="A343" s="227" t="s">
        <v>636</v>
      </c>
      <c r="B343" s="224" t="s">
        <v>635</v>
      </c>
      <c r="C343" s="250" t="s">
        <v>45</v>
      </c>
      <c r="D343" s="250" t="s">
        <v>1134</v>
      </c>
      <c r="E343" s="250" t="s">
        <v>1287</v>
      </c>
      <c r="F343" s="250" t="s">
        <v>2691</v>
      </c>
      <c r="G343" s="252">
        <v>1</v>
      </c>
      <c r="H343" s="253" t="s">
        <v>3361</v>
      </c>
      <c r="I343" s="252">
        <v>0.92330000000000001</v>
      </c>
      <c r="J343" s="302" t="s">
        <v>16</v>
      </c>
      <c r="K343" s="250" t="s">
        <v>872</v>
      </c>
      <c r="L343" s="250" t="s">
        <v>2694</v>
      </c>
      <c r="M343" s="252">
        <v>0</v>
      </c>
      <c r="N343" s="253" t="s">
        <v>3362</v>
      </c>
      <c r="O343" s="252">
        <v>0.75</v>
      </c>
      <c r="P343" s="253" t="s">
        <v>2888</v>
      </c>
      <c r="Q343" s="250" t="s">
        <v>873</v>
      </c>
      <c r="R343" s="250" t="s">
        <v>2772</v>
      </c>
      <c r="S343" s="252">
        <v>1.4</v>
      </c>
      <c r="T343" s="253" t="s">
        <v>2760</v>
      </c>
      <c r="U343" s="252">
        <v>1.4</v>
      </c>
      <c r="V343" s="253" t="s">
        <v>2888</v>
      </c>
      <c r="W343" s="250" t="s">
        <v>873</v>
      </c>
      <c r="X343" s="251" t="s">
        <v>2694</v>
      </c>
    </row>
    <row r="344" spans="1:24" x14ac:dyDescent="0.2">
      <c r="A344" s="227" t="s">
        <v>662</v>
      </c>
      <c r="B344" s="224" t="s">
        <v>661</v>
      </c>
      <c r="C344" s="250" t="s">
        <v>45</v>
      </c>
      <c r="D344" s="250" t="s">
        <v>1146</v>
      </c>
      <c r="E344" s="250" t="s">
        <v>3382</v>
      </c>
      <c r="F344" s="250" t="s">
        <v>2691</v>
      </c>
      <c r="G344" s="252">
        <v>1.35</v>
      </c>
      <c r="H344" s="253" t="s">
        <v>3383</v>
      </c>
      <c r="I344" s="252">
        <v>1.1448</v>
      </c>
      <c r="J344" s="302" t="s">
        <v>16</v>
      </c>
      <c r="K344" s="250" t="s">
        <v>872</v>
      </c>
      <c r="L344" s="250" t="s">
        <v>2694</v>
      </c>
      <c r="M344" s="252">
        <v>0</v>
      </c>
      <c r="N344" s="253" t="s">
        <v>3152</v>
      </c>
      <c r="O344" s="252">
        <v>0</v>
      </c>
      <c r="P344" s="253" t="s">
        <v>3384</v>
      </c>
      <c r="Q344" s="250" t="s">
        <v>873</v>
      </c>
      <c r="R344" s="302" t="s">
        <v>16</v>
      </c>
      <c r="S344" s="252">
        <v>0</v>
      </c>
      <c r="T344" s="302" t="s">
        <v>16</v>
      </c>
      <c r="U344" s="252">
        <v>0</v>
      </c>
      <c r="V344" s="302" t="s">
        <v>16</v>
      </c>
      <c r="W344" s="250" t="s">
        <v>873</v>
      </c>
      <c r="X344" s="303" t="s">
        <v>16</v>
      </c>
    </row>
    <row r="345" spans="1:24" x14ac:dyDescent="0.2">
      <c r="A345" s="227" t="s">
        <v>664</v>
      </c>
      <c r="B345" s="224" t="s">
        <v>663</v>
      </c>
      <c r="C345" s="250" t="s">
        <v>45</v>
      </c>
      <c r="D345" s="250" t="s">
        <v>1134</v>
      </c>
      <c r="E345" s="250" t="s">
        <v>16</v>
      </c>
      <c r="F345" s="250" t="s">
        <v>1135</v>
      </c>
      <c r="G345" s="252">
        <v>0</v>
      </c>
      <c r="H345" s="253" t="s">
        <v>891</v>
      </c>
      <c r="I345" s="252">
        <v>0.7</v>
      </c>
      <c r="J345" s="253" t="s">
        <v>891</v>
      </c>
      <c r="K345" s="250" t="s">
        <v>873</v>
      </c>
      <c r="L345" s="250" t="s">
        <v>2694</v>
      </c>
      <c r="M345" s="302" t="s">
        <v>16</v>
      </c>
      <c r="N345" s="302" t="s">
        <v>16</v>
      </c>
      <c r="O345" s="302" t="s">
        <v>16</v>
      </c>
      <c r="P345" s="302" t="s">
        <v>16</v>
      </c>
      <c r="Q345" s="250" t="s">
        <v>873</v>
      </c>
      <c r="R345" s="302" t="s">
        <v>16</v>
      </c>
      <c r="S345" s="302" t="s">
        <v>16</v>
      </c>
      <c r="T345" s="302" t="s">
        <v>16</v>
      </c>
      <c r="U345" s="302" t="s">
        <v>16</v>
      </c>
      <c r="V345" s="302" t="s">
        <v>16</v>
      </c>
      <c r="W345" s="250" t="s">
        <v>873</v>
      </c>
      <c r="X345" s="303" t="s">
        <v>16</v>
      </c>
    </row>
    <row r="346" spans="1:24" x14ac:dyDescent="0.2">
      <c r="A346" s="227" t="s">
        <v>668</v>
      </c>
      <c r="B346" s="224" t="s">
        <v>667</v>
      </c>
      <c r="C346" s="250" t="s">
        <v>45</v>
      </c>
      <c r="D346" s="250" t="s">
        <v>1146</v>
      </c>
      <c r="E346" s="250" t="s">
        <v>16</v>
      </c>
      <c r="F346" s="250" t="s">
        <v>1135</v>
      </c>
      <c r="G346" s="252">
        <v>1</v>
      </c>
      <c r="H346" s="253" t="s">
        <v>3387</v>
      </c>
      <c r="I346" s="252">
        <v>1</v>
      </c>
      <c r="J346" s="302" t="s">
        <v>16</v>
      </c>
      <c r="K346" s="250" t="s">
        <v>872</v>
      </c>
      <c r="L346" s="250" t="s">
        <v>2694</v>
      </c>
      <c r="M346" s="252">
        <v>0.5</v>
      </c>
      <c r="N346" s="253" t="s">
        <v>3388</v>
      </c>
      <c r="O346" s="252">
        <v>0.5</v>
      </c>
      <c r="P346" s="253" t="s">
        <v>2724</v>
      </c>
      <c r="Q346" s="250" t="s">
        <v>873</v>
      </c>
      <c r="R346" s="250" t="s">
        <v>2694</v>
      </c>
      <c r="S346" s="302" t="s">
        <v>16</v>
      </c>
      <c r="T346" s="302" t="s">
        <v>16</v>
      </c>
      <c r="U346" s="302" t="s">
        <v>16</v>
      </c>
      <c r="V346" s="302" t="s">
        <v>16</v>
      </c>
      <c r="W346" s="250" t="s">
        <v>873</v>
      </c>
      <c r="X346" s="303" t="s">
        <v>16</v>
      </c>
    </row>
    <row r="347" spans="1:24" x14ac:dyDescent="0.2">
      <c r="A347" s="227" t="s">
        <v>688</v>
      </c>
      <c r="B347" s="224" t="s">
        <v>687</v>
      </c>
      <c r="C347" s="250" t="s">
        <v>45</v>
      </c>
      <c r="D347" s="250" t="s">
        <v>1144</v>
      </c>
      <c r="E347" s="250" t="s">
        <v>3412</v>
      </c>
      <c r="F347" s="250" t="s">
        <v>2691</v>
      </c>
      <c r="G347" s="252">
        <v>0.9</v>
      </c>
      <c r="H347" s="253" t="s">
        <v>3413</v>
      </c>
      <c r="I347" s="252">
        <v>0.82120000000000004</v>
      </c>
      <c r="J347" s="253" t="s">
        <v>1139</v>
      </c>
      <c r="K347" s="250" t="s">
        <v>872</v>
      </c>
      <c r="L347" s="250" t="s">
        <v>2723</v>
      </c>
      <c r="M347" s="252">
        <v>0.55000000000000004</v>
      </c>
      <c r="N347" s="253" t="s">
        <v>3414</v>
      </c>
      <c r="O347" s="252">
        <v>0.35</v>
      </c>
      <c r="P347" s="253" t="s">
        <v>3415</v>
      </c>
      <c r="Q347" s="250" t="s">
        <v>873</v>
      </c>
      <c r="R347" s="250" t="s">
        <v>2723</v>
      </c>
      <c r="S347" s="302" t="s">
        <v>16</v>
      </c>
      <c r="T347" s="302" t="s">
        <v>16</v>
      </c>
      <c r="U347" s="302" t="s">
        <v>16</v>
      </c>
      <c r="V347" s="302" t="s">
        <v>16</v>
      </c>
      <c r="W347" s="250" t="s">
        <v>873</v>
      </c>
      <c r="X347" s="303" t="s">
        <v>16</v>
      </c>
    </row>
    <row r="348" spans="1:24" x14ac:dyDescent="0.2">
      <c r="A348" s="227" t="s">
        <v>712</v>
      </c>
      <c r="B348" s="224" t="s">
        <v>711</v>
      </c>
      <c r="C348" s="250" t="s">
        <v>45</v>
      </c>
      <c r="D348" s="250" t="s">
        <v>1190</v>
      </c>
      <c r="E348" s="250" t="s">
        <v>1295</v>
      </c>
      <c r="F348" s="250" t="s">
        <v>2691</v>
      </c>
      <c r="G348" s="252">
        <v>1.25</v>
      </c>
      <c r="H348" s="253" t="s">
        <v>3439</v>
      </c>
      <c r="I348" s="252">
        <v>1.2471000000000001</v>
      </c>
      <c r="J348" s="253" t="s">
        <v>3440</v>
      </c>
      <c r="K348" s="250" t="s">
        <v>873</v>
      </c>
      <c r="L348" s="250" t="s">
        <v>2694</v>
      </c>
      <c r="M348" s="302" t="s">
        <v>16</v>
      </c>
      <c r="N348" s="253" t="s">
        <v>3441</v>
      </c>
      <c r="O348" s="252">
        <v>0</v>
      </c>
      <c r="P348" s="253" t="s">
        <v>3442</v>
      </c>
      <c r="Q348" s="250" t="s">
        <v>873</v>
      </c>
      <c r="R348" s="302" t="s">
        <v>16</v>
      </c>
      <c r="S348" s="252">
        <v>0</v>
      </c>
      <c r="T348" s="302" t="s">
        <v>16</v>
      </c>
      <c r="U348" s="252">
        <v>0</v>
      </c>
      <c r="V348" s="302" t="s">
        <v>16</v>
      </c>
      <c r="W348" s="250" t="s">
        <v>873</v>
      </c>
      <c r="X348" s="303" t="s">
        <v>16</v>
      </c>
    </row>
    <row r="349" spans="1:24" x14ac:dyDescent="0.2">
      <c r="A349" s="227" t="s">
        <v>722</v>
      </c>
      <c r="B349" s="224" t="s">
        <v>721</v>
      </c>
      <c r="C349" s="250" t="s">
        <v>45</v>
      </c>
      <c r="D349" s="250" t="s">
        <v>1134</v>
      </c>
      <c r="E349" s="250" t="s">
        <v>1297</v>
      </c>
      <c r="F349" s="250" t="s">
        <v>1135</v>
      </c>
      <c r="G349" s="252">
        <v>1</v>
      </c>
      <c r="H349" s="253" t="s">
        <v>3266</v>
      </c>
      <c r="I349" s="252">
        <v>0.88</v>
      </c>
      <c r="J349" s="253" t="s">
        <v>1139</v>
      </c>
      <c r="K349" s="250" t="s">
        <v>872</v>
      </c>
      <c r="L349" s="250" t="s">
        <v>2705</v>
      </c>
      <c r="M349" s="302" t="s">
        <v>16</v>
      </c>
      <c r="N349" s="302" t="s">
        <v>16</v>
      </c>
      <c r="O349" s="302" t="s">
        <v>16</v>
      </c>
      <c r="P349" s="302" t="s">
        <v>16</v>
      </c>
      <c r="Q349" s="250" t="s">
        <v>873</v>
      </c>
      <c r="R349" s="302" t="s">
        <v>16</v>
      </c>
      <c r="S349" s="302" t="s">
        <v>16</v>
      </c>
      <c r="T349" s="302" t="s">
        <v>16</v>
      </c>
      <c r="U349" s="302" t="s">
        <v>16</v>
      </c>
      <c r="V349" s="302" t="s">
        <v>16</v>
      </c>
      <c r="W349" s="250" t="s">
        <v>873</v>
      </c>
      <c r="X349" s="303" t="s">
        <v>16</v>
      </c>
    </row>
    <row r="350" spans="1:24" x14ac:dyDescent="0.2">
      <c r="A350" s="227" t="s">
        <v>740</v>
      </c>
      <c r="B350" s="224" t="s">
        <v>739</v>
      </c>
      <c r="C350" s="250" t="s">
        <v>45</v>
      </c>
      <c r="D350" s="250" t="s">
        <v>1201</v>
      </c>
      <c r="E350" s="250" t="s">
        <v>3473</v>
      </c>
      <c r="F350" s="250" t="s">
        <v>2691</v>
      </c>
      <c r="G350" s="252">
        <v>0.5</v>
      </c>
      <c r="H350" s="253" t="s">
        <v>2874</v>
      </c>
      <c r="I350" s="252">
        <v>0.497</v>
      </c>
      <c r="J350" s="253" t="s">
        <v>3474</v>
      </c>
      <c r="K350" s="250" t="s">
        <v>873</v>
      </c>
      <c r="L350" s="250" t="s">
        <v>2694</v>
      </c>
      <c r="M350" s="252">
        <v>0.497</v>
      </c>
      <c r="N350" s="253" t="s">
        <v>2926</v>
      </c>
      <c r="O350" s="252">
        <v>0.5</v>
      </c>
      <c r="P350" s="253" t="s">
        <v>3061</v>
      </c>
      <c r="Q350" s="250" t="s">
        <v>873</v>
      </c>
      <c r="R350" s="250" t="s">
        <v>2694</v>
      </c>
      <c r="S350" s="252">
        <v>0</v>
      </c>
      <c r="T350" s="253" t="s">
        <v>3475</v>
      </c>
      <c r="U350" s="252">
        <v>0</v>
      </c>
      <c r="V350" s="253" t="s">
        <v>3474</v>
      </c>
      <c r="W350" s="250" t="s">
        <v>873</v>
      </c>
      <c r="X350" s="251" t="s">
        <v>2694</v>
      </c>
    </row>
    <row r="351" spans="1:24" x14ac:dyDescent="0.2">
      <c r="A351" s="227" t="s">
        <v>785</v>
      </c>
      <c r="B351" s="224" t="s">
        <v>784</v>
      </c>
      <c r="C351" s="250" t="s">
        <v>45</v>
      </c>
      <c r="D351" s="250" t="s">
        <v>1229</v>
      </c>
      <c r="E351" s="250" t="s">
        <v>1308</v>
      </c>
      <c r="F351" s="250" t="s">
        <v>2691</v>
      </c>
      <c r="G351" s="252">
        <v>1</v>
      </c>
      <c r="H351" s="253" t="s">
        <v>3515</v>
      </c>
      <c r="I351" s="252">
        <v>0.88470000000000004</v>
      </c>
      <c r="J351" s="302" t="s">
        <v>16</v>
      </c>
      <c r="K351" s="250" t="s">
        <v>872</v>
      </c>
      <c r="L351" s="250" t="s">
        <v>2723</v>
      </c>
      <c r="M351" s="252">
        <v>0.2</v>
      </c>
      <c r="N351" s="253" t="s">
        <v>3516</v>
      </c>
      <c r="O351" s="252">
        <v>0.19839999999999999</v>
      </c>
      <c r="P351" s="253" t="s">
        <v>3517</v>
      </c>
      <c r="Q351" s="250" t="s">
        <v>873</v>
      </c>
      <c r="R351" s="250" t="s">
        <v>2723</v>
      </c>
      <c r="S351" s="302" t="s">
        <v>16</v>
      </c>
      <c r="T351" s="302" t="s">
        <v>16</v>
      </c>
      <c r="U351" s="302" t="s">
        <v>16</v>
      </c>
      <c r="V351" s="302" t="s">
        <v>16</v>
      </c>
      <c r="W351" s="250" t="s">
        <v>873</v>
      </c>
      <c r="X351" s="303" t="s">
        <v>16</v>
      </c>
    </row>
    <row r="352" spans="1:24" ht="13.5" thickBot="1" x14ac:dyDescent="0.25">
      <c r="A352" s="228" t="s">
        <v>827</v>
      </c>
      <c r="B352" s="229" t="s">
        <v>826</v>
      </c>
      <c r="C352" s="296" t="s">
        <v>45</v>
      </c>
      <c r="D352" s="296" t="s">
        <v>1125</v>
      </c>
      <c r="E352" s="296" t="s">
        <v>1314</v>
      </c>
      <c r="F352" s="296" t="s">
        <v>2664</v>
      </c>
      <c r="G352" s="297">
        <v>0.5</v>
      </c>
      <c r="H352" s="298" t="s">
        <v>2848</v>
      </c>
      <c r="I352" s="297">
        <v>0.44650000000000001</v>
      </c>
      <c r="J352" s="298" t="s">
        <v>3555</v>
      </c>
      <c r="K352" s="296" t="s">
        <v>873</v>
      </c>
      <c r="L352" s="296" t="s">
        <v>2723</v>
      </c>
      <c r="M352" s="297">
        <v>0.3</v>
      </c>
      <c r="N352" s="298" t="s">
        <v>3556</v>
      </c>
      <c r="O352" s="297">
        <v>0.2084</v>
      </c>
      <c r="P352" s="298" t="s">
        <v>1145</v>
      </c>
      <c r="Q352" s="296" t="s">
        <v>872</v>
      </c>
      <c r="R352" s="296" t="s">
        <v>2723</v>
      </c>
      <c r="S352" s="297">
        <v>0.4</v>
      </c>
      <c r="T352" s="298" t="s">
        <v>2830</v>
      </c>
      <c r="U352" s="297">
        <v>0.39429999999999998</v>
      </c>
      <c r="V352" s="298" t="s">
        <v>2743</v>
      </c>
      <c r="W352" s="296" t="s">
        <v>873</v>
      </c>
      <c r="X352" s="299" t="s">
        <v>2694</v>
      </c>
    </row>
    <row r="353" spans="1:24" x14ac:dyDescent="0.2">
      <c r="A353" s="225" t="s">
        <v>59</v>
      </c>
      <c r="B353" s="226" t="s">
        <v>58</v>
      </c>
      <c r="C353" s="263" t="s">
        <v>60</v>
      </c>
      <c r="D353" s="263" t="s">
        <v>1144</v>
      </c>
      <c r="E353" s="263" t="s">
        <v>2731</v>
      </c>
      <c r="F353" s="263" t="s">
        <v>2691</v>
      </c>
      <c r="G353" s="264">
        <v>2</v>
      </c>
      <c r="H353" s="265" t="s">
        <v>2732</v>
      </c>
      <c r="I353" s="264">
        <v>1.8913</v>
      </c>
      <c r="J353" s="265" t="s">
        <v>1145</v>
      </c>
      <c r="K353" s="263" t="s">
        <v>872</v>
      </c>
      <c r="L353" s="263" t="s">
        <v>2694</v>
      </c>
      <c r="M353" s="300" t="s">
        <v>16</v>
      </c>
      <c r="N353" s="300" t="s">
        <v>16</v>
      </c>
      <c r="O353" s="300" t="s">
        <v>16</v>
      </c>
      <c r="P353" s="300" t="s">
        <v>16</v>
      </c>
      <c r="Q353" s="263" t="s">
        <v>873</v>
      </c>
      <c r="R353" s="300" t="s">
        <v>16</v>
      </c>
      <c r="S353" s="300" t="s">
        <v>16</v>
      </c>
      <c r="T353" s="300" t="s">
        <v>16</v>
      </c>
      <c r="U353" s="300" t="s">
        <v>16</v>
      </c>
      <c r="V353" s="300" t="s">
        <v>16</v>
      </c>
      <c r="W353" s="263" t="s">
        <v>873</v>
      </c>
      <c r="X353" s="301" t="s">
        <v>16</v>
      </c>
    </row>
    <row r="354" spans="1:24" x14ac:dyDescent="0.2">
      <c r="A354" s="227" t="s">
        <v>86</v>
      </c>
      <c r="B354" s="224" t="s">
        <v>85</v>
      </c>
      <c r="C354" s="254" t="s">
        <v>60</v>
      </c>
      <c r="D354" s="254" t="s">
        <v>1153</v>
      </c>
      <c r="E354" s="254" t="s">
        <v>1153</v>
      </c>
      <c r="F354" s="254" t="s">
        <v>1124</v>
      </c>
      <c r="G354" s="255">
        <v>1</v>
      </c>
      <c r="H354" s="256" t="s">
        <v>2760</v>
      </c>
      <c r="I354" s="255">
        <v>1</v>
      </c>
      <c r="J354" s="256" t="s">
        <v>2761</v>
      </c>
      <c r="K354" s="254" t="s">
        <v>873</v>
      </c>
      <c r="L354" s="254" t="s">
        <v>2694</v>
      </c>
      <c r="M354" s="255">
        <v>1</v>
      </c>
      <c r="N354" s="256" t="s">
        <v>2762</v>
      </c>
      <c r="O354" s="255">
        <v>1</v>
      </c>
      <c r="P354" s="256" t="s">
        <v>2761</v>
      </c>
      <c r="Q354" s="254" t="s">
        <v>873</v>
      </c>
      <c r="R354" s="254" t="s">
        <v>2687</v>
      </c>
      <c r="S354" s="255">
        <v>0</v>
      </c>
      <c r="T354" s="256" t="s">
        <v>891</v>
      </c>
      <c r="U354" s="255">
        <v>0</v>
      </c>
      <c r="V354" s="256" t="s">
        <v>891</v>
      </c>
      <c r="W354" s="254" t="s">
        <v>873</v>
      </c>
      <c r="X354" s="257" t="s">
        <v>891</v>
      </c>
    </row>
    <row r="355" spans="1:24" x14ac:dyDescent="0.2">
      <c r="A355" s="227" t="s">
        <v>148</v>
      </c>
      <c r="B355" s="224" t="s">
        <v>147</v>
      </c>
      <c r="C355" s="254" t="s">
        <v>60</v>
      </c>
      <c r="D355" s="254" t="s">
        <v>1134</v>
      </c>
      <c r="E355" s="254" t="s">
        <v>1175</v>
      </c>
      <c r="F355" s="254" t="s">
        <v>2664</v>
      </c>
      <c r="G355" s="255">
        <v>2</v>
      </c>
      <c r="H355" s="256" t="s">
        <v>2838</v>
      </c>
      <c r="I355" s="255">
        <v>1.5301</v>
      </c>
      <c r="J355" s="302" t="s">
        <v>16</v>
      </c>
      <c r="K355" s="254" t="s">
        <v>872</v>
      </c>
      <c r="L355" s="254" t="s">
        <v>2687</v>
      </c>
      <c r="M355" s="302" t="s">
        <v>16</v>
      </c>
      <c r="N355" s="302" t="s">
        <v>16</v>
      </c>
      <c r="O355" s="302" t="s">
        <v>16</v>
      </c>
      <c r="P355" s="302" t="s">
        <v>16</v>
      </c>
      <c r="Q355" s="254" t="s">
        <v>873</v>
      </c>
      <c r="R355" s="302" t="s">
        <v>16</v>
      </c>
      <c r="S355" s="302" t="s">
        <v>16</v>
      </c>
      <c r="T355" s="302" t="s">
        <v>16</v>
      </c>
      <c r="U355" s="302" t="s">
        <v>16</v>
      </c>
      <c r="V355" s="302" t="s">
        <v>16</v>
      </c>
      <c r="W355" s="254" t="s">
        <v>873</v>
      </c>
      <c r="X355" s="303" t="s">
        <v>16</v>
      </c>
    </row>
    <row r="356" spans="1:24" x14ac:dyDescent="0.2">
      <c r="A356" s="227" t="s">
        <v>150</v>
      </c>
      <c r="B356" s="224" t="s">
        <v>149</v>
      </c>
      <c r="C356" s="254" t="s">
        <v>60</v>
      </c>
      <c r="D356" s="254" t="s">
        <v>1176</v>
      </c>
      <c r="E356" s="254" t="s">
        <v>2839</v>
      </c>
      <c r="F356" s="254" t="s">
        <v>2691</v>
      </c>
      <c r="G356" s="255">
        <v>1.56</v>
      </c>
      <c r="H356" s="256" t="s">
        <v>2840</v>
      </c>
      <c r="I356" s="255">
        <v>1.56</v>
      </c>
      <c r="J356" s="256" t="s">
        <v>2841</v>
      </c>
      <c r="K356" s="254" t="s">
        <v>873</v>
      </c>
      <c r="L356" s="254" t="s">
        <v>2694</v>
      </c>
      <c r="M356" s="302" t="s">
        <v>16</v>
      </c>
      <c r="N356" s="302" t="s">
        <v>16</v>
      </c>
      <c r="O356" s="302" t="s">
        <v>16</v>
      </c>
      <c r="P356" s="302" t="s">
        <v>16</v>
      </c>
      <c r="Q356" s="254" t="s">
        <v>873</v>
      </c>
      <c r="R356" s="302" t="s">
        <v>16</v>
      </c>
      <c r="S356" s="302" t="s">
        <v>16</v>
      </c>
      <c r="T356" s="302" t="s">
        <v>16</v>
      </c>
      <c r="U356" s="302" t="s">
        <v>16</v>
      </c>
      <c r="V356" s="302" t="s">
        <v>16</v>
      </c>
      <c r="W356" s="254" t="s">
        <v>873</v>
      </c>
      <c r="X356" s="303" t="s">
        <v>16</v>
      </c>
    </row>
    <row r="357" spans="1:24" x14ac:dyDescent="0.2">
      <c r="A357" s="227" t="s">
        <v>180</v>
      </c>
      <c r="B357" s="224" t="s">
        <v>179</v>
      </c>
      <c r="C357" s="254" t="s">
        <v>60</v>
      </c>
      <c r="D357" s="254" t="s">
        <v>1186</v>
      </c>
      <c r="E357" s="254" t="s">
        <v>2884</v>
      </c>
      <c r="F357" s="254" t="s">
        <v>2691</v>
      </c>
      <c r="G357" s="255">
        <v>1.75</v>
      </c>
      <c r="H357" s="256" t="s">
        <v>2885</v>
      </c>
      <c r="I357" s="255">
        <v>1.75</v>
      </c>
      <c r="J357" s="256" t="s">
        <v>2886</v>
      </c>
      <c r="K357" s="254" t="s">
        <v>873</v>
      </c>
      <c r="L357" s="254" t="s">
        <v>2694</v>
      </c>
      <c r="M357" s="302" t="s">
        <v>16</v>
      </c>
      <c r="N357" s="302" t="s">
        <v>16</v>
      </c>
      <c r="O357" s="302" t="s">
        <v>16</v>
      </c>
      <c r="P357" s="302" t="s">
        <v>16</v>
      </c>
      <c r="Q357" s="254" t="s">
        <v>873</v>
      </c>
      <c r="R357" s="302" t="s">
        <v>16</v>
      </c>
      <c r="S357" s="302" t="s">
        <v>16</v>
      </c>
      <c r="T357" s="302" t="s">
        <v>16</v>
      </c>
      <c r="U357" s="302" t="s">
        <v>16</v>
      </c>
      <c r="V357" s="302" t="s">
        <v>16</v>
      </c>
      <c r="W357" s="254" t="s">
        <v>873</v>
      </c>
      <c r="X357" s="303" t="s">
        <v>16</v>
      </c>
    </row>
    <row r="358" spans="1:24" x14ac:dyDescent="0.2">
      <c r="A358" s="227" t="s">
        <v>186</v>
      </c>
      <c r="B358" s="224" t="s">
        <v>185</v>
      </c>
      <c r="C358" s="254" t="s">
        <v>60</v>
      </c>
      <c r="D358" s="254" t="s">
        <v>1146</v>
      </c>
      <c r="E358" s="254" t="s">
        <v>1152</v>
      </c>
      <c r="F358" s="254" t="s">
        <v>2691</v>
      </c>
      <c r="G358" s="255">
        <v>1</v>
      </c>
      <c r="H358" s="256" t="s">
        <v>2890</v>
      </c>
      <c r="I358" s="255">
        <v>0.87980000000000003</v>
      </c>
      <c r="J358" s="302" t="s">
        <v>16</v>
      </c>
      <c r="K358" s="254" t="s">
        <v>872</v>
      </c>
      <c r="L358" s="254" t="s">
        <v>2687</v>
      </c>
      <c r="M358" s="255">
        <v>0.39</v>
      </c>
      <c r="N358" s="256" t="s">
        <v>2848</v>
      </c>
      <c r="O358" s="255">
        <v>0.38290000000000002</v>
      </c>
      <c r="P358" s="256" t="s">
        <v>2888</v>
      </c>
      <c r="Q358" s="254" t="s">
        <v>873</v>
      </c>
      <c r="R358" s="254" t="s">
        <v>2687</v>
      </c>
      <c r="S358" s="302" t="s">
        <v>16</v>
      </c>
      <c r="T358" s="302" t="s">
        <v>16</v>
      </c>
      <c r="U358" s="302" t="s">
        <v>16</v>
      </c>
      <c r="V358" s="302" t="s">
        <v>16</v>
      </c>
      <c r="W358" s="254" t="s">
        <v>873</v>
      </c>
      <c r="X358" s="303" t="s">
        <v>16</v>
      </c>
    </row>
    <row r="359" spans="1:24" x14ac:dyDescent="0.2">
      <c r="A359" s="227" t="s">
        <v>221</v>
      </c>
      <c r="B359" s="224" t="s">
        <v>220</v>
      </c>
      <c r="C359" s="254" t="s">
        <v>60</v>
      </c>
      <c r="D359" s="254" t="s">
        <v>1134</v>
      </c>
      <c r="E359" s="254" t="s">
        <v>1197</v>
      </c>
      <c r="F359" s="254" t="s">
        <v>1135</v>
      </c>
      <c r="G359" s="255">
        <v>1</v>
      </c>
      <c r="H359" s="256" t="s">
        <v>2930</v>
      </c>
      <c r="I359" s="255">
        <v>0.90820000000000001</v>
      </c>
      <c r="J359" s="256" t="s">
        <v>13</v>
      </c>
      <c r="K359" s="254" t="s">
        <v>872</v>
      </c>
      <c r="L359" s="254" t="s">
        <v>2687</v>
      </c>
      <c r="M359" s="255">
        <v>0.95</v>
      </c>
      <c r="N359" s="256" t="s">
        <v>2931</v>
      </c>
      <c r="O359" s="255">
        <v>0.93899999999999995</v>
      </c>
      <c r="P359" s="256" t="s">
        <v>13</v>
      </c>
      <c r="Q359" s="254" t="s">
        <v>872</v>
      </c>
      <c r="R359" s="254" t="s">
        <v>2687</v>
      </c>
      <c r="S359" s="302" t="s">
        <v>16</v>
      </c>
      <c r="T359" s="302" t="s">
        <v>16</v>
      </c>
      <c r="U359" s="302" t="s">
        <v>16</v>
      </c>
      <c r="V359" s="302" t="s">
        <v>16</v>
      </c>
      <c r="W359" s="254" t="s">
        <v>873</v>
      </c>
      <c r="X359" s="303" t="s">
        <v>16</v>
      </c>
    </row>
    <row r="360" spans="1:24" x14ac:dyDescent="0.2">
      <c r="A360" s="227" t="s">
        <v>223</v>
      </c>
      <c r="B360" s="224" t="s">
        <v>222</v>
      </c>
      <c r="C360" s="254" t="s">
        <v>60</v>
      </c>
      <c r="D360" s="254" t="s">
        <v>1134</v>
      </c>
      <c r="E360" s="254" t="s">
        <v>2932</v>
      </c>
      <c r="F360" s="254" t="s">
        <v>1135</v>
      </c>
      <c r="G360" s="255">
        <v>1</v>
      </c>
      <c r="H360" s="256" t="s">
        <v>2933</v>
      </c>
      <c r="I360" s="255">
        <v>1</v>
      </c>
      <c r="J360" s="256" t="s">
        <v>2934</v>
      </c>
      <c r="K360" s="254" t="s">
        <v>873</v>
      </c>
      <c r="L360" s="254" t="s">
        <v>2694</v>
      </c>
      <c r="M360" s="255">
        <v>0.69</v>
      </c>
      <c r="N360" s="256" t="s">
        <v>2935</v>
      </c>
      <c r="O360" s="255">
        <v>0.69</v>
      </c>
      <c r="P360" s="256" t="s">
        <v>2936</v>
      </c>
      <c r="Q360" s="254" t="s">
        <v>873</v>
      </c>
      <c r="R360" s="254" t="s">
        <v>2694</v>
      </c>
      <c r="S360" s="255">
        <v>0</v>
      </c>
      <c r="T360" s="302" t="s">
        <v>16</v>
      </c>
      <c r="U360" s="255">
        <v>0</v>
      </c>
      <c r="V360" s="302" t="s">
        <v>16</v>
      </c>
      <c r="W360" s="254" t="s">
        <v>873</v>
      </c>
      <c r="X360" s="303" t="s">
        <v>16</v>
      </c>
    </row>
    <row r="361" spans="1:24" x14ac:dyDescent="0.2">
      <c r="A361" s="227" t="s">
        <v>233</v>
      </c>
      <c r="B361" s="224" t="s">
        <v>232</v>
      </c>
      <c r="C361" s="254" t="s">
        <v>60</v>
      </c>
      <c r="D361" s="254" t="s">
        <v>1134</v>
      </c>
      <c r="E361" s="254" t="s">
        <v>2941</v>
      </c>
      <c r="F361" s="254" t="s">
        <v>1135</v>
      </c>
      <c r="G361" s="255">
        <v>0.64</v>
      </c>
      <c r="H361" s="256" t="s">
        <v>2942</v>
      </c>
      <c r="I361" s="255">
        <v>0.64</v>
      </c>
      <c r="J361" s="256" t="s">
        <v>891</v>
      </c>
      <c r="K361" s="254" t="s">
        <v>872</v>
      </c>
      <c r="L361" s="254" t="s">
        <v>2723</v>
      </c>
      <c r="M361" s="255">
        <v>4</v>
      </c>
      <c r="N361" s="256" t="s">
        <v>2943</v>
      </c>
      <c r="O361" s="255">
        <v>4</v>
      </c>
      <c r="P361" s="256" t="s">
        <v>2944</v>
      </c>
      <c r="Q361" s="254" t="s">
        <v>873</v>
      </c>
      <c r="R361" s="254" t="s">
        <v>2723</v>
      </c>
      <c r="S361" s="302" t="s">
        <v>16</v>
      </c>
      <c r="T361" s="302" t="s">
        <v>16</v>
      </c>
      <c r="U361" s="302" t="s">
        <v>16</v>
      </c>
      <c r="V361" s="302" t="s">
        <v>16</v>
      </c>
      <c r="W361" s="302" t="s">
        <v>16</v>
      </c>
      <c r="X361" s="303" t="s">
        <v>16</v>
      </c>
    </row>
    <row r="362" spans="1:24" x14ac:dyDescent="0.2">
      <c r="A362" s="227" t="s">
        <v>277</v>
      </c>
      <c r="B362" s="224" t="s">
        <v>276</v>
      </c>
      <c r="C362" s="254" t="s">
        <v>60</v>
      </c>
      <c r="D362" s="254" t="s">
        <v>1125</v>
      </c>
      <c r="E362" s="254" t="s">
        <v>2990</v>
      </c>
      <c r="F362" s="254" t="s">
        <v>2691</v>
      </c>
      <c r="G362" s="255">
        <v>0.58560000000000001</v>
      </c>
      <c r="H362" s="256" t="s">
        <v>2991</v>
      </c>
      <c r="I362" s="255">
        <v>0.57299999999999995</v>
      </c>
      <c r="J362" s="256" t="s">
        <v>2992</v>
      </c>
      <c r="K362" s="254" t="s">
        <v>873</v>
      </c>
      <c r="L362" s="254" t="s">
        <v>2723</v>
      </c>
      <c r="M362" s="255">
        <v>1</v>
      </c>
      <c r="N362" s="256" t="s">
        <v>2993</v>
      </c>
      <c r="O362" s="255">
        <v>0.97870000000000001</v>
      </c>
      <c r="P362" s="256" t="s">
        <v>2952</v>
      </c>
      <c r="Q362" s="254" t="s">
        <v>873</v>
      </c>
      <c r="R362" s="254" t="s">
        <v>2723</v>
      </c>
      <c r="S362" s="255">
        <v>0</v>
      </c>
      <c r="T362" s="302" t="s">
        <v>16</v>
      </c>
      <c r="U362" s="302" t="s">
        <v>16</v>
      </c>
      <c r="V362" s="302" t="s">
        <v>16</v>
      </c>
      <c r="W362" s="254" t="s">
        <v>873</v>
      </c>
      <c r="X362" s="303" t="s">
        <v>16</v>
      </c>
    </row>
    <row r="363" spans="1:24" x14ac:dyDescent="0.2">
      <c r="A363" s="227" t="s">
        <v>291</v>
      </c>
      <c r="B363" s="224" t="s">
        <v>290</v>
      </c>
      <c r="C363" s="254" t="s">
        <v>60</v>
      </c>
      <c r="D363" s="254" t="s">
        <v>1212</v>
      </c>
      <c r="E363" s="254" t="s">
        <v>3008</v>
      </c>
      <c r="F363" s="254" t="s">
        <v>2691</v>
      </c>
      <c r="G363" s="255">
        <v>2</v>
      </c>
      <c r="H363" s="256" t="s">
        <v>3009</v>
      </c>
      <c r="I363" s="255">
        <v>2</v>
      </c>
      <c r="J363" s="256" t="s">
        <v>1161</v>
      </c>
      <c r="K363" s="254" t="s">
        <v>872</v>
      </c>
      <c r="L363" s="254" t="s">
        <v>2694</v>
      </c>
      <c r="M363" s="255">
        <v>1.4</v>
      </c>
      <c r="N363" s="256" t="s">
        <v>3010</v>
      </c>
      <c r="O363" s="255">
        <v>1.4</v>
      </c>
      <c r="P363" s="256" t="s">
        <v>3011</v>
      </c>
      <c r="Q363" s="254" t="s">
        <v>873</v>
      </c>
      <c r="R363" s="254" t="s">
        <v>2694</v>
      </c>
      <c r="S363" s="255">
        <v>0.6</v>
      </c>
      <c r="T363" s="256" t="s">
        <v>3012</v>
      </c>
      <c r="U363" s="255">
        <v>0.6</v>
      </c>
      <c r="V363" s="256" t="s">
        <v>3011</v>
      </c>
      <c r="W363" s="254" t="s">
        <v>873</v>
      </c>
      <c r="X363" s="257" t="s">
        <v>2694</v>
      </c>
    </row>
    <row r="364" spans="1:24" x14ac:dyDescent="0.2">
      <c r="A364" s="227" t="s">
        <v>317</v>
      </c>
      <c r="B364" s="224" t="s">
        <v>316</v>
      </c>
      <c r="C364" s="254" t="s">
        <v>60</v>
      </c>
      <c r="D364" s="254" t="s">
        <v>1212</v>
      </c>
      <c r="E364" s="254" t="s">
        <v>1219</v>
      </c>
      <c r="F364" s="254" t="s">
        <v>2691</v>
      </c>
      <c r="G364" s="255">
        <v>0.99809999999999999</v>
      </c>
      <c r="H364" s="256" t="s">
        <v>2696</v>
      </c>
      <c r="I364" s="255">
        <v>0.998</v>
      </c>
      <c r="J364" s="256" t="s">
        <v>2698</v>
      </c>
      <c r="K364" s="254" t="s">
        <v>873</v>
      </c>
      <c r="L364" s="254" t="s">
        <v>2694</v>
      </c>
      <c r="M364" s="302" t="s">
        <v>16</v>
      </c>
      <c r="N364" s="302" t="s">
        <v>16</v>
      </c>
      <c r="O364" s="302" t="s">
        <v>16</v>
      </c>
      <c r="P364" s="302" t="s">
        <v>16</v>
      </c>
      <c r="Q364" s="302" t="s">
        <v>16</v>
      </c>
      <c r="R364" s="302" t="s">
        <v>16</v>
      </c>
      <c r="S364" s="302" t="s">
        <v>16</v>
      </c>
      <c r="T364" s="302" t="s">
        <v>16</v>
      </c>
      <c r="U364" s="302" t="s">
        <v>16</v>
      </c>
      <c r="V364" s="302" t="s">
        <v>16</v>
      </c>
      <c r="W364" s="302" t="s">
        <v>16</v>
      </c>
      <c r="X364" s="303" t="s">
        <v>16</v>
      </c>
    </row>
    <row r="365" spans="1:24" x14ac:dyDescent="0.2">
      <c r="A365" s="227" t="s">
        <v>331</v>
      </c>
      <c r="B365" s="224" t="s">
        <v>330</v>
      </c>
      <c r="C365" s="254" t="s">
        <v>60</v>
      </c>
      <c r="D365" s="254" t="s">
        <v>1187</v>
      </c>
      <c r="E365" s="254" t="s">
        <v>3051</v>
      </c>
      <c r="F365" s="254" t="s">
        <v>1135</v>
      </c>
      <c r="G365" s="255">
        <v>0</v>
      </c>
      <c r="H365" s="256" t="s">
        <v>891</v>
      </c>
      <c r="I365" s="255">
        <v>1</v>
      </c>
      <c r="J365" s="256" t="s">
        <v>891</v>
      </c>
      <c r="K365" s="254" t="s">
        <v>873</v>
      </c>
      <c r="L365" s="254" t="s">
        <v>2694</v>
      </c>
      <c r="M365" s="255">
        <v>0</v>
      </c>
      <c r="N365" s="256" t="s">
        <v>891</v>
      </c>
      <c r="O365" s="255">
        <v>0</v>
      </c>
      <c r="P365" s="256" t="s">
        <v>891</v>
      </c>
      <c r="Q365" s="254" t="s">
        <v>873</v>
      </c>
      <c r="R365" s="254" t="s">
        <v>891</v>
      </c>
      <c r="S365" s="255">
        <v>0</v>
      </c>
      <c r="T365" s="256" t="s">
        <v>891</v>
      </c>
      <c r="U365" s="255">
        <v>0</v>
      </c>
      <c r="V365" s="256" t="s">
        <v>891</v>
      </c>
      <c r="W365" s="254" t="s">
        <v>873</v>
      </c>
      <c r="X365" s="257" t="s">
        <v>891</v>
      </c>
    </row>
    <row r="366" spans="1:24" x14ac:dyDescent="0.2">
      <c r="A366" s="227" t="s">
        <v>335</v>
      </c>
      <c r="B366" s="224" t="s">
        <v>334</v>
      </c>
      <c r="C366" s="254" t="s">
        <v>60</v>
      </c>
      <c r="D366" s="254" t="s">
        <v>1180</v>
      </c>
      <c r="E366" s="254" t="s">
        <v>3054</v>
      </c>
      <c r="F366" s="254" t="s">
        <v>1135</v>
      </c>
      <c r="G366" s="255">
        <v>2.15</v>
      </c>
      <c r="H366" s="256" t="s">
        <v>3055</v>
      </c>
      <c r="I366" s="255">
        <v>2.0728</v>
      </c>
      <c r="J366" s="256" t="s">
        <v>13</v>
      </c>
      <c r="K366" s="254" t="s">
        <v>872</v>
      </c>
      <c r="L366" s="254" t="s">
        <v>2694</v>
      </c>
      <c r="M366" s="255">
        <v>0.39500000000000002</v>
      </c>
      <c r="N366" s="256" t="s">
        <v>3056</v>
      </c>
      <c r="O366" s="255">
        <v>0.3805</v>
      </c>
      <c r="P366" s="256" t="s">
        <v>3057</v>
      </c>
      <c r="Q366" s="254" t="s">
        <v>873</v>
      </c>
      <c r="R366" s="254" t="s">
        <v>2772</v>
      </c>
      <c r="S366" s="255">
        <v>0</v>
      </c>
      <c r="T366" s="302" t="s">
        <v>16</v>
      </c>
      <c r="U366" s="255">
        <v>0</v>
      </c>
      <c r="V366" s="302" t="s">
        <v>16</v>
      </c>
      <c r="W366" s="254" t="s">
        <v>873</v>
      </c>
      <c r="X366" s="303" t="s">
        <v>16</v>
      </c>
    </row>
    <row r="367" spans="1:24" x14ac:dyDescent="0.2">
      <c r="A367" s="227" t="s">
        <v>339</v>
      </c>
      <c r="B367" s="224" t="s">
        <v>338</v>
      </c>
      <c r="C367" s="254" t="s">
        <v>60</v>
      </c>
      <c r="D367" s="254" t="s">
        <v>1134</v>
      </c>
      <c r="E367" s="254" t="s">
        <v>3063</v>
      </c>
      <c r="F367" s="254" t="s">
        <v>2691</v>
      </c>
      <c r="G367" s="255">
        <v>1.7</v>
      </c>
      <c r="H367" s="256" t="s">
        <v>3064</v>
      </c>
      <c r="I367" s="255">
        <v>1.5078</v>
      </c>
      <c r="J367" s="302" t="s">
        <v>16</v>
      </c>
      <c r="K367" s="254" t="s">
        <v>872</v>
      </c>
      <c r="L367" s="254" t="s">
        <v>2687</v>
      </c>
      <c r="M367" s="255">
        <v>0.68469999999999998</v>
      </c>
      <c r="N367" s="256" t="s">
        <v>3065</v>
      </c>
      <c r="O367" s="255">
        <v>0.68469999999999998</v>
      </c>
      <c r="P367" s="256" t="s">
        <v>3066</v>
      </c>
      <c r="Q367" s="254" t="s">
        <v>873</v>
      </c>
      <c r="R367" s="254" t="s">
        <v>2687</v>
      </c>
      <c r="S367" s="302" t="s">
        <v>16</v>
      </c>
      <c r="T367" s="302" t="s">
        <v>16</v>
      </c>
      <c r="U367" s="302" t="s">
        <v>16</v>
      </c>
      <c r="V367" s="302" t="s">
        <v>16</v>
      </c>
      <c r="W367" s="254" t="s">
        <v>873</v>
      </c>
      <c r="X367" s="303" t="s">
        <v>16</v>
      </c>
    </row>
    <row r="368" spans="1:24" x14ac:dyDescent="0.2">
      <c r="A368" s="227" t="s">
        <v>367</v>
      </c>
      <c r="B368" s="224" t="s">
        <v>366</v>
      </c>
      <c r="C368" s="254" t="s">
        <v>60</v>
      </c>
      <c r="D368" s="254" t="s">
        <v>1136</v>
      </c>
      <c r="E368" s="254" t="s">
        <v>3101</v>
      </c>
      <c r="F368" s="254" t="s">
        <v>2691</v>
      </c>
      <c r="G368" s="255">
        <v>1.5</v>
      </c>
      <c r="H368" s="256" t="s">
        <v>3102</v>
      </c>
      <c r="I368" s="255">
        <v>1.4853000000000001</v>
      </c>
      <c r="J368" s="256" t="s">
        <v>3103</v>
      </c>
      <c r="K368" s="254" t="s">
        <v>873</v>
      </c>
      <c r="L368" s="254" t="s">
        <v>2723</v>
      </c>
      <c r="M368" s="302" t="s">
        <v>16</v>
      </c>
      <c r="N368" s="256" t="s">
        <v>891</v>
      </c>
      <c r="O368" s="255">
        <v>0</v>
      </c>
      <c r="P368" s="256" t="s">
        <v>891</v>
      </c>
      <c r="Q368" s="254" t="s">
        <v>873</v>
      </c>
      <c r="R368" s="254" t="s">
        <v>891</v>
      </c>
      <c r="S368" s="255">
        <v>0</v>
      </c>
      <c r="T368" s="256" t="s">
        <v>891</v>
      </c>
      <c r="U368" s="255">
        <v>0</v>
      </c>
      <c r="V368" s="256" t="s">
        <v>891</v>
      </c>
      <c r="W368" s="254" t="s">
        <v>873</v>
      </c>
      <c r="X368" s="257" t="s">
        <v>891</v>
      </c>
    </row>
    <row r="369" spans="1:24" x14ac:dyDescent="0.2">
      <c r="A369" s="227" t="s">
        <v>389</v>
      </c>
      <c r="B369" s="224" t="s">
        <v>388</v>
      </c>
      <c r="C369" s="254" t="s">
        <v>60</v>
      </c>
      <c r="D369" s="254" t="s">
        <v>1165</v>
      </c>
      <c r="E369" s="254" t="s">
        <v>3121</v>
      </c>
      <c r="F369" s="254" t="s">
        <v>2691</v>
      </c>
      <c r="G369" s="255">
        <v>1</v>
      </c>
      <c r="H369" s="256" t="s">
        <v>3122</v>
      </c>
      <c r="I369" s="255">
        <v>0.67459999999999998</v>
      </c>
      <c r="J369" s="302" t="s">
        <v>16</v>
      </c>
      <c r="K369" s="254" t="s">
        <v>872</v>
      </c>
      <c r="L369" s="254" t="s">
        <v>2694</v>
      </c>
      <c r="M369" s="255">
        <v>0.4</v>
      </c>
      <c r="N369" s="256" t="s">
        <v>3123</v>
      </c>
      <c r="O369" s="255">
        <v>0.38990000000000002</v>
      </c>
      <c r="P369" s="256" t="s">
        <v>3124</v>
      </c>
      <c r="Q369" s="254" t="s">
        <v>873</v>
      </c>
      <c r="R369" s="254" t="s">
        <v>2687</v>
      </c>
      <c r="S369" s="302" t="s">
        <v>16</v>
      </c>
      <c r="T369" s="302" t="s">
        <v>16</v>
      </c>
      <c r="U369" s="302" t="s">
        <v>16</v>
      </c>
      <c r="V369" s="302" t="s">
        <v>16</v>
      </c>
      <c r="W369" s="254" t="s">
        <v>873</v>
      </c>
      <c r="X369" s="303" t="s">
        <v>16</v>
      </c>
    </row>
    <row r="370" spans="1:24" x14ac:dyDescent="0.2">
      <c r="A370" s="227" t="s">
        <v>409</v>
      </c>
      <c r="B370" s="224" t="s">
        <v>408</v>
      </c>
      <c r="C370" s="254" t="s">
        <v>60</v>
      </c>
      <c r="D370" s="254" t="s">
        <v>1239</v>
      </c>
      <c r="E370" s="254" t="s">
        <v>3135</v>
      </c>
      <c r="F370" s="254" t="s">
        <v>2691</v>
      </c>
      <c r="G370" s="255">
        <v>1.7593000000000001</v>
      </c>
      <c r="H370" s="256" t="s">
        <v>3029</v>
      </c>
      <c r="I370" s="255">
        <v>1.7593000000000001</v>
      </c>
      <c r="J370" s="256" t="s">
        <v>2927</v>
      </c>
      <c r="K370" s="254" t="s">
        <v>873</v>
      </c>
      <c r="L370" s="254" t="s">
        <v>2694</v>
      </c>
      <c r="M370" s="255">
        <v>0</v>
      </c>
      <c r="N370" s="256" t="s">
        <v>891</v>
      </c>
      <c r="O370" s="255">
        <v>0</v>
      </c>
      <c r="P370" s="256" t="s">
        <v>891</v>
      </c>
      <c r="Q370" s="254" t="s">
        <v>873</v>
      </c>
      <c r="R370" s="254" t="s">
        <v>891</v>
      </c>
      <c r="S370" s="255">
        <v>0</v>
      </c>
      <c r="T370" s="256" t="s">
        <v>891</v>
      </c>
      <c r="U370" s="255">
        <v>0</v>
      </c>
      <c r="V370" s="256" t="s">
        <v>891</v>
      </c>
      <c r="W370" s="254" t="s">
        <v>873</v>
      </c>
      <c r="X370" s="257" t="s">
        <v>891</v>
      </c>
    </row>
    <row r="371" spans="1:24" x14ac:dyDescent="0.2">
      <c r="A371" s="227" t="s">
        <v>417</v>
      </c>
      <c r="B371" s="224" t="s">
        <v>416</v>
      </c>
      <c r="C371" s="254" t="s">
        <v>60</v>
      </c>
      <c r="D371" s="254" t="s">
        <v>1149</v>
      </c>
      <c r="E371" s="254" t="s">
        <v>3140</v>
      </c>
      <c r="F371" s="254" t="s">
        <v>2691</v>
      </c>
      <c r="G371" s="255">
        <v>2.7782</v>
      </c>
      <c r="H371" s="256" t="s">
        <v>3141</v>
      </c>
      <c r="I371" s="255">
        <v>2.7782</v>
      </c>
      <c r="J371" s="256" t="s">
        <v>3142</v>
      </c>
      <c r="K371" s="254" t="s">
        <v>873</v>
      </c>
      <c r="L371" s="254" t="s">
        <v>2694</v>
      </c>
      <c r="M371" s="255">
        <v>1.1800999999999999</v>
      </c>
      <c r="N371" s="256" t="s">
        <v>3143</v>
      </c>
      <c r="O371" s="255">
        <v>1.1800999999999999</v>
      </c>
      <c r="P371" s="256" t="s">
        <v>3144</v>
      </c>
      <c r="Q371" s="254" t="s">
        <v>873</v>
      </c>
      <c r="R371" s="254" t="s">
        <v>2694</v>
      </c>
      <c r="S371" s="302" t="s">
        <v>16</v>
      </c>
      <c r="T371" s="302" t="s">
        <v>16</v>
      </c>
      <c r="U371" s="302" t="s">
        <v>16</v>
      </c>
      <c r="V371" s="302" t="s">
        <v>16</v>
      </c>
      <c r="W371" s="254" t="s">
        <v>873</v>
      </c>
      <c r="X371" s="303" t="s">
        <v>16</v>
      </c>
    </row>
    <row r="372" spans="1:24" x14ac:dyDescent="0.2">
      <c r="A372" s="227" t="s">
        <v>421</v>
      </c>
      <c r="B372" s="224" t="s">
        <v>420</v>
      </c>
      <c r="C372" s="254" t="s">
        <v>60</v>
      </c>
      <c r="D372" s="254" t="s">
        <v>1180</v>
      </c>
      <c r="E372" s="254" t="s">
        <v>3146</v>
      </c>
      <c r="F372" s="254" t="s">
        <v>2691</v>
      </c>
      <c r="G372" s="255">
        <v>1.28</v>
      </c>
      <c r="H372" s="256" t="s">
        <v>3147</v>
      </c>
      <c r="I372" s="255">
        <v>1.28</v>
      </c>
      <c r="J372" s="256" t="s">
        <v>3148</v>
      </c>
      <c r="K372" s="254" t="s">
        <v>873</v>
      </c>
      <c r="L372" s="254" t="s">
        <v>2694</v>
      </c>
      <c r="M372" s="302" t="s">
        <v>16</v>
      </c>
      <c r="N372" s="302" t="s">
        <v>16</v>
      </c>
      <c r="O372" s="302" t="s">
        <v>16</v>
      </c>
      <c r="P372" s="302" t="s">
        <v>16</v>
      </c>
      <c r="Q372" s="302" t="s">
        <v>16</v>
      </c>
      <c r="R372" s="302" t="s">
        <v>16</v>
      </c>
      <c r="S372" s="302" t="s">
        <v>16</v>
      </c>
      <c r="T372" s="302" t="s">
        <v>16</v>
      </c>
      <c r="U372" s="302" t="s">
        <v>16</v>
      </c>
      <c r="V372" s="302" t="s">
        <v>16</v>
      </c>
      <c r="W372" s="302" t="s">
        <v>16</v>
      </c>
      <c r="X372" s="303" t="s">
        <v>16</v>
      </c>
    </row>
    <row r="373" spans="1:24" x14ac:dyDescent="0.2">
      <c r="A373" s="227" t="s">
        <v>431</v>
      </c>
      <c r="B373" s="224" t="s">
        <v>430</v>
      </c>
      <c r="C373" s="254" t="s">
        <v>60</v>
      </c>
      <c r="D373" s="254" t="s">
        <v>1140</v>
      </c>
      <c r="E373" s="254" t="s">
        <v>3154</v>
      </c>
      <c r="F373" s="254" t="s">
        <v>2691</v>
      </c>
      <c r="G373" s="255">
        <v>0.9</v>
      </c>
      <c r="H373" s="256" t="s">
        <v>3155</v>
      </c>
      <c r="I373" s="255">
        <v>0.9</v>
      </c>
      <c r="J373" s="256" t="s">
        <v>3156</v>
      </c>
      <c r="K373" s="254" t="s">
        <v>873</v>
      </c>
      <c r="L373" s="254" t="s">
        <v>2694</v>
      </c>
      <c r="M373" s="302" t="s">
        <v>16</v>
      </c>
      <c r="N373" s="302" t="s">
        <v>16</v>
      </c>
      <c r="O373" s="302" t="s">
        <v>16</v>
      </c>
      <c r="P373" s="302" t="s">
        <v>16</v>
      </c>
      <c r="Q373" s="254" t="s">
        <v>873</v>
      </c>
      <c r="R373" s="302" t="s">
        <v>16</v>
      </c>
      <c r="S373" s="302" t="s">
        <v>16</v>
      </c>
      <c r="T373" s="302" t="s">
        <v>16</v>
      </c>
      <c r="U373" s="302" t="s">
        <v>16</v>
      </c>
      <c r="V373" s="302" t="s">
        <v>16</v>
      </c>
      <c r="W373" s="254" t="s">
        <v>873</v>
      </c>
      <c r="X373" s="303" t="s">
        <v>16</v>
      </c>
    </row>
    <row r="374" spans="1:24" x14ac:dyDescent="0.2">
      <c r="A374" s="227" t="s">
        <v>459</v>
      </c>
      <c r="B374" s="224" t="s">
        <v>458</v>
      </c>
      <c r="C374" s="254" t="s">
        <v>60</v>
      </c>
      <c r="D374" s="254" t="s">
        <v>1134</v>
      </c>
      <c r="E374" s="254" t="s">
        <v>3179</v>
      </c>
      <c r="F374" s="254" t="s">
        <v>1135</v>
      </c>
      <c r="G374" s="255">
        <v>1</v>
      </c>
      <c r="H374" s="256" t="s">
        <v>3180</v>
      </c>
      <c r="I374" s="255">
        <v>0.8</v>
      </c>
      <c r="J374" s="302" t="s">
        <v>16</v>
      </c>
      <c r="K374" s="254" t="s">
        <v>872</v>
      </c>
      <c r="L374" s="254" t="s">
        <v>2687</v>
      </c>
      <c r="M374" s="302" t="s">
        <v>16</v>
      </c>
      <c r="N374" s="302" t="s">
        <v>16</v>
      </c>
      <c r="O374" s="302" t="s">
        <v>16</v>
      </c>
      <c r="P374" s="302" t="s">
        <v>16</v>
      </c>
      <c r="Q374" s="254" t="s">
        <v>873</v>
      </c>
      <c r="R374" s="302" t="s">
        <v>16</v>
      </c>
      <c r="S374" s="302" t="s">
        <v>16</v>
      </c>
      <c r="T374" s="302" t="s">
        <v>16</v>
      </c>
      <c r="U374" s="302" t="s">
        <v>16</v>
      </c>
      <c r="V374" s="302" t="s">
        <v>16</v>
      </c>
      <c r="W374" s="254" t="s">
        <v>873</v>
      </c>
      <c r="X374" s="303" t="s">
        <v>16</v>
      </c>
    </row>
    <row r="375" spans="1:24" x14ac:dyDescent="0.2">
      <c r="A375" s="227" t="s">
        <v>526</v>
      </c>
      <c r="B375" s="224" t="s">
        <v>525</v>
      </c>
      <c r="C375" s="254" t="s">
        <v>60</v>
      </c>
      <c r="D375" s="254" t="s">
        <v>1262</v>
      </c>
      <c r="E375" s="254" t="s">
        <v>1262</v>
      </c>
      <c r="F375" s="254" t="s">
        <v>1124</v>
      </c>
      <c r="G375" s="255">
        <v>1</v>
      </c>
      <c r="H375" s="256" t="s">
        <v>3155</v>
      </c>
      <c r="I375" s="255">
        <v>1</v>
      </c>
      <c r="J375" s="256" t="s">
        <v>2852</v>
      </c>
      <c r="K375" s="254" t="s">
        <v>873</v>
      </c>
      <c r="L375" s="254" t="s">
        <v>2687</v>
      </c>
      <c r="M375" s="255">
        <v>0</v>
      </c>
      <c r="N375" s="256" t="s">
        <v>891</v>
      </c>
      <c r="O375" s="255">
        <v>0</v>
      </c>
      <c r="P375" s="256" t="s">
        <v>891</v>
      </c>
      <c r="Q375" s="254" t="s">
        <v>873</v>
      </c>
      <c r="R375" s="254" t="s">
        <v>891</v>
      </c>
      <c r="S375" s="255">
        <v>0</v>
      </c>
      <c r="T375" s="256" t="s">
        <v>891</v>
      </c>
      <c r="U375" s="255">
        <v>0</v>
      </c>
      <c r="V375" s="256" t="s">
        <v>891</v>
      </c>
      <c r="W375" s="254" t="s">
        <v>873</v>
      </c>
      <c r="X375" s="257" t="s">
        <v>891</v>
      </c>
    </row>
    <row r="376" spans="1:24" x14ac:dyDescent="0.2">
      <c r="A376" s="227" t="s">
        <v>540</v>
      </c>
      <c r="B376" s="224" t="s">
        <v>539</v>
      </c>
      <c r="C376" s="254" t="s">
        <v>60</v>
      </c>
      <c r="D376" s="254" t="s">
        <v>1216</v>
      </c>
      <c r="E376" s="254" t="s">
        <v>1217</v>
      </c>
      <c r="F376" s="254" t="s">
        <v>2691</v>
      </c>
      <c r="G376" s="255">
        <v>1.2490000000000001</v>
      </c>
      <c r="H376" s="256" t="s">
        <v>3241</v>
      </c>
      <c r="I376" s="255">
        <v>1.2490000000000001</v>
      </c>
      <c r="J376" s="256" t="s">
        <v>3248</v>
      </c>
      <c r="K376" s="254" t="s">
        <v>873</v>
      </c>
      <c r="L376" s="254" t="s">
        <v>2723</v>
      </c>
      <c r="M376" s="255">
        <v>0</v>
      </c>
      <c r="N376" s="302" t="s">
        <v>16</v>
      </c>
      <c r="O376" s="255">
        <v>0</v>
      </c>
      <c r="P376" s="302" t="s">
        <v>16</v>
      </c>
      <c r="Q376" s="254" t="s">
        <v>873</v>
      </c>
      <c r="R376" s="302" t="s">
        <v>16</v>
      </c>
      <c r="S376" s="255">
        <v>0</v>
      </c>
      <c r="T376" s="302" t="s">
        <v>16</v>
      </c>
      <c r="U376" s="255">
        <v>0</v>
      </c>
      <c r="V376" s="302" t="s">
        <v>16</v>
      </c>
      <c r="W376" s="254" t="s">
        <v>873</v>
      </c>
      <c r="X376" s="303" t="s">
        <v>16</v>
      </c>
    </row>
    <row r="377" spans="1:24" x14ac:dyDescent="0.2">
      <c r="A377" s="227" t="s">
        <v>560</v>
      </c>
      <c r="B377" s="224" t="s">
        <v>559</v>
      </c>
      <c r="C377" s="254" t="s">
        <v>60</v>
      </c>
      <c r="D377" s="254" t="s">
        <v>1125</v>
      </c>
      <c r="E377" s="254" t="s">
        <v>3272</v>
      </c>
      <c r="F377" s="254" t="s">
        <v>1135</v>
      </c>
      <c r="G377" s="255">
        <v>1</v>
      </c>
      <c r="H377" s="256" t="s">
        <v>3273</v>
      </c>
      <c r="I377" s="255">
        <v>0.75670000000000004</v>
      </c>
      <c r="J377" s="302" t="s">
        <v>16</v>
      </c>
      <c r="K377" s="254" t="s">
        <v>872</v>
      </c>
      <c r="L377" s="254" t="s">
        <v>2694</v>
      </c>
      <c r="M377" s="255">
        <v>0</v>
      </c>
      <c r="N377" s="256" t="s">
        <v>3274</v>
      </c>
      <c r="O377" s="255">
        <v>0</v>
      </c>
      <c r="P377" s="256" t="s">
        <v>3274</v>
      </c>
      <c r="Q377" s="254" t="s">
        <v>873</v>
      </c>
      <c r="R377" s="254" t="s">
        <v>3274</v>
      </c>
      <c r="S377" s="255">
        <v>0</v>
      </c>
      <c r="T377" s="256" t="s">
        <v>3274</v>
      </c>
      <c r="U377" s="255">
        <v>0</v>
      </c>
      <c r="V377" s="256" t="s">
        <v>3274</v>
      </c>
      <c r="W377" s="254" t="s">
        <v>873</v>
      </c>
      <c r="X377" s="257" t="s">
        <v>3274</v>
      </c>
    </row>
    <row r="378" spans="1:24" x14ac:dyDescent="0.2">
      <c r="A378" s="227" t="s">
        <v>610</v>
      </c>
      <c r="B378" s="224" t="s">
        <v>609</v>
      </c>
      <c r="C378" s="254" t="s">
        <v>60</v>
      </c>
      <c r="D378" s="254" t="s">
        <v>1125</v>
      </c>
      <c r="E378" s="254" t="s">
        <v>3330</v>
      </c>
      <c r="F378" s="254" t="s">
        <v>1135</v>
      </c>
      <c r="G378" s="255">
        <v>1</v>
      </c>
      <c r="H378" s="256" t="s">
        <v>71</v>
      </c>
      <c r="I378" s="255">
        <v>1</v>
      </c>
      <c r="J378" s="256" t="s">
        <v>2698</v>
      </c>
      <c r="K378" s="254" t="s">
        <v>873</v>
      </c>
      <c r="L378" s="254" t="s">
        <v>2694</v>
      </c>
      <c r="M378" s="255">
        <v>0</v>
      </c>
      <c r="N378" s="302" t="s">
        <v>16</v>
      </c>
      <c r="O378" s="255">
        <v>0</v>
      </c>
      <c r="P378" s="302" t="s">
        <v>16</v>
      </c>
      <c r="Q378" s="254" t="s">
        <v>873</v>
      </c>
      <c r="R378" s="302" t="s">
        <v>16</v>
      </c>
      <c r="S378" s="255">
        <v>0</v>
      </c>
      <c r="T378" s="302" t="s">
        <v>16</v>
      </c>
      <c r="U378" s="255">
        <v>0</v>
      </c>
      <c r="V378" s="302" t="s">
        <v>16</v>
      </c>
      <c r="W378" s="254" t="s">
        <v>873</v>
      </c>
      <c r="X378" s="303" t="s">
        <v>16</v>
      </c>
    </row>
    <row r="379" spans="1:24" x14ac:dyDescent="0.2">
      <c r="A379" s="227" t="s">
        <v>614</v>
      </c>
      <c r="B379" s="224" t="s">
        <v>613</v>
      </c>
      <c r="C379" s="254" t="s">
        <v>60</v>
      </c>
      <c r="D379" s="254" t="s">
        <v>1149</v>
      </c>
      <c r="E379" s="254" t="s">
        <v>3336</v>
      </c>
      <c r="F379" s="254" t="s">
        <v>2691</v>
      </c>
      <c r="G379" s="255">
        <v>1.5</v>
      </c>
      <c r="H379" s="256" t="s">
        <v>3337</v>
      </c>
      <c r="I379" s="255">
        <v>1.5</v>
      </c>
      <c r="J379" s="302" t="s">
        <v>16</v>
      </c>
      <c r="K379" s="254" t="s">
        <v>872</v>
      </c>
      <c r="L379" s="254" t="s">
        <v>2687</v>
      </c>
      <c r="M379" s="255">
        <v>0</v>
      </c>
      <c r="N379" s="302" t="s">
        <v>16</v>
      </c>
      <c r="O379" s="255">
        <v>0</v>
      </c>
      <c r="P379" s="256" t="s">
        <v>891</v>
      </c>
      <c r="Q379" s="254" t="s">
        <v>873</v>
      </c>
      <c r="R379" s="302" t="s">
        <v>16</v>
      </c>
      <c r="S379" s="255">
        <v>0</v>
      </c>
      <c r="T379" s="302" t="s">
        <v>16</v>
      </c>
      <c r="U379" s="255">
        <v>0</v>
      </c>
      <c r="V379" s="302" t="s">
        <v>16</v>
      </c>
      <c r="W379" s="254" t="s">
        <v>873</v>
      </c>
      <c r="X379" s="303" t="s">
        <v>16</v>
      </c>
    </row>
    <row r="380" spans="1:24" x14ac:dyDescent="0.2">
      <c r="A380" s="227" t="s">
        <v>624</v>
      </c>
      <c r="B380" s="224" t="s">
        <v>623</v>
      </c>
      <c r="C380" s="254" t="s">
        <v>60</v>
      </c>
      <c r="D380" s="254" t="s">
        <v>1164</v>
      </c>
      <c r="E380" s="254" t="s">
        <v>3349</v>
      </c>
      <c r="F380" s="254" t="s">
        <v>2691</v>
      </c>
      <c r="G380" s="255">
        <v>2.7</v>
      </c>
      <c r="H380" s="256" t="s">
        <v>2883</v>
      </c>
      <c r="I380" s="255">
        <v>2.6947000000000001</v>
      </c>
      <c r="J380" s="256" t="s">
        <v>891</v>
      </c>
      <c r="K380" s="254" t="s">
        <v>872</v>
      </c>
      <c r="L380" s="254" t="s">
        <v>2694</v>
      </c>
      <c r="M380" s="255">
        <v>1.3</v>
      </c>
      <c r="N380" s="256" t="s">
        <v>3350</v>
      </c>
      <c r="O380" s="255">
        <v>1.2983</v>
      </c>
      <c r="P380" s="256" t="s">
        <v>3351</v>
      </c>
      <c r="Q380" s="254" t="s">
        <v>873</v>
      </c>
      <c r="R380" s="254" t="s">
        <v>2694</v>
      </c>
      <c r="S380" s="302" t="s">
        <v>16</v>
      </c>
      <c r="T380" s="302" t="s">
        <v>16</v>
      </c>
      <c r="U380" s="302" t="s">
        <v>16</v>
      </c>
      <c r="V380" s="302" t="s">
        <v>16</v>
      </c>
      <c r="W380" s="254" t="s">
        <v>873</v>
      </c>
      <c r="X380" s="303" t="s">
        <v>16</v>
      </c>
    </row>
    <row r="381" spans="1:24" x14ac:dyDescent="0.2">
      <c r="A381" s="227" t="s">
        <v>660</v>
      </c>
      <c r="B381" s="224" t="s">
        <v>659</v>
      </c>
      <c r="C381" s="254" t="s">
        <v>60</v>
      </c>
      <c r="D381" s="254" t="s">
        <v>1125</v>
      </c>
      <c r="E381" s="254" t="s">
        <v>3380</v>
      </c>
      <c r="F381" s="254" t="s">
        <v>2664</v>
      </c>
      <c r="G381" s="255">
        <v>1</v>
      </c>
      <c r="H381" s="256" t="s">
        <v>3381</v>
      </c>
      <c r="I381" s="255">
        <v>0.78159999999999996</v>
      </c>
      <c r="J381" s="302" t="s">
        <v>16</v>
      </c>
      <c r="K381" s="254" t="s">
        <v>872</v>
      </c>
      <c r="L381" s="254" t="s">
        <v>2694</v>
      </c>
      <c r="M381" s="302" t="s">
        <v>16</v>
      </c>
      <c r="N381" s="302" t="s">
        <v>16</v>
      </c>
      <c r="O381" s="302" t="s">
        <v>16</v>
      </c>
      <c r="P381" s="302" t="s">
        <v>16</v>
      </c>
      <c r="Q381" s="254" t="s">
        <v>873</v>
      </c>
      <c r="R381" s="302" t="s">
        <v>16</v>
      </c>
      <c r="S381" s="302" t="s">
        <v>16</v>
      </c>
      <c r="T381" s="302" t="s">
        <v>16</v>
      </c>
      <c r="U381" s="302" t="s">
        <v>16</v>
      </c>
      <c r="V381" s="302" t="s">
        <v>16</v>
      </c>
      <c r="W381" s="254" t="s">
        <v>873</v>
      </c>
      <c r="X381" s="303" t="s">
        <v>16</v>
      </c>
    </row>
    <row r="382" spans="1:24" x14ac:dyDescent="0.2">
      <c r="A382" s="227" t="s">
        <v>670</v>
      </c>
      <c r="B382" s="224" t="s">
        <v>669</v>
      </c>
      <c r="C382" s="254" t="s">
        <v>60</v>
      </c>
      <c r="D382" s="254" t="s">
        <v>1125</v>
      </c>
      <c r="E382" s="254" t="s">
        <v>3389</v>
      </c>
      <c r="F382" s="254" t="s">
        <v>1135</v>
      </c>
      <c r="G382" s="255">
        <v>1</v>
      </c>
      <c r="H382" s="256" t="s">
        <v>3390</v>
      </c>
      <c r="I382" s="255">
        <v>0.94599999999999995</v>
      </c>
      <c r="J382" s="256" t="s">
        <v>3391</v>
      </c>
      <c r="K382" s="254" t="s">
        <v>873</v>
      </c>
      <c r="L382" s="254" t="s">
        <v>2687</v>
      </c>
      <c r="M382" s="302" t="s">
        <v>16</v>
      </c>
      <c r="N382" s="302" t="s">
        <v>16</v>
      </c>
      <c r="O382" s="302" t="s">
        <v>16</v>
      </c>
      <c r="P382" s="302" t="s">
        <v>16</v>
      </c>
      <c r="Q382" s="254" t="s">
        <v>873</v>
      </c>
      <c r="R382" s="302" t="s">
        <v>16</v>
      </c>
      <c r="S382" s="302" t="s">
        <v>16</v>
      </c>
      <c r="T382" s="302" t="s">
        <v>16</v>
      </c>
      <c r="U382" s="302" t="s">
        <v>16</v>
      </c>
      <c r="V382" s="302" t="s">
        <v>16</v>
      </c>
      <c r="W382" s="254" t="s">
        <v>873</v>
      </c>
      <c r="X382" s="303" t="s">
        <v>16</v>
      </c>
    </row>
    <row r="383" spans="1:24" x14ac:dyDescent="0.2">
      <c r="A383" s="227" t="s">
        <v>678</v>
      </c>
      <c r="B383" s="224" t="s">
        <v>677</v>
      </c>
      <c r="C383" s="254" t="s">
        <v>60</v>
      </c>
      <c r="D383" s="254" t="s">
        <v>1292</v>
      </c>
      <c r="E383" s="254" t="s">
        <v>3401</v>
      </c>
      <c r="F383" s="254" t="s">
        <v>1124</v>
      </c>
      <c r="G383" s="255">
        <v>0.7</v>
      </c>
      <c r="H383" s="256" t="s">
        <v>2943</v>
      </c>
      <c r="I383" s="255">
        <v>0.7</v>
      </c>
      <c r="J383" s="256" t="s">
        <v>2754</v>
      </c>
      <c r="K383" s="254" t="s">
        <v>873</v>
      </c>
      <c r="L383" s="254" t="s">
        <v>2694</v>
      </c>
      <c r="M383" s="255">
        <v>0</v>
      </c>
      <c r="N383" s="256" t="s">
        <v>891</v>
      </c>
      <c r="O383" s="255">
        <v>0</v>
      </c>
      <c r="P383" s="256" t="s">
        <v>891</v>
      </c>
      <c r="Q383" s="254" t="s">
        <v>873</v>
      </c>
      <c r="R383" s="254" t="s">
        <v>891</v>
      </c>
      <c r="S383" s="255">
        <v>0</v>
      </c>
      <c r="T383" s="256" t="s">
        <v>891</v>
      </c>
      <c r="U383" s="255">
        <v>0</v>
      </c>
      <c r="V383" s="256" t="s">
        <v>891</v>
      </c>
      <c r="W383" s="254" t="s">
        <v>873</v>
      </c>
      <c r="X383" s="257" t="s">
        <v>891</v>
      </c>
    </row>
    <row r="384" spans="1:24" x14ac:dyDescent="0.2">
      <c r="A384" s="227" t="s">
        <v>680</v>
      </c>
      <c r="B384" s="224" t="s">
        <v>679</v>
      </c>
      <c r="C384" s="254" t="s">
        <v>60</v>
      </c>
      <c r="D384" s="254" t="s">
        <v>1146</v>
      </c>
      <c r="E384" s="254" t="s">
        <v>3402</v>
      </c>
      <c r="F384" s="254" t="s">
        <v>1135</v>
      </c>
      <c r="G384" s="255">
        <v>1</v>
      </c>
      <c r="H384" s="256" t="s">
        <v>14</v>
      </c>
      <c r="I384" s="255">
        <v>0.89839999999999998</v>
      </c>
      <c r="J384" s="256" t="s">
        <v>15</v>
      </c>
      <c r="K384" s="254" t="s">
        <v>873</v>
      </c>
      <c r="L384" s="254" t="s">
        <v>2694</v>
      </c>
      <c r="M384" s="255">
        <v>0</v>
      </c>
      <c r="N384" s="256" t="s">
        <v>891</v>
      </c>
      <c r="O384" s="255">
        <v>0</v>
      </c>
      <c r="P384" s="256" t="s">
        <v>891</v>
      </c>
      <c r="Q384" s="254" t="s">
        <v>873</v>
      </c>
      <c r="R384" s="254" t="s">
        <v>891</v>
      </c>
      <c r="S384" s="255">
        <v>0</v>
      </c>
      <c r="T384" s="256" t="s">
        <v>891</v>
      </c>
      <c r="U384" s="255">
        <v>0</v>
      </c>
      <c r="V384" s="256" t="s">
        <v>891</v>
      </c>
      <c r="W384" s="254" t="s">
        <v>873</v>
      </c>
      <c r="X384" s="257" t="s">
        <v>891</v>
      </c>
    </row>
    <row r="385" spans="1:24" x14ac:dyDescent="0.2">
      <c r="A385" s="227" t="s">
        <v>708</v>
      </c>
      <c r="B385" s="224" t="s">
        <v>707</v>
      </c>
      <c r="C385" s="254" t="s">
        <v>60</v>
      </c>
      <c r="D385" s="254" t="s">
        <v>1146</v>
      </c>
      <c r="E385" s="254" t="s">
        <v>1294</v>
      </c>
      <c r="F385" s="254" t="s">
        <v>2664</v>
      </c>
      <c r="G385" s="255">
        <v>0</v>
      </c>
      <c r="H385" s="256" t="s">
        <v>891</v>
      </c>
      <c r="I385" s="255">
        <v>0</v>
      </c>
      <c r="J385" s="256" t="s">
        <v>891</v>
      </c>
      <c r="K385" s="254" t="s">
        <v>873</v>
      </c>
      <c r="L385" s="254" t="s">
        <v>891</v>
      </c>
      <c r="M385" s="255">
        <v>0</v>
      </c>
      <c r="N385" s="256" t="s">
        <v>891</v>
      </c>
      <c r="O385" s="255">
        <v>0</v>
      </c>
      <c r="P385" s="256" t="s">
        <v>891</v>
      </c>
      <c r="Q385" s="254" t="s">
        <v>873</v>
      </c>
      <c r="R385" s="254" t="s">
        <v>891</v>
      </c>
      <c r="S385" s="255">
        <v>0</v>
      </c>
      <c r="T385" s="256" t="s">
        <v>891</v>
      </c>
      <c r="U385" s="255">
        <v>0</v>
      </c>
      <c r="V385" s="256" t="s">
        <v>891</v>
      </c>
      <c r="W385" s="254" t="s">
        <v>873</v>
      </c>
      <c r="X385" s="257" t="s">
        <v>891</v>
      </c>
    </row>
    <row r="386" spans="1:24" x14ac:dyDescent="0.2">
      <c r="A386" s="227" t="s">
        <v>720</v>
      </c>
      <c r="B386" s="224" t="s">
        <v>719</v>
      </c>
      <c r="C386" s="254" t="s">
        <v>60</v>
      </c>
      <c r="D386" s="254" t="s">
        <v>1125</v>
      </c>
      <c r="E386" s="254" t="s">
        <v>3454</v>
      </c>
      <c r="F386" s="254" t="s">
        <v>1135</v>
      </c>
      <c r="G386" s="255">
        <v>2.8</v>
      </c>
      <c r="H386" s="256" t="s">
        <v>3455</v>
      </c>
      <c r="I386" s="255">
        <v>2.8</v>
      </c>
      <c r="J386" s="302" t="s">
        <v>16</v>
      </c>
      <c r="K386" s="254" t="s">
        <v>872</v>
      </c>
      <c r="L386" s="254" t="s">
        <v>2705</v>
      </c>
      <c r="M386" s="255">
        <v>0.9</v>
      </c>
      <c r="N386" s="256" t="s">
        <v>3456</v>
      </c>
      <c r="O386" s="255">
        <v>0.82</v>
      </c>
      <c r="P386" s="302" t="s">
        <v>16</v>
      </c>
      <c r="Q386" s="254" t="s">
        <v>873</v>
      </c>
      <c r="R386" s="254" t="s">
        <v>2687</v>
      </c>
      <c r="S386" s="302" t="s">
        <v>16</v>
      </c>
      <c r="T386" s="302" t="s">
        <v>16</v>
      </c>
      <c r="U386" s="302" t="s">
        <v>16</v>
      </c>
      <c r="V386" s="302" t="s">
        <v>16</v>
      </c>
      <c r="W386" s="254" t="s">
        <v>873</v>
      </c>
      <c r="X386" s="303" t="s">
        <v>16</v>
      </c>
    </row>
    <row r="387" spans="1:24" x14ac:dyDescent="0.2">
      <c r="A387" s="227" t="s">
        <v>734</v>
      </c>
      <c r="B387" s="224" t="s">
        <v>733</v>
      </c>
      <c r="C387" s="254" t="s">
        <v>60</v>
      </c>
      <c r="D387" s="254" t="s">
        <v>1146</v>
      </c>
      <c r="E387" s="254" t="s">
        <v>3469</v>
      </c>
      <c r="F387" s="254" t="s">
        <v>1135</v>
      </c>
      <c r="G387" s="255">
        <v>0</v>
      </c>
      <c r="H387" s="302" t="s">
        <v>16</v>
      </c>
      <c r="I387" s="255">
        <v>0</v>
      </c>
      <c r="J387" s="302" t="s">
        <v>16</v>
      </c>
      <c r="K387" s="254" t="s">
        <v>873</v>
      </c>
      <c r="L387" s="302" t="s">
        <v>16</v>
      </c>
      <c r="M387" s="255">
        <v>0</v>
      </c>
      <c r="N387" s="302" t="s">
        <v>16</v>
      </c>
      <c r="O387" s="255">
        <v>0</v>
      </c>
      <c r="P387" s="302" t="s">
        <v>16</v>
      </c>
      <c r="Q387" s="254" t="s">
        <v>873</v>
      </c>
      <c r="R387" s="302" t="s">
        <v>16</v>
      </c>
      <c r="S387" s="255">
        <v>0</v>
      </c>
      <c r="T387" s="302" t="s">
        <v>16</v>
      </c>
      <c r="U387" s="255">
        <v>0</v>
      </c>
      <c r="V387" s="302" t="s">
        <v>16</v>
      </c>
      <c r="W387" s="254" t="s">
        <v>873</v>
      </c>
      <c r="X387" s="303" t="s">
        <v>16</v>
      </c>
    </row>
    <row r="388" spans="1:24" x14ac:dyDescent="0.2">
      <c r="A388" s="227" t="s">
        <v>751</v>
      </c>
      <c r="B388" s="224" t="s">
        <v>750</v>
      </c>
      <c r="C388" s="254" t="s">
        <v>60</v>
      </c>
      <c r="D388" s="254" t="s">
        <v>1134</v>
      </c>
      <c r="E388" s="254" t="s">
        <v>16</v>
      </c>
      <c r="F388" s="254" t="s">
        <v>1135</v>
      </c>
      <c r="G388" s="255">
        <v>0.88619999999999999</v>
      </c>
      <c r="H388" s="256" t="s">
        <v>2809</v>
      </c>
      <c r="I388" s="255">
        <v>0.88619999999999999</v>
      </c>
      <c r="J388" s="256" t="s">
        <v>1139</v>
      </c>
      <c r="K388" s="254" t="s">
        <v>873</v>
      </c>
      <c r="L388" s="254" t="s">
        <v>2694</v>
      </c>
      <c r="M388" s="302" t="s">
        <v>16</v>
      </c>
      <c r="N388" s="302" t="s">
        <v>16</v>
      </c>
      <c r="O388" s="302" t="s">
        <v>16</v>
      </c>
      <c r="P388" s="302" t="s">
        <v>16</v>
      </c>
      <c r="Q388" s="302" t="s">
        <v>16</v>
      </c>
      <c r="R388" s="302" t="s">
        <v>16</v>
      </c>
      <c r="S388" s="302" t="s">
        <v>16</v>
      </c>
      <c r="T388" s="302" t="s">
        <v>16</v>
      </c>
      <c r="U388" s="302" t="s">
        <v>16</v>
      </c>
      <c r="V388" s="302" t="s">
        <v>16</v>
      </c>
      <c r="W388" s="302" t="s">
        <v>16</v>
      </c>
      <c r="X388" s="303" t="s">
        <v>16</v>
      </c>
    </row>
    <row r="389" spans="1:24" x14ac:dyDescent="0.2">
      <c r="A389" s="227" t="s">
        <v>777</v>
      </c>
      <c r="B389" s="224" t="s">
        <v>776</v>
      </c>
      <c r="C389" s="254" t="s">
        <v>60</v>
      </c>
      <c r="D389" s="254" t="s">
        <v>1210</v>
      </c>
      <c r="E389" s="254" t="s">
        <v>3509</v>
      </c>
      <c r="F389" s="254" t="s">
        <v>2691</v>
      </c>
      <c r="G389" s="255">
        <v>1.1000000000000001</v>
      </c>
      <c r="H389" s="256" t="s">
        <v>2928</v>
      </c>
      <c r="I389" s="255">
        <v>0.94310000000000005</v>
      </c>
      <c r="J389" s="256" t="s">
        <v>3510</v>
      </c>
      <c r="K389" s="254" t="s">
        <v>873</v>
      </c>
      <c r="L389" s="254" t="s">
        <v>2694</v>
      </c>
      <c r="M389" s="255">
        <v>0</v>
      </c>
      <c r="N389" s="256" t="s">
        <v>891</v>
      </c>
      <c r="O389" s="255">
        <v>0</v>
      </c>
      <c r="P389" s="256" t="s">
        <v>1145</v>
      </c>
      <c r="Q389" s="254" t="s">
        <v>873</v>
      </c>
      <c r="R389" s="254" t="s">
        <v>891</v>
      </c>
      <c r="S389" s="255">
        <v>0</v>
      </c>
      <c r="T389" s="256" t="s">
        <v>891</v>
      </c>
      <c r="U389" s="255">
        <v>0</v>
      </c>
      <c r="V389" s="256" t="s">
        <v>891</v>
      </c>
      <c r="W389" s="254" t="s">
        <v>873</v>
      </c>
      <c r="X389" s="257" t="s">
        <v>891</v>
      </c>
    </row>
    <row r="390" spans="1:24" x14ac:dyDescent="0.2">
      <c r="A390" s="227" t="s">
        <v>779</v>
      </c>
      <c r="B390" s="224" t="s">
        <v>778</v>
      </c>
      <c r="C390" s="254" t="s">
        <v>60</v>
      </c>
      <c r="D390" s="254" t="s">
        <v>1134</v>
      </c>
      <c r="E390" s="254" t="s">
        <v>16</v>
      </c>
      <c r="F390" s="254" t="s">
        <v>1135</v>
      </c>
      <c r="G390" s="255">
        <v>0.41220000000000001</v>
      </c>
      <c r="H390" s="256" t="s">
        <v>27</v>
      </c>
      <c r="I390" s="255">
        <v>0.41220000000000001</v>
      </c>
      <c r="J390" s="256" t="s">
        <v>1139</v>
      </c>
      <c r="K390" s="254" t="s">
        <v>872</v>
      </c>
      <c r="L390" s="254" t="s">
        <v>2723</v>
      </c>
      <c r="M390" s="302" t="s">
        <v>16</v>
      </c>
      <c r="N390" s="302" t="s">
        <v>16</v>
      </c>
      <c r="O390" s="302" t="s">
        <v>16</v>
      </c>
      <c r="P390" s="302" t="s">
        <v>16</v>
      </c>
      <c r="Q390" s="254" t="s">
        <v>873</v>
      </c>
      <c r="R390" s="302" t="s">
        <v>16</v>
      </c>
      <c r="S390" s="255">
        <v>0.2</v>
      </c>
      <c r="T390" s="302" t="s">
        <v>16</v>
      </c>
      <c r="U390" s="302" t="s">
        <v>16</v>
      </c>
      <c r="V390" s="302" t="s">
        <v>16</v>
      </c>
      <c r="W390" s="302" t="s">
        <v>16</v>
      </c>
      <c r="X390" s="303" t="s">
        <v>16</v>
      </c>
    </row>
    <row r="391" spans="1:24" x14ac:dyDescent="0.2">
      <c r="A391" s="227" t="s">
        <v>781</v>
      </c>
      <c r="B391" s="224" t="s">
        <v>780</v>
      </c>
      <c r="C391" s="254" t="s">
        <v>60</v>
      </c>
      <c r="D391" s="254" t="s">
        <v>1125</v>
      </c>
      <c r="E391" s="254" t="s">
        <v>3511</v>
      </c>
      <c r="F391" s="254" t="s">
        <v>1135</v>
      </c>
      <c r="G391" s="255">
        <v>0.7</v>
      </c>
      <c r="H391" s="256" t="s">
        <v>2823</v>
      </c>
      <c r="I391" s="255">
        <v>0.7</v>
      </c>
      <c r="J391" s="256" t="s">
        <v>3069</v>
      </c>
      <c r="K391" s="254" t="s">
        <v>873</v>
      </c>
      <c r="L391" s="254" t="s">
        <v>2694</v>
      </c>
      <c r="M391" s="255">
        <v>0</v>
      </c>
      <c r="N391" s="256" t="s">
        <v>891</v>
      </c>
      <c r="O391" s="255">
        <v>0</v>
      </c>
      <c r="P391" s="256" t="s">
        <v>891</v>
      </c>
      <c r="Q391" s="254" t="s">
        <v>873</v>
      </c>
      <c r="R391" s="254" t="s">
        <v>891</v>
      </c>
      <c r="S391" s="255">
        <v>0</v>
      </c>
      <c r="T391" s="256" t="s">
        <v>891</v>
      </c>
      <c r="U391" s="255">
        <v>0</v>
      </c>
      <c r="V391" s="256" t="s">
        <v>891</v>
      </c>
      <c r="W391" s="254" t="s">
        <v>873</v>
      </c>
      <c r="X391" s="257" t="s">
        <v>891</v>
      </c>
    </row>
    <row r="392" spans="1:24" x14ac:dyDescent="0.2">
      <c r="A392" s="227" t="s">
        <v>805</v>
      </c>
      <c r="B392" s="224" t="s">
        <v>804</v>
      </c>
      <c r="C392" s="254" t="s">
        <v>60</v>
      </c>
      <c r="D392" s="254" t="s">
        <v>1146</v>
      </c>
      <c r="E392" s="254" t="s">
        <v>3531</v>
      </c>
      <c r="F392" s="254" t="s">
        <v>1135</v>
      </c>
      <c r="G392" s="255">
        <v>0.5</v>
      </c>
      <c r="H392" s="256" t="s">
        <v>3532</v>
      </c>
      <c r="I392" s="255">
        <v>0.4899</v>
      </c>
      <c r="J392" s="302" t="s">
        <v>16</v>
      </c>
      <c r="K392" s="254" t="s">
        <v>872</v>
      </c>
      <c r="L392" s="254" t="s">
        <v>2687</v>
      </c>
      <c r="M392" s="255">
        <v>0.85</v>
      </c>
      <c r="N392" s="256" t="s">
        <v>3003</v>
      </c>
      <c r="O392" s="255">
        <v>1.3399000000000001</v>
      </c>
      <c r="P392" s="256" t="s">
        <v>3533</v>
      </c>
      <c r="Q392" s="254" t="s">
        <v>873</v>
      </c>
      <c r="R392" s="254" t="s">
        <v>2687</v>
      </c>
      <c r="S392" s="302" t="s">
        <v>16</v>
      </c>
      <c r="T392" s="302" t="s">
        <v>16</v>
      </c>
      <c r="U392" s="302" t="s">
        <v>16</v>
      </c>
      <c r="V392" s="302" t="s">
        <v>16</v>
      </c>
      <c r="W392" s="254" t="s">
        <v>873</v>
      </c>
      <c r="X392" s="303" t="s">
        <v>16</v>
      </c>
    </row>
    <row r="393" spans="1:24" x14ac:dyDescent="0.2">
      <c r="A393" s="227" t="s">
        <v>807</v>
      </c>
      <c r="B393" s="224" t="s">
        <v>806</v>
      </c>
      <c r="C393" s="254" t="s">
        <v>60</v>
      </c>
      <c r="D393" s="254" t="s">
        <v>1125</v>
      </c>
      <c r="E393" s="254" t="s">
        <v>1311</v>
      </c>
      <c r="F393" s="254" t="s">
        <v>2664</v>
      </c>
      <c r="G393" s="255">
        <v>0.91180000000000005</v>
      </c>
      <c r="H393" s="256" t="s">
        <v>3155</v>
      </c>
      <c r="I393" s="255">
        <v>0.91180000000000005</v>
      </c>
      <c r="J393" s="256" t="s">
        <v>3534</v>
      </c>
      <c r="K393" s="254" t="s">
        <v>873</v>
      </c>
      <c r="L393" s="254" t="s">
        <v>2694</v>
      </c>
      <c r="M393" s="255">
        <v>0</v>
      </c>
      <c r="N393" s="302" t="s">
        <v>16</v>
      </c>
      <c r="O393" s="255">
        <v>0</v>
      </c>
      <c r="P393" s="302" t="s">
        <v>16</v>
      </c>
      <c r="Q393" s="254" t="s">
        <v>873</v>
      </c>
      <c r="R393" s="302" t="s">
        <v>16</v>
      </c>
      <c r="S393" s="255">
        <v>0</v>
      </c>
      <c r="T393" s="302" t="s">
        <v>16</v>
      </c>
      <c r="U393" s="255">
        <v>0</v>
      </c>
      <c r="V393" s="302" t="s">
        <v>16</v>
      </c>
      <c r="W393" s="254" t="s">
        <v>873</v>
      </c>
      <c r="X393" s="303" t="s">
        <v>16</v>
      </c>
    </row>
    <row r="394" spans="1:24" x14ac:dyDescent="0.2">
      <c r="A394" s="227" t="s">
        <v>815</v>
      </c>
      <c r="B394" s="224" t="s">
        <v>814</v>
      </c>
      <c r="C394" s="254" t="s">
        <v>60</v>
      </c>
      <c r="D394" s="254" t="s">
        <v>1125</v>
      </c>
      <c r="E394" s="254" t="s">
        <v>1313</v>
      </c>
      <c r="F394" s="254" t="s">
        <v>2664</v>
      </c>
      <c r="G394" s="255">
        <v>1</v>
      </c>
      <c r="H394" s="256" t="s">
        <v>3539</v>
      </c>
      <c r="I394" s="255">
        <v>1</v>
      </c>
      <c r="J394" s="302" t="s">
        <v>16</v>
      </c>
      <c r="K394" s="254" t="s">
        <v>872</v>
      </c>
      <c r="L394" s="254" t="s">
        <v>2694</v>
      </c>
      <c r="M394" s="255">
        <v>0.7</v>
      </c>
      <c r="N394" s="256" t="s">
        <v>3003</v>
      </c>
      <c r="O394" s="255">
        <v>0.7</v>
      </c>
      <c r="P394" s="256" t="s">
        <v>3540</v>
      </c>
      <c r="Q394" s="254" t="s">
        <v>873</v>
      </c>
      <c r="R394" s="254" t="s">
        <v>2694</v>
      </c>
      <c r="S394" s="255">
        <v>0</v>
      </c>
      <c r="T394" s="302" t="s">
        <v>16</v>
      </c>
      <c r="U394" s="255">
        <v>0</v>
      </c>
      <c r="V394" s="302" t="s">
        <v>16</v>
      </c>
      <c r="W394" s="254" t="s">
        <v>873</v>
      </c>
      <c r="X394" s="303" t="s">
        <v>16</v>
      </c>
    </row>
    <row r="395" spans="1:24" x14ac:dyDescent="0.2">
      <c r="A395" s="227" t="s">
        <v>835</v>
      </c>
      <c r="B395" s="224" t="s">
        <v>834</v>
      </c>
      <c r="C395" s="254" t="s">
        <v>60</v>
      </c>
      <c r="D395" s="254" t="s">
        <v>1129</v>
      </c>
      <c r="E395" s="254" t="s">
        <v>3564</v>
      </c>
      <c r="F395" s="254" t="s">
        <v>2691</v>
      </c>
      <c r="G395" s="255">
        <v>2</v>
      </c>
      <c r="H395" s="256" t="s">
        <v>3068</v>
      </c>
      <c r="I395" s="255">
        <v>2</v>
      </c>
      <c r="J395" s="256" t="s">
        <v>1145</v>
      </c>
      <c r="K395" s="254" t="s">
        <v>872</v>
      </c>
      <c r="L395" s="254" t="s">
        <v>2694</v>
      </c>
      <c r="M395" s="255">
        <v>0</v>
      </c>
      <c r="N395" s="302" t="s">
        <v>16</v>
      </c>
      <c r="O395" s="255">
        <v>0</v>
      </c>
      <c r="P395" s="302" t="s">
        <v>16</v>
      </c>
      <c r="Q395" s="254" t="s">
        <v>873</v>
      </c>
      <c r="R395" s="302" t="s">
        <v>16</v>
      </c>
      <c r="S395" s="255">
        <v>0</v>
      </c>
      <c r="T395" s="302" t="s">
        <v>16</v>
      </c>
      <c r="U395" s="255">
        <v>0</v>
      </c>
      <c r="V395" s="302" t="s">
        <v>16</v>
      </c>
      <c r="W395" s="254" t="s">
        <v>873</v>
      </c>
      <c r="X395" s="303" t="s">
        <v>16</v>
      </c>
    </row>
    <row r="396" spans="1:24" x14ac:dyDescent="0.2">
      <c r="A396" s="227" t="s">
        <v>837</v>
      </c>
      <c r="B396" s="224" t="s">
        <v>836</v>
      </c>
      <c r="C396" s="254" t="s">
        <v>60</v>
      </c>
      <c r="D396" s="254" t="s">
        <v>1134</v>
      </c>
      <c r="E396" s="254" t="s">
        <v>3565</v>
      </c>
      <c r="F396" s="254" t="s">
        <v>1135</v>
      </c>
      <c r="G396" s="255">
        <v>1</v>
      </c>
      <c r="H396" s="256" t="s">
        <v>3139</v>
      </c>
      <c r="I396" s="302" t="s">
        <v>16</v>
      </c>
      <c r="J396" s="302" t="s">
        <v>16</v>
      </c>
      <c r="K396" s="302" t="s">
        <v>16</v>
      </c>
      <c r="L396" s="254" t="s">
        <v>3566</v>
      </c>
      <c r="M396" s="255">
        <v>0.99</v>
      </c>
      <c r="N396" s="256" t="s">
        <v>3155</v>
      </c>
      <c r="O396" s="255">
        <v>0.99</v>
      </c>
      <c r="P396" s="256" t="s">
        <v>3567</v>
      </c>
      <c r="Q396" s="254" t="s">
        <v>873</v>
      </c>
      <c r="R396" s="302" t="s">
        <v>16</v>
      </c>
      <c r="S396" s="302" t="s">
        <v>16</v>
      </c>
      <c r="T396" s="302" t="s">
        <v>16</v>
      </c>
      <c r="U396" s="302" t="s">
        <v>16</v>
      </c>
      <c r="V396" s="302" t="s">
        <v>16</v>
      </c>
      <c r="W396" s="254" t="s">
        <v>873</v>
      </c>
      <c r="X396" s="303" t="s">
        <v>16</v>
      </c>
    </row>
    <row r="397" spans="1:24" ht="13.5" thickBot="1" x14ac:dyDescent="0.25">
      <c r="A397" s="228" t="s">
        <v>843</v>
      </c>
      <c r="B397" s="229" t="s">
        <v>842</v>
      </c>
      <c r="C397" s="258" t="s">
        <v>60</v>
      </c>
      <c r="D397" s="258" t="s">
        <v>1144</v>
      </c>
      <c r="E397" s="258" t="s">
        <v>1316</v>
      </c>
      <c r="F397" s="258" t="s">
        <v>2691</v>
      </c>
      <c r="G397" s="259">
        <v>1.6</v>
      </c>
      <c r="H397" s="260" t="s">
        <v>3571</v>
      </c>
      <c r="I397" s="259">
        <v>1.4863</v>
      </c>
      <c r="J397" s="260" t="s">
        <v>1161</v>
      </c>
      <c r="K397" s="258" t="s">
        <v>872</v>
      </c>
      <c r="L397" s="258" t="s">
        <v>2723</v>
      </c>
      <c r="M397" s="259">
        <v>0.38</v>
      </c>
      <c r="N397" s="260" t="s">
        <v>3572</v>
      </c>
      <c r="O397" s="259">
        <v>0.37459999999999999</v>
      </c>
      <c r="P397" s="260" t="s">
        <v>1161</v>
      </c>
      <c r="Q397" s="258" t="s">
        <v>872</v>
      </c>
      <c r="R397" s="258" t="s">
        <v>2723</v>
      </c>
      <c r="S397" s="259">
        <v>0.7</v>
      </c>
      <c r="T397" s="260" t="s">
        <v>3573</v>
      </c>
      <c r="U397" s="259">
        <v>0.7</v>
      </c>
      <c r="V397" s="260" t="s">
        <v>3574</v>
      </c>
      <c r="W397" s="258" t="s">
        <v>873</v>
      </c>
      <c r="X397" s="261" t="s">
        <v>2723</v>
      </c>
    </row>
  </sheetData>
  <sortState xmlns:xlrd2="http://schemas.microsoft.com/office/spreadsheetml/2017/richdata2" ref="B4:Y397">
    <sortCondition ref="C4:C397"/>
    <sortCondition ref="B4:B397"/>
  </sortState>
  <hyperlinks>
    <hyperlink ref="G1" location="'Table of Contents'!A1" display="Return to Table of Contents" xr:uid="{2A49583B-1222-45FD-9EBE-6B2544DAAC48}"/>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568D2"/>
  </sheetPr>
  <dimension ref="A1:AB398"/>
  <sheetViews>
    <sheetView zoomScaleNormal="100" workbookViewId="0">
      <pane ySplit="3" topLeftCell="A4" activePane="bottomLeft" state="frozen"/>
      <selection pane="bottomLeft" activeCell="F18" sqref="F18"/>
    </sheetView>
  </sheetViews>
  <sheetFormatPr defaultRowHeight="12.75" x14ac:dyDescent="0.2"/>
  <cols>
    <col min="1" max="1" width="14.7109375" customWidth="1"/>
    <col min="2" max="2" width="45.7109375" customWidth="1"/>
    <col min="3" max="4" width="14.7109375" customWidth="1"/>
    <col min="5" max="5" width="14.28515625" customWidth="1"/>
    <col min="6" max="6" width="14.5703125" customWidth="1"/>
    <col min="7" max="7" width="14.7109375" customWidth="1"/>
    <col min="8" max="8" width="24.28515625" customWidth="1"/>
    <col min="9" max="9" width="18.42578125" customWidth="1"/>
    <col min="10" max="10" width="16.5703125" customWidth="1"/>
    <col min="11" max="11" width="18.7109375" customWidth="1"/>
    <col min="12" max="12" width="18.140625" customWidth="1"/>
    <col min="13" max="13" width="17.85546875" customWidth="1"/>
    <col min="14" max="27" width="19.28515625" customWidth="1"/>
    <col min="28" max="28" width="13.42578125" customWidth="1"/>
  </cols>
  <sheetData>
    <row r="1" spans="1:28" ht="18.75" x14ac:dyDescent="0.3">
      <c r="B1" s="312" t="s">
        <v>3576</v>
      </c>
      <c r="D1" s="310" t="s">
        <v>2614</v>
      </c>
      <c r="G1" s="8" t="s">
        <v>1844</v>
      </c>
    </row>
    <row r="3" spans="1:28" s="5" customFormat="1" ht="73.900000000000006" customHeight="1" thickBot="1" x14ac:dyDescent="0.25">
      <c r="A3" s="74" t="s">
        <v>1</v>
      </c>
      <c r="B3" s="74" t="s">
        <v>0</v>
      </c>
      <c r="C3" s="74" t="s">
        <v>4</v>
      </c>
      <c r="D3" s="74" t="s">
        <v>1124</v>
      </c>
      <c r="E3" s="74" t="s">
        <v>2</v>
      </c>
      <c r="F3" s="74" t="s">
        <v>3</v>
      </c>
      <c r="G3" s="74" t="s">
        <v>844</v>
      </c>
      <c r="H3" s="152" t="s">
        <v>1317</v>
      </c>
      <c r="I3" s="152" t="s">
        <v>1318</v>
      </c>
      <c r="J3" s="152" t="s">
        <v>1319</v>
      </c>
      <c r="K3" s="152" t="s">
        <v>1320</v>
      </c>
      <c r="L3" s="152" t="s">
        <v>1321</v>
      </c>
      <c r="M3" s="152" t="s">
        <v>1322</v>
      </c>
      <c r="N3" s="152" t="s">
        <v>1323</v>
      </c>
      <c r="O3" s="153" t="s">
        <v>1324</v>
      </c>
      <c r="P3" s="153" t="s">
        <v>1325</v>
      </c>
      <c r="Q3" s="153" t="s">
        <v>1326</v>
      </c>
      <c r="R3" s="153" t="s">
        <v>1327</v>
      </c>
      <c r="S3" s="153" t="s">
        <v>1328</v>
      </c>
      <c r="T3" s="153" t="s">
        <v>1329</v>
      </c>
      <c r="U3" s="153" t="s">
        <v>2660</v>
      </c>
      <c r="V3" s="154" t="s">
        <v>1330</v>
      </c>
      <c r="W3" s="154" t="s">
        <v>1331</v>
      </c>
      <c r="X3" s="154" t="s">
        <v>1332</v>
      </c>
      <c r="Y3" s="154" t="s">
        <v>1333</v>
      </c>
      <c r="Z3" s="154" t="s">
        <v>1334</v>
      </c>
      <c r="AA3" s="154" t="s">
        <v>1335</v>
      </c>
      <c r="AB3" s="155" t="s">
        <v>2661</v>
      </c>
    </row>
    <row r="4" spans="1:28" ht="13.5" thickBot="1" x14ac:dyDescent="0.25">
      <c r="A4" s="2" t="s">
        <v>40</v>
      </c>
      <c r="B4" s="1" t="s">
        <v>39</v>
      </c>
      <c r="C4" s="2" t="s">
        <v>19</v>
      </c>
      <c r="D4" s="2" t="s">
        <v>1132</v>
      </c>
      <c r="E4" s="3" t="s">
        <v>27</v>
      </c>
      <c r="F4" s="3" t="s">
        <v>28</v>
      </c>
      <c r="G4" s="4">
        <v>1285</v>
      </c>
      <c r="H4" s="4">
        <v>1001</v>
      </c>
      <c r="I4" s="6">
        <v>3729</v>
      </c>
      <c r="J4" s="6">
        <v>127116</v>
      </c>
      <c r="K4" s="6">
        <v>0</v>
      </c>
      <c r="L4" s="6">
        <v>0</v>
      </c>
      <c r="M4" s="6">
        <v>130845</v>
      </c>
      <c r="N4" s="6">
        <v>22666</v>
      </c>
      <c r="O4" s="77">
        <v>284</v>
      </c>
      <c r="P4" s="6">
        <v>0</v>
      </c>
      <c r="Q4" s="6">
        <v>0</v>
      </c>
      <c r="R4" s="6">
        <v>2000</v>
      </c>
      <c r="S4" s="6">
        <v>0</v>
      </c>
      <c r="T4" s="6">
        <v>2000</v>
      </c>
      <c r="U4" s="6">
        <v>0</v>
      </c>
      <c r="V4" s="6">
        <v>132845</v>
      </c>
      <c r="W4" s="6">
        <v>22666</v>
      </c>
      <c r="X4" s="6">
        <v>155511</v>
      </c>
      <c r="Y4" s="6">
        <v>891</v>
      </c>
      <c r="Z4" s="6">
        <v>0</v>
      </c>
      <c r="AA4" s="6">
        <v>156402</v>
      </c>
      <c r="AB4" s="142">
        <f>Table6[[#This Row],[Total Operating Income]]/Table6[[#This Row],[Total Population Served]]</f>
        <v>121.7136186770428</v>
      </c>
    </row>
    <row r="5" spans="1:28" ht="13.5" thickBot="1" x14ac:dyDescent="0.25">
      <c r="A5" s="2" t="s">
        <v>64</v>
      </c>
      <c r="B5" s="1" t="s">
        <v>63</v>
      </c>
      <c r="C5" s="2" t="s">
        <v>19</v>
      </c>
      <c r="D5" s="2" t="s">
        <v>1138</v>
      </c>
      <c r="E5" s="3" t="s">
        <v>27</v>
      </c>
      <c r="F5" s="3" t="s">
        <v>28</v>
      </c>
      <c r="G5" s="4">
        <v>3248</v>
      </c>
      <c r="H5" s="4">
        <v>3126</v>
      </c>
      <c r="I5" s="6">
        <v>21751</v>
      </c>
      <c r="J5" s="6">
        <v>40405</v>
      </c>
      <c r="K5" s="2">
        <v>0</v>
      </c>
      <c r="L5" s="6">
        <v>58</v>
      </c>
      <c r="M5" s="6">
        <v>62214</v>
      </c>
      <c r="N5" s="6">
        <v>750</v>
      </c>
      <c r="O5" s="77">
        <v>122</v>
      </c>
      <c r="P5" s="6">
        <v>953</v>
      </c>
      <c r="Q5" s="6">
        <v>1971</v>
      </c>
      <c r="R5" s="2">
        <v>0</v>
      </c>
      <c r="S5" s="2">
        <v>0</v>
      </c>
      <c r="T5" s="6">
        <v>2924</v>
      </c>
      <c r="U5" s="2">
        <v>0</v>
      </c>
      <c r="V5" s="6">
        <v>65138</v>
      </c>
      <c r="W5" s="6">
        <v>750</v>
      </c>
      <c r="X5" s="6">
        <v>65888</v>
      </c>
      <c r="Y5" s="6">
        <v>2251</v>
      </c>
      <c r="Z5" s="6">
        <v>0</v>
      </c>
      <c r="AA5" s="6">
        <v>68139</v>
      </c>
      <c r="AB5" s="142">
        <f>Table6[[#This Row],[Total Operating Income]]/Table6[[#This Row],[Total Population Served]]</f>
        <v>20.97875615763547</v>
      </c>
    </row>
    <row r="6" spans="1:28" ht="13.5" thickBot="1" x14ac:dyDescent="0.25">
      <c r="A6" s="2" t="s">
        <v>88</v>
      </c>
      <c r="B6" s="1" t="s">
        <v>87</v>
      </c>
      <c r="C6" s="2" t="s">
        <v>19</v>
      </c>
      <c r="D6" s="2" t="s">
        <v>1154</v>
      </c>
      <c r="E6" s="3" t="s">
        <v>67</v>
      </c>
      <c r="F6" s="3" t="s">
        <v>68</v>
      </c>
      <c r="G6" s="4">
        <v>657</v>
      </c>
      <c r="H6" s="4">
        <v>657</v>
      </c>
      <c r="I6" s="6">
        <v>2235</v>
      </c>
      <c r="J6" s="6">
        <v>112144</v>
      </c>
      <c r="K6" s="6">
        <v>0</v>
      </c>
      <c r="L6" s="6">
        <v>0</v>
      </c>
      <c r="M6" s="6">
        <v>114379</v>
      </c>
      <c r="N6" s="6">
        <v>11979</v>
      </c>
      <c r="O6" s="2">
        <v>0</v>
      </c>
      <c r="P6" s="2">
        <v>0</v>
      </c>
      <c r="Q6" s="2">
        <v>0</v>
      </c>
      <c r="R6" s="2">
        <v>0</v>
      </c>
      <c r="S6" s="2">
        <v>0</v>
      </c>
      <c r="T6" s="2">
        <v>0</v>
      </c>
      <c r="U6" s="2">
        <v>0</v>
      </c>
      <c r="V6" s="6">
        <v>114379</v>
      </c>
      <c r="W6" s="6">
        <v>11979</v>
      </c>
      <c r="X6" s="6">
        <v>126358</v>
      </c>
      <c r="Y6" s="6">
        <v>429</v>
      </c>
      <c r="Z6" s="6">
        <v>0</v>
      </c>
      <c r="AA6" s="6">
        <v>126787</v>
      </c>
      <c r="AB6" s="142">
        <f>Table6[[#This Row],[Total Operating Income]]/Table6[[#This Row],[Total Population Served]]</f>
        <v>192.97869101978691</v>
      </c>
    </row>
    <row r="7" spans="1:28" ht="13.5" thickBot="1" x14ac:dyDescent="0.25">
      <c r="A7" s="2" t="s">
        <v>90</v>
      </c>
      <c r="B7" s="1" t="s">
        <v>89</v>
      </c>
      <c r="C7" s="2" t="s">
        <v>19</v>
      </c>
      <c r="D7" s="2" t="s">
        <v>1132</v>
      </c>
      <c r="E7" s="3" t="s">
        <v>22</v>
      </c>
      <c r="F7" s="3" t="s">
        <v>23</v>
      </c>
      <c r="G7" s="4">
        <v>3769</v>
      </c>
      <c r="H7" s="4">
        <v>3485</v>
      </c>
      <c r="I7" s="6">
        <v>10112</v>
      </c>
      <c r="J7" s="6">
        <v>106013</v>
      </c>
      <c r="K7" s="6">
        <v>0</v>
      </c>
      <c r="L7" s="6">
        <v>0</v>
      </c>
      <c r="M7" s="6">
        <v>116125</v>
      </c>
      <c r="N7" s="6">
        <v>21458</v>
      </c>
      <c r="O7" s="4">
        <v>284</v>
      </c>
      <c r="P7" s="6">
        <v>824</v>
      </c>
      <c r="Q7" s="6">
        <v>0</v>
      </c>
      <c r="R7" s="6">
        <v>0</v>
      </c>
      <c r="S7" s="6">
        <v>2000</v>
      </c>
      <c r="T7" s="6">
        <v>2824</v>
      </c>
      <c r="U7" s="6">
        <v>0</v>
      </c>
      <c r="V7" s="6">
        <v>118949</v>
      </c>
      <c r="W7" s="6">
        <v>21458</v>
      </c>
      <c r="X7" s="6">
        <v>140407</v>
      </c>
      <c r="Y7" s="6">
        <v>2465</v>
      </c>
      <c r="Z7" s="6">
        <v>0</v>
      </c>
      <c r="AA7" s="6">
        <v>142872</v>
      </c>
      <c r="AB7" s="142">
        <f>Table6[[#This Row],[Total Operating Income]]/Table6[[#This Row],[Total Population Served]]</f>
        <v>37.907137171663571</v>
      </c>
    </row>
    <row r="8" spans="1:28" ht="13.5" thickBot="1" x14ac:dyDescent="0.25">
      <c r="A8" s="2" t="s">
        <v>94</v>
      </c>
      <c r="B8" s="1" t="s">
        <v>93</v>
      </c>
      <c r="C8" s="2" t="s">
        <v>19</v>
      </c>
      <c r="D8" s="2" t="s">
        <v>1155</v>
      </c>
      <c r="E8" s="3" t="s">
        <v>67</v>
      </c>
      <c r="F8" s="3" t="s">
        <v>68</v>
      </c>
      <c r="G8" s="4">
        <v>3150</v>
      </c>
      <c r="H8" s="4">
        <v>3150</v>
      </c>
      <c r="I8" s="6">
        <v>9734</v>
      </c>
      <c r="J8" s="6">
        <v>0</v>
      </c>
      <c r="K8" s="6">
        <v>0</v>
      </c>
      <c r="L8" s="6">
        <v>21219</v>
      </c>
      <c r="M8" s="6">
        <v>30953</v>
      </c>
      <c r="N8" s="6">
        <v>1869</v>
      </c>
      <c r="O8" s="2">
        <v>0</v>
      </c>
      <c r="P8" s="6">
        <v>0</v>
      </c>
      <c r="Q8" s="6">
        <v>0</v>
      </c>
      <c r="R8" s="6">
        <v>0</v>
      </c>
      <c r="S8" s="6">
        <v>0</v>
      </c>
      <c r="T8" s="6">
        <v>0</v>
      </c>
      <c r="U8" s="6">
        <v>0</v>
      </c>
      <c r="V8" s="6">
        <v>30953</v>
      </c>
      <c r="W8" s="6">
        <v>1869</v>
      </c>
      <c r="X8" s="6">
        <v>32822</v>
      </c>
      <c r="Y8" s="6">
        <v>2060</v>
      </c>
      <c r="Z8" s="6">
        <v>0</v>
      </c>
      <c r="AA8" s="6">
        <v>34882</v>
      </c>
      <c r="AB8" s="142">
        <f>Table6[[#This Row],[Total Operating Income]]/Table6[[#This Row],[Total Population Served]]</f>
        <v>11.073650793650794</v>
      </c>
    </row>
    <row r="9" spans="1:28" ht="13.5" thickBot="1" x14ac:dyDescent="0.25">
      <c r="A9" s="2" t="s">
        <v>98</v>
      </c>
      <c r="B9" s="1" t="s">
        <v>97</v>
      </c>
      <c r="C9" s="2" t="s">
        <v>19</v>
      </c>
      <c r="D9" s="2" t="s">
        <v>1158</v>
      </c>
      <c r="E9" s="3" t="s">
        <v>27</v>
      </c>
      <c r="F9" s="3" t="s">
        <v>28</v>
      </c>
      <c r="G9" s="4">
        <v>3811</v>
      </c>
      <c r="H9" s="4">
        <v>3811</v>
      </c>
      <c r="I9" s="6">
        <v>17556</v>
      </c>
      <c r="J9" s="6">
        <v>273134</v>
      </c>
      <c r="K9" s="78">
        <v>0</v>
      </c>
      <c r="L9" s="6">
        <v>0</v>
      </c>
      <c r="M9" s="6">
        <v>290690</v>
      </c>
      <c r="N9" s="6">
        <v>17114</v>
      </c>
      <c r="O9" s="2">
        <v>0</v>
      </c>
      <c r="P9" s="2">
        <v>0</v>
      </c>
      <c r="Q9" s="2">
        <v>0</v>
      </c>
      <c r="R9" s="2">
        <v>0</v>
      </c>
      <c r="S9" s="2">
        <v>0</v>
      </c>
      <c r="T9" s="2">
        <v>0</v>
      </c>
      <c r="U9" s="2">
        <v>0</v>
      </c>
      <c r="V9" s="6">
        <v>290690</v>
      </c>
      <c r="W9" s="6">
        <v>17114</v>
      </c>
      <c r="X9" s="6">
        <v>307804</v>
      </c>
      <c r="Y9" s="6">
        <v>5599</v>
      </c>
      <c r="Z9" s="6">
        <v>0</v>
      </c>
      <c r="AA9" s="6">
        <v>313403</v>
      </c>
      <c r="AB9" s="142">
        <f>Table6[[#This Row],[Total Operating Income]]/Table6[[#This Row],[Total Population Served]]</f>
        <v>82.23642088690633</v>
      </c>
    </row>
    <row r="10" spans="1:28" ht="13.5" thickBot="1" x14ac:dyDescent="0.25">
      <c r="A10" s="2" t="s">
        <v>100</v>
      </c>
      <c r="B10" s="1" t="s">
        <v>99</v>
      </c>
      <c r="C10" s="2" t="s">
        <v>19</v>
      </c>
      <c r="D10" s="2" t="s">
        <v>1158</v>
      </c>
      <c r="E10" s="3" t="s">
        <v>27</v>
      </c>
      <c r="F10" s="3" t="s">
        <v>28</v>
      </c>
      <c r="G10" s="4">
        <v>3623</v>
      </c>
      <c r="H10" s="4">
        <v>1364</v>
      </c>
      <c r="I10" s="6">
        <v>6284</v>
      </c>
      <c r="J10" s="6">
        <v>62897</v>
      </c>
      <c r="K10" s="78">
        <v>0</v>
      </c>
      <c r="L10" s="6">
        <v>0</v>
      </c>
      <c r="M10" s="6">
        <v>69181</v>
      </c>
      <c r="N10" s="6">
        <v>20450</v>
      </c>
      <c r="O10" s="4">
        <v>2259</v>
      </c>
      <c r="P10" s="6">
        <v>10408</v>
      </c>
      <c r="Q10" s="78">
        <v>0</v>
      </c>
      <c r="R10" s="78">
        <v>0</v>
      </c>
      <c r="S10" s="6">
        <v>2500</v>
      </c>
      <c r="T10" s="6">
        <v>12908</v>
      </c>
      <c r="U10" s="78">
        <v>0</v>
      </c>
      <c r="V10" s="6">
        <v>82089</v>
      </c>
      <c r="W10" s="6">
        <v>20450</v>
      </c>
      <c r="X10" s="6">
        <v>102539</v>
      </c>
      <c r="Y10" s="6">
        <v>2512</v>
      </c>
      <c r="Z10" s="6">
        <v>0</v>
      </c>
      <c r="AA10" s="6">
        <v>105051</v>
      </c>
      <c r="AB10" s="142">
        <f>Table6[[#This Row],[Total Operating Income]]/Table6[[#This Row],[Total Population Served]]</f>
        <v>28.99558377035606</v>
      </c>
    </row>
    <row r="11" spans="1:28" ht="13.5" thickBot="1" x14ac:dyDescent="0.25">
      <c r="A11" s="2" t="s">
        <v>108</v>
      </c>
      <c r="B11" s="1" t="s">
        <v>107</v>
      </c>
      <c r="C11" s="2" t="s">
        <v>19</v>
      </c>
      <c r="D11" s="2" t="s">
        <v>1158</v>
      </c>
      <c r="E11" s="3" t="s">
        <v>17</v>
      </c>
      <c r="F11" s="3" t="s">
        <v>18</v>
      </c>
      <c r="G11" s="4">
        <v>2937</v>
      </c>
      <c r="H11" s="4">
        <v>2937</v>
      </c>
      <c r="I11" s="6">
        <v>15663</v>
      </c>
      <c r="J11" s="6">
        <v>60505</v>
      </c>
      <c r="K11" s="78">
        <v>0</v>
      </c>
      <c r="L11" s="6">
        <v>0</v>
      </c>
      <c r="M11" s="6">
        <v>76168</v>
      </c>
      <c r="N11" s="6">
        <v>5841</v>
      </c>
      <c r="O11" s="78">
        <v>0</v>
      </c>
      <c r="P11" s="6">
        <v>0</v>
      </c>
      <c r="Q11" s="6">
        <v>0</v>
      </c>
      <c r="R11" s="6">
        <v>0</v>
      </c>
      <c r="S11" s="6">
        <v>0</v>
      </c>
      <c r="T11" s="6">
        <v>0</v>
      </c>
      <c r="U11" s="6">
        <v>0</v>
      </c>
      <c r="V11" s="6">
        <v>76168</v>
      </c>
      <c r="W11" s="6">
        <v>5841</v>
      </c>
      <c r="X11" s="6">
        <v>82009</v>
      </c>
      <c r="Y11" s="6">
        <v>2154</v>
      </c>
      <c r="Z11" s="6">
        <v>0</v>
      </c>
      <c r="AA11" s="6">
        <v>84163</v>
      </c>
      <c r="AB11" s="142">
        <f>Table6[[#This Row],[Total Operating Income]]/Table6[[#This Row],[Total Population Served]]</f>
        <v>28.656111678583589</v>
      </c>
    </row>
    <row r="12" spans="1:28" ht="13.5" thickBot="1" x14ac:dyDescent="0.25">
      <c r="A12" s="2" t="s">
        <v>138</v>
      </c>
      <c r="B12" s="1" t="s">
        <v>137</v>
      </c>
      <c r="C12" s="2" t="s">
        <v>19</v>
      </c>
      <c r="D12" s="2" t="s">
        <v>1167</v>
      </c>
      <c r="E12" s="3" t="s">
        <v>139</v>
      </c>
      <c r="F12" s="3" t="s">
        <v>140</v>
      </c>
      <c r="G12" s="4">
        <v>2611</v>
      </c>
      <c r="H12" s="4">
        <v>2611</v>
      </c>
      <c r="I12" s="6">
        <v>7000</v>
      </c>
      <c r="J12" s="78">
        <v>0</v>
      </c>
      <c r="K12" s="78">
        <v>0</v>
      </c>
      <c r="L12" s="6">
        <v>19500</v>
      </c>
      <c r="M12" s="6">
        <v>26500</v>
      </c>
      <c r="N12" s="78">
        <v>0</v>
      </c>
      <c r="O12" s="2">
        <v>0</v>
      </c>
      <c r="P12" s="2">
        <v>0</v>
      </c>
      <c r="Q12" s="2">
        <v>0</v>
      </c>
      <c r="R12" s="2">
        <v>0</v>
      </c>
      <c r="S12" s="2">
        <v>0</v>
      </c>
      <c r="T12" s="2">
        <v>0</v>
      </c>
      <c r="U12" s="2">
        <v>0</v>
      </c>
      <c r="V12" s="6">
        <v>26500</v>
      </c>
      <c r="W12" s="78">
        <v>0</v>
      </c>
      <c r="X12" s="6">
        <v>26500</v>
      </c>
      <c r="Y12" s="6">
        <v>1900</v>
      </c>
      <c r="Z12" s="6">
        <v>0</v>
      </c>
      <c r="AA12" s="6">
        <v>28400</v>
      </c>
      <c r="AB12" s="142">
        <f>Table6[[#This Row],[Total Operating Income]]/Table6[[#This Row],[Total Population Served]]</f>
        <v>10.877058598238223</v>
      </c>
    </row>
    <row r="13" spans="1:28" ht="13.5" thickBot="1" x14ac:dyDescent="0.25">
      <c r="A13" s="2" t="s">
        <v>154</v>
      </c>
      <c r="B13" s="1" t="s">
        <v>153</v>
      </c>
      <c r="C13" s="2" t="s">
        <v>19</v>
      </c>
      <c r="D13" s="2" t="s">
        <v>1177</v>
      </c>
      <c r="E13" s="3" t="s">
        <v>67</v>
      </c>
      <c r="F13" s="3" t="s">
        <v>68</v>
      </c>
      <c r="G13" s="4">
        <v>722</v>
      </c>
      <c r="H13" s="4">
        <v>722</v>
      </c>
      <c r="I13" s="6">
        <v>3507</v>
      </c>
      <c r="J13" s="6">
        <v>20001</v>
      </c>
      <c r="K13" s="2">
        <v>0</v>
      </c>
      <c r="L13" s="6">
        <v>0</v>
      </c>
      <c r="M13" s="6">
        <v>23508</v>
      </c>
      <c r="N13" s="6">
        <v>2351</v>
      </c>
      <c r="O13" s="78">
        <v>0</v>
      </c>
      <c r="P13" s="6">
        <v>0</v>
      </c>
      <c r="Q13" s="6">
        <v>0</v>
      </c>
      <c r="R13" s="6">
        <v>0</v>
      </c>
      <c r="S13" s="6">
        <v>0</v>
      </c>
      <c r="T13" s="6">
        <v>0</v>
      </c>
      <c r="U13" s="6">
        <v>0</v>
      </c>
      <c r="V13" s="6">
        <v>23508</v>
      </c>
      <c r="W13" s="6">
        <v>2351</v>
      </c>
      <c r="X13" s="6">
        <v>25859</v>
      </c>
      <c r="Y13" s="6">
        <v>472</v>
      </c>
      <c r="Z13" s="6">
        <v>0</v>
      </c>
      <c r="AA13" s="6">
        <v>26331</v>
      </c>
      <c r="AB13" s="142">
        <f>Table6[[#This Row],[Total Operating Income]]/Table6[[#This Row],[Total Population Served]]</f>
        <v>36.469529085872573</v>
      </c>
    </row>
    <row r="14" spans="1:28" ht="13.5" thickBot="1" x14ac:dyDescent="0.25">
      <c r="A14" s="2" t="s">
        <v>164</v>
      </c>
      <c r="B14" s="1" t="s">
        <v>163</v>
      </c>
      <c r="C14" s="2" t="s">
        <v>19</v>
      </c>
      <c r="D14" s="2" t="s">
        <v>1132</v>
      </c>
      <c r="E14" s="3" t="s">
        <v>22</v>
      </c>
      <c r="F14" s="3" t="s">
        <v>23</v>
      </c>
      <c r="G14" s="4">
        <v>3995</v>
      </c>
      <c r="H14" s="4">
        <v>3302</v>
      </c>
      <c r="I14" s="6">
        <v>9773</v>
      </c>
      <c r="J14" s="6">
        <v>125837</v>
      </c>
      <c r="K14" s="6">
        <v>0</v>
      </c>
      <c r="L14" s="6">
        <v>5948</v>
      </c>
      <c r="M14" s="6">
        <v>141558</v>
      </c>
      <c r="N14" s="6">
        <v>0</v>
      </c>
      <c r="O14" s="4">
        <v>693</v>
      </c>
      <c r="P14" s="6">
        <v>2051</v>
      </c>
      <c r="Q14" s="6">
        <v>0</v>
      </c>
      <c r="R14" s="6">
        <v>0</v>
      </c>
      <c r="S14" s="6">
        <v>2100</v>
      </c>
      <c r="T14" s="6">
        <v>4151</v>
      </c>
      <c r="U14" s="6">
        <v>0</v>
      </c>
      <c r="V14" s="6">
        <v>145709</v>
      </c>
      <c r="W14" s="6">
        <v>0</v>
      </c>
      <c r="X14" s="6">
        <v>145709</v>
      </c>
      <c r="Y14" s="6">
        <v>2681</v>
      </c>
      <c r="Z14" s="6">
        <v>0</v>
      </c>
      <c r="AA14" s="6">
        <v>148390</v>
      </c>
      <c r="AB14" s="142">
        <f>Table6[[#This Row],[Total Operating Income]]/Table6[[#This Row],[Total Population Served]]</f>
        <v>37.14392991239049</v>
      </c>
    </row>
    <row r="15" spans="1:28" ht="13.5" thickBot="1" x14ac:dyDescent="0.25">
      <c r="A15" s="2" t="s">
        <v>172</v>
      </c>
      <c r="B15" s="1" t="s">
        <v>171</v>
      </c>
      <c r="C15" s="2" t="s">
        <v>19</v>
      </c>
      <c r="D15" s="2" t="s">
        <v>1182</v>
      </c>
      <c r="E15" s="3" t="s">
        <v>67</v>
      </c>
      <c r="F15" s="3" t="s">
        <v>68</v>
      </c>
      <c r="G15" s="4">
        <v>1854</v>
      </c>
      <c r="H15" s="4">
        <v>1137</v>
      </c>
      <c r="I15" s="6">
        <v>5683</v>
      </c>
      <c r="J15" s="6">
        <v>22016</v>
      </c>
      <c r="K15" s="6">
        <v>0</v>
      </c>
      <c r="L15" s="6">
        <v>0</v>
      </c>
      <c r="M15" s="6">
        <v>27699</v>
      </c>
      <c r="N15" s="6">
        <v>15804</v>
      </c>
      <c r="O15" s="77">
        <v>717</v>
      </c>
      <c r="P15" s="6">
        <v>3583</v>
      </c>
      <c r="Q15" s="2">
        <v>0</v>
      </c>
      <c r="R15" s="6">
        <v>0</v>
      </c>
      <c r="S15" s="6">
        <v>0</v>
      </c>
      <c r="T15" s="6">
        <v>3583</v>
      </c>
      <c r="U15" s="2">
        <v>0</v>
      </c>
      <c r="V15" s="6">
        <v>31282</v>
      </c>
      <c r="W15" s="6">
        <v>15804</v>
      </c>
      <c r="X15" s="6">
        <v>47086</v>
      </c>
      <c r="Y15" s="6">
        <v>1212</v>
      </c>
      <c r="Z15" s="6">
        <v>0</v>
      </c>
      <c r="AA15" s="6">
        <v>48298</v>
      </c>
      <c r="AB15" s="142">
        <f>Table6[[#This Row],[Total Operating Income]]/Table6[[#This Row],[Total Population Served]]</f>
        <v>26.050701186623517</v>
      </c>
    </row>
    <row r="16" spans="1:28" ht="13.5" thickBot="1" x14ac:dyDescent="0.25">
      <c r="A16" s="2" t="s">
        <v>184</v>
      </c>
      <c r="B16" s="1" t="s">
        <v>183</v>
      </c>
      <c r="C16" s="2" t="s">
        <v>19</v>
      </c>
      <c r="D16" s="2" t="s">
        <v>1126</v>
      </c>
      <c r="E16" s="3" t="s">
        <v>67</v>
      </c>
      <c r="F16" s="3" t="s">
        <v>68</v>
      </c>
      <c r="G16" s="4">
        <v>3604</v>
      </c>
      <c r="H16" s="4">
        <v>3604</v>
      </c>
      <c r="I16" s="6">
        <v>9170</v>
      </c>
      <c r="J16" s="6">
        <v>108219</v>
      </c>
      <c r="K16" s="6">
        <v>28517</v>
      </c>
      <c r="L16" s="6">
        <v>0</v>
      </c>
      <c r="M16" s="6">
        <v>145906</v>
      </c>
      <c r="N16" s="6">
        <v>12126</v>
      </c>
      <c r="O16" s="2">
        <v>0</v>
      </c>
      <c r="P16" s="6">
        <v>0</v>
      </c>
      <c r="Q16" s="6">
        <v>0</v>
      </c>
      <c r="R16" s="6">
        <v>0</v>
      </c>
      <c r="S16" s="6">
        <v>0</v>
      </c>
      <c r="T16" s="6">
        <v>0</v>
      </c>
      <c r="U16" s="6">
        <v>0</v>
      </c>
      <c r="V16" s="6">
        <v>145906</v>
      </c>
      <c r="W16" s="6">
        <v>12126</v>
      </c>
      <c r="X16" s="6">
        <v>158032</v>
      </c>
      <c r="Y16" s="6">
        <v>2643</v>
      </c>
      <c r="Z16" s="6">
        <v>0</v>
      </c>
      <c r="AA16" s="6">
        <v>160675</v>
      </c>
      <c r="AB16" s="142">
        <f>Table6[[#This Row],[Total Operating Income]]/Table6[[#This Row],[Total Population Served]]</f>
        <v>44.582408435072139</v>
      </c>
    </row>
    <row r="17" spans="1:28" ht="13.5" thickBot="1" x14ac:dyDescent="0.25">
      <c r="A17" s="2" t="s">
        <v>192</v>
      </c>
      <c r="B17" s="1" t="s">
        <v>191</v>
      </c>
      <c r="C17" s="2" t="s">
        <v>19</v>
      </c>
      <c r="D17" s="2" t="s">
        <v>1167</v>
      </c>
      <c r="E17" s="3" t="s">
        <v>67</v>
      </c>
      <c r="F17" s="3" t="s">
        <v>68</v>
      </c>
      <c r="G17" s="4">
        <v>3803</v>
      </c>
      <c r="H17" s="4">
        <v>3329</v>
      </c>
      <c r="I17" s="6">
        <v>11501</v>
      </c>
      <c r="J17" s="6">
        <v>95183</v>
      </c>
      <c r="K17" s="6">
        <v>10000</v>
      </c>
      <c r="L17" s="78">
        <v>0</v>
      </c>
      <c r="M17" s="6">
        <v>116684</v>
      </c>
      <c r="N17" s="6">
        <v>3500</v>
      </c>
      <c r="O17" s="4">
        <v>474</v>
      </c>
      <c r="P17" s="6">
        <v>1431</v>
      </c>
      <c r="Q17" s="6">
        <v>0</v>
      </c>
      <c r="R17" s="78">
        <v>0</v>
      </c>
      <c r="S17" s="6">
        <v>400</v>
      </c>
      <c r="T17" s="6">
        <v>1831</v>
      </c>
      <c r="U17" s="78">
        <v>0</v>
      </c>
      <c r="V17" s="6">
        <v>118515</v>
      </c>
      <c r="W17" s="6">
        <v>3500</v>
      </c>
      <c r="X17" s="6">
        <v>122015</v>
      </c>
      <c r="Y17" s="6">
        <v>2487</v>
      </c>
      <c r="Z17" s="6">
        <v>0</v>
      </c>
      <c r="AA17" s="6">
        <v>124502</v>
      </c>
      <c r="AB17" s="142">
        <f>Table6[[#This Row],[Total Operating Income]]/Table6[[#This Row],[Total Population Served]]</f>
        <v>32.737838548514333</v>
      </c>
    </row>
    <row r="18" spans="1:28" ht="13.5" thickBot="1" x14ac:dyDescent="0.25">
      <c r="A18" s="2" t="s">
        <v>194</v>
      </c>
      <c r="B18" s="1" t="s">
        <v>193</v>
      </c>
      <c r="C18" s="2" t="s">
        <v>19</v>
      </c>
      <c r="D18" s="2" t="s">
        <v>1166</v>
      </c>
      <c r="E18" s="3" t="s">
        <v>67</v>
      </c>
      <c r="F18" s="3" t="s">
        <v>68</v>
      </c>
      <c r="G18" s="4">
        <v>2373</v>
      </c>
      <c r="H18" s="4">
        <v>1284</v>
      </c>
      <c r="I18" s="6">
        <v>6396</v>
      </c>
      <c r="J18" s="6">
        <v>80607</v>
      </c>
      <c r="K18" s="6">
        <v>0</v>
      </c>
      <c r="L18" s="78">
        <v>0</v>
      </c>
      <c r="M18" s="6">
        <v>87003</v>
      </c>
      <c r="N18" s="6">
        <v>7349</v>
      </c>
      <c r="O18" s="77">
        <v>1089</v>
      </c>
      <c r="P18" s="6">
        <v>5425</v>
      </c>
      <c r="Q18" s="78">
        <v>0</v>
      </c>
      <c r="R18" s="6">
        <v>3760</v>
      </c>
      <c r="S18" s="78">
        <v>0</v>
      </c>
      <c r="T18" s="6">
        <v>9185</v>
      </c>
      <c r="U18" s="78">
        <v>0</v>
      </c>
      <c r="V18" s="6">
        <v>96188</v>
      </c>
      <c r="W18" s="6">
        <v>7349</v>
      </c>
      <c r="X18" s="6">
        <v>103537</v>
      </c>
      <c r="Y18" s="6">
        <v>3050</v>
      </c>
      <c r="Z18" s="6">
        <v>0</v>
      </c>
      <c r="AA18" s="6">
        <v>106587</v>
      </c>
      <c r="AB18" s="142">
        <f>Table6[[#This Row],[Total Operating Income]]/Table6[[#This Row],[Total Population Served]]</f>
        <v>44.916561314791402</v>
      </c>
    </row>
    <row r="19" spans="1:28" ht="13.5" thickBot="1" x14ac:dyDescent="0.25">
      <c r="A19" s="2" t="s">
        <v>210</v>
      </c>
      <c r="B19" s="1" t="s">
        <v>209</v>
      </c>
      <c r="C19" s="2" t="s">
        <v>19</v>
      </c>
      <c r="D19" s="2" t="s">
        <v>1154</v>
      </c>
      <c r="E19" s="3" t="s">
        <v>27</v>
      </c>
      <c r="F19" s="3" t="s">
        <v>28</v>
      </c>
      <c r="G19" s="4">
        <v>3953</v>
      </c>
      <c r="H19" s="4">
        <v>2598</v>
      </c>
      <c r="I19" s="6">
        <v>8885</v>
      </c>
      <c r="J19" s="6">
        <v>141922</v>
      </c>
      <c r="K19" s="78">
        <v>0</v>
      </c>
      <c r="L19" s="6">
        <v>0</v>
      </c>
      <c r="M19" s="6">
        <v>150807</v>
      </c>
      <c r="N19" s="6">
        <v>67256</v>
      </c>
      <c r="O19" s="77">
        <v>1355</v>
      </c>
      <c r="P19" s="6">
        <v>4418</v>
      </c>
      <c r="Q19" s="78">
        <v>0</v>
      </c>
      <c r="R19" s="78">
        <v>0</v>
      </c>
      <c r="S19" s="78">
        <v>0</v>
      </c>
      <c r="T19" s="6">
        <v>4418</v>
      </c>
      <c r="U19" s="78">
        <v>0</v>
      </c>
      <c r="V19" s="6">
        <v>155225</v>
      </c>
      <c r="W19" s="6">
        <v>67256</v>
      </c>
      <c r="X19" s="6">
        <v>222481</v>
      </c>
      <c r="Y19" s="6">
        <v>2741</v>
      </c>
      <c r="Z19" s="6">
        <v>0</v>
      </c>
      <c r="AA19" s="6">
        <v>225222</v>
      </c>
      <c r="AB19" s="142">
        <f>Table6[[#This Row],[Total Operating Income]]/Table6[[#This Row],[Total Population Served]]</f>
        <v>56.974955729825446</v>
      </c>
    </row>
    <row r="20" spans="1:28" ht="13.5" thickBot="1" x14ac:dyDescent="0.25">
      <c r="A20" s="2" t="s">
        <v>212</v>
      </c>
      <c r="B20" s="1" t="s">
        <v>211</v>
      </c>
      <c r="C20" s="2" t="s">
        <v>19</v>
      </c>
      <c r="D20" s="2" t="s">
        <v>1195</v>
      </c>
      <c r="E20" s="3" t="s">
        <v>67</v>
      </c>
      <c r="F20" s="3" t="s">
        <v>68</v>
      </c>
      <c r="G20" s="4">
        <v>3228</v>
      </c>
      <c r="H20" s="4">
        <v>3228</v>
      </c>
      <c r="I20" s="6">
        <v>11981</v>
      </c>
      <c r="J20" s="6">
        <v>51935</v>
      </c>
      <c r="K20" s="2">
        <v>0</v>
      </c>
      <c r="L20" s="78">
        <v>0</v>
      </c>
      <c r="M20" s="6">
        <v>63916</v>
      </c>
      <c r="N20" s="6">
        <v>47865</v>
      </c>
      <c r="O20" s="78">
        <v>0</v>
      </c>
      <c r="P20" s="78">
        <v>0</v>
      </c>
      <c r="Q20" s="78">
        <v>0</v>
      </c>
      <c r="R20" s="2">
        <v>0</v>
      </c>
      <c r="S20" s="2">
        <v>0</v>
      </c>
      <c r="T20" s="78">
        <v>0</v>
      </c>
      <c r="U20" s="2">
        <v>0</v>
      </c>
      <c r="V20" s="6">
        <v>63916</v>
      </c>
      <c r="W20" s="6">
        <v>47865</v>
      </c>
      <c r="X20" s="6">
        <v>111781</v>
      </c>
      <c r="Y20" s="6">
        <v>2111</v>
      </c>
      <c r="Z20" s="6">
        <v>0</v>
      </c>
      <c r="AA20" s="6">
        <v>113892</v>
      </c>
      <c r="AB20" s="142">
        <f>Table6[[#This Row],[Total Operating Income]]/Table6[[#This Row],[Total Population Served]]</f>
        <v>35.282527881040892</v>
      </c>
    </row>
    <row r="21" spans="1:28" ht="13.5" thickBot="1" x14ac:dyDescent="0.25">
      <c r="A21" s="2" t="s">
        <v>214</v>
      </c>
      <c r="B21" s="1" t="s">
        <v>213</v>
      </c>
      <c r="C21" s="2" t="s">
        <v>19</v>
      </c>
      <c r="D21" s="2" t="s">
        <v>1196</v>
      </c>
      <c r="E21" s="3" t="s">
        <v>22</v>
      </c>
      <c r="F21" s="3" t="s">
        <v>23</v>
      </c>
      <c r="G21" s="4">
        <v>3453</v>
      </c>
      <c r="H21" s="4">
        <v>3453</v>
      </c>
      <c r="I21" s="6">
        <v>14047</v>
      </c>
      <c r="J21" s="6">
        <v>137156</v>
      </c>
      <c r="K21" s="6">
        <v>10608</v>
      </c>
      <c r="L21" s="6">
        <v>8743</v>
      </c>
      <c r="M21" s="6">
        <v>170554</v>
      </c>
      <c r="N21" s="6">
        <v>4717</v>
      </c>
      <c r="O21" s="78">
        <v>0</v>
      </c>
      <c r="P21" s="2">
        <v>0</v>
      </c>
      <c r="Q21" s="2">
        <v>0</v>
      </c>
      <c r="R21" s="2">
        <v>0</v>
      </c>
      <c r="S21" s="2">
        <v>0</v>
      </c>
      <c r="T21" s="2">
        <v>0</v>
      </c>
      <c r="U21" s="2">
        <v>0</v>
      </c>
      <c r="V21" s="6">
        <v>170554</v>
      </c>
      <c r="W21" s="6">
        <v>4717</v>
      </c>
      <c r="X21" s="6">
        <v>175271</v>
      </c>
      <c r="Y21" s="6">
        <v>2258</v>
      </c>
      <c r="Z21" s="6">
        <v>0</v>
      </c>
      <c r="AA21" s="6">
        <v>177529</v>
      </c>
      <c r="AB21" s="142">
        <f>Table6[[#This Row],[Total Operating Income]]/Table6[[#This Row],[Total Population Served]]</f>
        <v>51.412974225311324</v>
      </c>
    </row>
    <row r="22" spans="1:28" ht="13.5" thickBot="1" x14ac:dyDescent="0.25">
      <c r="A22" s="2" t="s">
        <v>216</v>
      </c>
      <c r="B22" s="1" t="s">
        <v>215</v>
      </c>
      <c r="C22" s="2" t="s">
        <v>19</v>
      </c>
      <c r="D22" s="2" t="s">
        <v>1130</v>
      </c>
      <c r="E22" s="3" t="s">
        <v>217</v>
      </c>
      <c r="F22" s="3" t="s">
        <v>72</v>
      </c>
      <c r="G22" s="4">
        <v>1236</v>
      </c>
      <c r="H22" s="4">
        <v>1236</v>
      </c>
      <c r="I22" s="6">
        <v>8209</v>
      </c>
      <c r="J22" s="6">
        <v>31015</v>
      </c>
      <c r="K22" s="78">
        <v>0</v>
      </c>
      <c r="L22" s="78">
        <v>0</v>
      </c>
      <c r="M22" s="6">
        <v>39224</v>
      </c>
      <c r="N22" s="6">
        <v>2878</v>
      </c>
      <c r="O22" s="2">
        <v>0</v>
      </c>
      <c r="P22" s="2">
        <v>0</v>
      </c>
      <c r="Q22" s="2">
        <v>0</v>
      </c>
      <c r="R22" s="2">
        <v>0</v>
      </c>
      <c r="S22" s="2">
        <v>0</v>
      </c>
      <c r="T22" s="2">
        <v>0</v>
      </c>
      <c r="U22" s="2">
        <v>0</v>
      </c>
      <c r="V22" s="6">
        <v>39224</v>
      </c>
      <c r="W22" s="6">
        <v>2878</v>
      </c>
      <c r="X22" s="6">
        <v>42102</v>
      </c>
      <c r="Y22" s="6">
        <v>808</v>
      </c>
      <c r="Z22" s="6">
        <v>1223</v>
      </c>
      <c r="AA22" s="6">
        <v>44133</v>
      </c>
      <c r="AB22" s="142">
        <f>Table6[[#This Row],[Total Operating Income]]/Table6[[#This Row],[Total Population Served]]</f>
        <v>35.706310679611647</v>
      </c>
    </row>
    <row r="23" spans="1:28" ht="13.5" thickBot="1" x14ac:dyDescent="0.25">
      <c r="A23" s="2" t="s">
        <v>219</v>
      </c>
      <c r="B23" s="1" t="s">
        <v>218</v>
      </c>
      <c r="C23" s="2" t="s">
        <v>19</v>
      </c>
      <c r="D23" s="2" t="s">
        <v>1158</v>
      </c>
      <c r="E23" s="3" t="s">
        <v>27</v>
      </c>
      <c r="F23" s="3" t="s">
        <v>28</v>
      </c>
      <c r="G23" s="4">
        <v>3179</v>
      </c>
      <c r="H23" s="4">
        <v>1364</v>
      </c>
      <c r="I23" s="6">
        <v>6189</v>
      </c>
      <c r="J23" s="6">
        <v>62496</v>
      </c>
      <c r="K23" s="2">
        <v>0</v>
      </c>
      <c r="L23" s="6">
        <v>0</v>
      </c>
      <c r="M23" s="6">
        <v>68685</v>
      </c>
      <c r="N23" s="6">
        <v>31962</v>
      </c>
      <c r="O23" s="4">
        <v>1815</v>
      </c>
      <c r="P23" s="6">
        <v>8234</v>
      </c>
      <c r="Q23" s="2">
        <v>0</v>
      </c>
      <c r="R23" s="2">
        <v>0</v>
      </c>
      <c r="S23" s="6">
        <v>1000</v>
      </c>
      <c r="T23" s="6">
        <v>9234</v>
      </c>
      <c r="U23" s="2">
        <v>0</v>
      </c>
      <c r="V23" s="6">
        <v>77919</v>
      </c>
      <c r="W23" s="6">
        <v>31962</v>
      </c>
      <c r="X23" s="6">
        <v>109881</v>
      </c>
      <c r="Y23" s="6">
        <v>2204</v>
      </c>
      <c r="Z23" s="6">
        <v>0</v>
      </c>
      <c r="AA23" s="6">
        <v>112085</v>
      </c>
      <c r="AB23" s="142">
        <f>Table6[[#This Row],[Total Operating Income]]/Table6[[#This Row],[Total Population Served]]</f>
        <v>35.257942749292233</v>
      </c>
    </row>
    <row r="24" spans="1:28" ht="13.5" thickBot="1" x14ac:dyDescent="0.25">
      <c r="A24" s="2" t="s">
        <v>231</v>
      </c>
      <c r="B24" s="1" t="s">
        <v>230</v>
      </c>
      <c r="C24" s="2" t="s">
        <v>19</v>
      </c>
      <c r="D24" s="2" t="s">
        <v>1201</v>
      </c>
      <c r="E24" s="3" t="s">
        <v>27</v>
      </c>
      <c r="F24" s="3" t="s">
        <v>28</v>
      </c>
      <c r="G24" s="4">
        <v>2190</v>
      </c>
      <c r="H24" s="4">
        <v>2190</v>
      </c>
      <c r="I24" s="6">
        <v>7759</v>
      </c>
      <c r="J24" s="6">
        <v>0</v>
      </c>
      <c r="K24" s="6">
        <v>0</v>
      </c>
      <c r="L24" s="6">
        <v>55510</v>
      </c>
      <c r="M24" s="6">
        <v>63269</v>
      </c>
      <c r="N24" s="6">
        <v>4192</v>
      </c>
      <c r="O24" s="2">
        <v>0</v>
      </c>
      <c r="P24" s="2">
        <v>0</v>
      </c>
      <c r="Q24" s="2">
        <v>0</v>
      </c>
      <c r="R24" s="2">
        <v>0</v>
      </c>
      <c r="S24" s="2">
        <v>0</v>
      </c>
      <c r="T24" s="2">
        <v>0</v>
      </c>
      <c r="U24" s="2">
        <v>0</v>
      </c>
      <c r="V24" s="6">
        <v>63269</v>
      </c>
      <c r="W24" s="6">
        <v>4192</v>
      </c>
      <c r="X24" s="6">
        <v>67461</v>
      </c>
      <c r="Y24" s="6">
        <v>797</v>
      </c>
      <c r="Z24" s="6">
        <v>0</v>
      </c>
      <c r="AA24" s="6">
        <v>68258</v>
      </c>
      <c r="AB24" s="142">
        <f>Table6[[#This Row],[Total Operating Income]]/Table6[[#This Row],[Total Population Served]]</f>
        <v>31.168036529680364</v>
      </c>
    </row>
    <row r="25" spans="1:28" ht="13.5" thickBot="1" x14ac:dyDescent="0.25">
      <c r="A25" s="2" t="s">
        <v>267</v>
      </c>
      <c r="B25" s="1" t="s">
        <v>266</v>
      </c>
      <c r="C25" s="2" t="s">
        <v>19</v>
      </c>
      <c r="D25" s="2" t="s">
        <v>1127</v>
      </c>
      <c r="E25" s="3" t="s">
        <v>67</v>
      </c>
      <c r="F25" s="3" t="s">
        <v>68</v>
      </c>
      <c r="G25" s="4">
        <v>2769</v>
      </c>
      <c r="H25" s="4">
        <v>1526</v>
      </c>
      <c r="I25" s="6">
        <v>4681</v>
      </c>
      <c r="J25" s="6">
        <v>9203</v>
      </c>
      <c r="K25" s="6">
        <v>6122</v>
      </c>
      <c r="L25" s="6">
        <v>0</v>
      </c>
      <c r="M25" s="6">
        <v>20006</v>
      </c>
      <c r="N25" s="6">
        <v>1277</v>
      </c>
      <c r="O25" s="77">
        <v>1243</v>
      </c>
      <c r="P25" s="6">
        <v>3813</v>
      </c>
      <c r="Q25" s="6">
        <v>7497</v>
      </c>
      <c r="R25" s="6">
        <v>0</v>
      </c>
      <c r="S25" s="6">
        <v>13447</v>
      </c>
      <c r="T25" s="6">
        <v>24757</v>
      </c>
      <c r="U25" s="6">
        <v>0</v>
      </c>
      <c r="V25" s="6">
        <v>44763</v>
      </c>
      <c r="W25" s="6">
        <v>1277</v>
      </c>
      <c r="X25" s="6">
        <v>46040</v>
      </c>
      <c r="Y25" s="6">
        <v>2684</v>
      </c>
      <c r="Z25" s="6">
        <v>0</v>
      </c>
      <c r="AA25" s="6">
        <v>48724</v>
      </c>
      <c r="AB25" s="142">
        <f>Table6[[#This Row],[Total Operating Income]]/Table6[[#This Row],[Total Population Served]]</f>
        <v>17.5962441314554</v>
      </c>
    </row>
    <row r="26" spans="1:28" ht="13.5" thickBot="1" x14ac:dyDescent="0.25">
      <c r="A26" s="2" t="s">
        <v>269</v>
      </c>
      <c r="B26" s="1" t="s">
        <v>268</v>
      </c>
      <c r="C26" s="2" t="s">
        <v>19</v>
      </c>
      <c r="D26" s="2" t="s">
        <v>1152</v>
      </c>
      <c r="E26" s="3" t="s">
        <v>67</v>
      </c>
      <c r="F26" s="3" t="s">
        <v>68</v>
      </c>
      <c r="G26" s="4">
        <v>3738</v>
      </c>
      <c r="H26" s="4">
        <v>2363</v>
      </c>
      <c r="I26" s="6">
        <v>12806</v>
      </c>
      <c r="J26" s="6">
        <v>60875</v>
      </c>
      <c r="K26" s="6">
        <v>0</v>
      </c>
      <c r="L26" s="6">
        <v>5500</v>
      </c>
      <c r="M26" s="6">
        <v>79181</v>
      </c>
      <c r="N26" s="6">
        <v>5760</v>
      </c>
      <c r="O26" s="4">
        <v>1375</v>
      </c>
      <c r="P26" s="6">
        <v>3825</v>
      </c>
      <c r="Q26" s="6">
        <v>0</v>
      </c>
      <c r="R26" s="6">
        <v>0</v>
      </c>
      <c r="S26" s="6">
        <v>0</v>
      </c>
      <c r="T26" s="6">
        <v>3825</v>
      </c>
      <c r="U26" s="6">
        <v>0</v>
      </c>
      <c r="V26" s="6">
        <v>83006</v>
      </c>
      <c r="W26" s="6">
        <v>5760</v>
      </c>
      <c r="X26" s="6">
        <v>88766</v>
      </c>
      <c r="Y26" s="6">
        <v>2592</v>
      </c>
      <c r="Z26" s="6">
        <v>0</v>
      </c>
      <c r="AA26" s="6">
        <v>91358</v>
      </c>
      <c r="AB26" s="142">
        <f>Table6[[#This Row],[Total Operating Income]]/Table6[[#This Row],[Total Population Served]]</f>
        <v>24.440342429106472</v>
      </c>
    </row>
    <row r="27" spans="1:28" ht="13.5" thickBot="1" x14ac:dyDescent="0.25">
      <c r="A27" s="2" t="s">
        <v>275</v>
      </c>
      <c r="B27" s="1" t="s">
        <v>274</v>
      </c>
      <c r="C27" s="2" t="s">
        <v>19</v>
      </c>
      <c r="D27" s="2" t="s">
        <v>1166</v>
      </c>
      <c r="E27" s="3" t="s">
        <v>67</v>
      </c>
      <c r="F27" s="3" t="s">
        <v>68</v>
      </c>
      <c r="G27" s="4">
        <v>3112</v>
      </c>
      <c r="H27" s="4">
        <v>2957</v>
      </c>
      <c r="I27" s="6">
        <v>20440</v>
      </c>
      <c r="J27" s="6">
        <v>234158</v>
      </c>
      <c r="K27" s="2">
        <v>0</v>
      </c>
      <c r="L27" s="6">
        <v>14618</v>
      </c>
      <c r="M27" s="6">
        <v>269216</v>
      </c>
      <c r="N27" s="6">
        <v>6072</v>
      </c>
      <c r="O27" s="4">
        <v>155</v>
      </c>
      <c r="P27" s="78">
        <v>0</v>
      </c>
      <c r="Q27" s="2">
        <v>0</v>
      </c>
      <c r="R27" s="2">
        <v>0</v>
      </c>
      <c r="S27" s="2">
        <v>0</v>
      </c>
      <c r="T27" s="78">
        <v>0</v>
      </c>
      <c r="U27" s="2">
        <v>0</v>
      </c>
      <c r="V27" s="6">
        <v>269216</v>
      </c>
      <c r="W27" s="6">
        <v>6072</v>
      </c>
      <c r="X27" s="6">
        <v>275288</v>
      </c>
      <c r="Y27" s="6">
        <v>2035</v>
      </c>
      <c r="Z27" s="6">
        <v>0</v>
      </c>
      <c r="AA27" s="6">
        <v>277323</v>
      </c>
      <c r="AB27" s="142">
        <f>Table6[[#This Row],[Total Operating Income]]/Table6[[#This Row],[Total Population Served]]</f>
        <v>89.114074550128535</v>
      </c>
    </row>
    <row r="28" spans="1:28" ht="13.5" thickBot="1" x14ac:dyDescent="0.25">
      <c r="A28" s="2" t="s">
        <v>283</v>
      </c>
      <c r="B28" s="1" t="s">
        <v>282</v>
      </c>
      <c r="C28" s="2" t="s">
        <v>19</v>
      </c>
      <c r="D28" s="2" t="s">
        <v>1210</v>
      </c>
      <c r="E28" s="3" t="s">
        <v>22</v>
      </c>
      <c r="F28" s="3" t="s">
        <v>23</v>
      </c>
      <c r="G28" s="4">
        <v>2791</v>
      </c>
      <c r="H28" s="4">
        <v>2791</v>
      </c>
      <c r="I28" s="6">
        <v>6861</v>
      </c>
      <c r="J28" s="6">
        <v>0</v>
      </c>
      <c r="K28" s="6">
        <v>0</v>
      </c>
      <c r="L28" s="6">
        <v>148360</v>
      </c>
      <c r="M28" s="6">
        <v>155221</v>
      </c>
      <c r="N28" s="6">
        <v>9610</v>
      </c>
      <c r="O28" s="2">
        <v>0</v>
      </c>
      <c r="P28" s="78">
        <v>0</v>
      </c>
      <c r="Q28" s="78">
        <v>0</v>
      </c>
      <c r="R28" s="78">
        <v>0</v>
      </c>
      <c r="S28" s="78">
        <v>0</v>
      </c>
      <c r="T28" s="78">
        <v>0</v>
      </c>
      <c r="U28" s="78">
        <v>0</v>
      </c>
      <c r="V28" s="6">
        <v>155221</v>
      </c>
      <c r="W28" s="6">
        <v>9610</v>
      </c>
      <c r="X28" s="6">
        <v>164831</v>
      </c>
      <c r="Y28" s="6">
        <v>1826</v>
      </c>
      <c r="Z28" s="6">
        <v>0</v>
      </c>
      <c r="AA28" s="6">
        <v>166657</v>
      </c>
      <c r="AB28" s="142">
        <f>Table6[[#This Row],[Total Operating Income]]/Table6[[#This Row],[Total Population Served]]</f>
        <v>59.712289501970616</v>
      </c>
    </row>
    <row r="29" spans="1:28" ht="13.5" thickBot="1" x14ac:dyDescent="0.25">
      <c r="A29" s="2" t="s">
        <v>299</v>
      </c>
      <c r="B29" s="1" t="s">
        <v>298</v>
      </c>
      <c r="C29" s="2" t="s">
        <v>19</v>
      </c>
      <c r="D29" s="2" t="s">
        <v>1125</v>
      </c>
      <c r="E29" s="3" t="s">
        <v>27</v>
      </c>
      <c r="F29" s="3" t="s">
        <v>28</v>
      </c>
      <c r="G29" s="4">
        <v>3150</v>
      </c>
      <c r="H29" s="4">
        <v>3150</v>
      </c>
      <c r="I29" s="6">
        <v>6587</v>
      </c>
      <c r="J29" s="6">
        <v>200986</v>
      </c>
      <c r="K29" s="78">
        <v>0</v>
      </c>
      <c r="L29" s="6">
        <v>1037</v>
      </c>
      <c r="M29" s="6">
        <v>208610</v>
      </c>
      <c r="N29" s="6">
        <v>21164</v>
      </c>
      <c r="O29" s="2">
        <v>0</v>
      </c>
      <c r="P29" s="78">
        <v>0</v>
      </c>
      <c r="Q29" s="78">
        <v>0</v>
      </c>
      <c r="R29" s="78">
        <v>0</v>
      </c>
      <c r="S29" s="78">
        <v>0</v>
      </c>
      <c r="T29" s="78">
        <v>0</v>
      </c>
      <c r="U29" s="78">
        <v>0</v>
      </c>
      <c r="V29" s="6">
        <v>208610</v>
      </c>
      <c r="W29" s="6">
        <v>21164</v>
      </c>
      <c r="X29" s="6">
        <v>229774</v>
      </c>
      <c r="Y29" s="6">
        <v>1037</v>
      </c>
      <c r="Z29" s="6">
        <v>0</v>
      </c>
      <c r="AA29" s="6">
        <v>230811</v>
      </c>
      <c r="AB29" s="142">
        <f>Table6[[#This Row],[Total Operating Income]]/Table6[[#This Row],[Total Population Served]]</f>
        <v>73.273333333333326</v>
      </c>
    </row>
    <row r="30" spans="1:28" ht="13.5" thickBot="1" x14ac:dyDescent="0.25">
      <c r="A30" s="2" t="s">
        <v>311</v>
      </c>
      <c r="B30" s="1" t="s">
        <v>310</v>
      </c>
      <c r="C30" s="2" t="s">
        <v>19</v>
      </c>
      <c r="D30" s="2" t="s">
        <v>1157</v>
      </c>
      <c r="E30" s="3" t="s">
        <v>67</v>
      </c>
      <c r="F30" s="3" t="s">
        <v>68</v>
      </c>
      <c r="G30" s="4">
        <v>3043</v>
      </c>
      <c r="H30" s="4">
        <v>1452</v>
      </c>
      <c r="I30" s="6">
        <v>11834</v>
      </c>
      <c r="J30" s="6">
        <v>56540</v>
      </c>
      <c r="K30" s="78">
        <v>0</v>
      </c>
      <c r="L30" s="6">
        <v>0</v>
      </c>
      <c r="M30" s="6">
        <v>68374</v>
      </c>
      <c r="N30" s="6">
        <v>8523</v>
      </c>
      <c r="O30" s="77">
        <v>1591</v>
      </c>
      <c r="P30" s="6">
        <v>12969</v>
      </c>
      <c r="Q30" s="6">
        <v>0</v>
      </c>
      <c r="R30" s="6">
        <v>0</v>
      </c>
      <c r="S30" s="6">
        <v>750</v>
      </c>
      <c r="T30" s="6">
        <v>13719</v>
      </c>
      <c r="U30" s="6">
        <v>0</v>
      </c>
      <c r="V30" s="6">
        <v>82093</v>
      </c>
      <c r="W30" s="6">
        <v>8523</v>
      </c>
      <c r="X30" s="6">
        <v>90616</v>
      </c>
      <c r="Y30" s="6">
        <v>1990</v>
      </c>
      <c r="Z30" s="6">
        <v>0</v>
      </c>
      <c r="AA30" s="6">
        <v>92606</v>
      </c>
      <c r="AB30" s="142">
        <f>Table6[[#This Row],[Total Operating Income]]/Table6[[#This Row],[Total Population Served]]</f>
        <v>30.43246795925074</v>
      </c>
    </row>
    <row r="31" spans="1:28" ht="13.5" thickBot="1" x14ac:dyDescent="0.25">
      <c r="A31" s="2" t="s">
        <v>319</v>
      </c>
      <c r="B31" s="1" t="s">
        <v>318</v>
      </c>
      <c r="C31" s="2" t="s">
        <v>19</v>
      </c>
      <c r="D31" s="2" t="s">
        <v>1200</v>
      </c>
      <c r="E31" s="3" t="s">
        <v>67</v>
      </c>
      <c r="F31" s="3" t="s">
        <v>68</v>
      </c>
      <c r="G31" s="4">
        <v>2047</v>
      </c>
      <c r="H31" s="4">
        <v>2047</v>
      </c>
      <c r="I31" s="6">
        <v>1423</v>
      </c>
      <c r="J31" s="6">
        <v>1139</v>
      </c>
      <c r="K31" s="6">
        <v>0</v>
      </c>
      <c r="L31" s="6">
        <v>21617</v>
      </c>
      <c r="M31" s="6">
        <v>24179</v>
      </c>
      <c r="N31" s="6">
        <v>4264</v>
      </c>
      <c r="O31" s="78">
        <v>0</v>
      </c>
      <c r="P31" s="6">
        <v>0</v>
      </c>
      <c r="Q31" s="6">
        <v>0</v>
      </c>
      <c r="R31" s="6">
        <v>0</v>
      </c>
      <c r="S31" s="6">
        <v>0</v>
      </c>
      <c r="T31" s="6">
        <v>0</v>
      </c>
      <c r="U31" s="6">
        <v>0</v>
      </c>
      <c r="V31" s="6">
        <v>24179</v>
      </c>
      <c r="W31" s="6">
        <v>4264</v>
      </c>
      <c r="X31" s="6">
        <v>28443</v>
      </c>
      <c r="Y31" s="6">
        <v>0</v>
      </c>
      <c r="Z31" s="6">
        <v>0</v>
      </c>
      <c r="AA31" s="6">
        <v>28443</v>
      </c>
      <c r="AB31" s="142">
        <f>Table6[[#This Row],[Total Operating Income]]/Table6[[#This Row],[Total Population Served]]</f>
        <v>13.894968246213972</v>
      </c>
    </row>
    <row r="32" spans="1:28" ht="13.5" thickBot="1" x14ac:dyDescent="0.25">
      <c r="A32" s="2" t="s">
        <v>327</v>
      </c>
      <c r="B32" s="1" t="s">
        <v>326</v>
      </c>
      <c r="C32" s="2" t="s">
        <v>19</v>
      </c>
      <c r="D32" s="2" t="s">
        <v>1222</v>
      </c>
      <c r="E32" s="3" t="s">
        <v>22</v>
      </c>
      <c r="F32" s="3" t="s">
        <v>23</v>
      </c>
      <c r="G32" s="4">
        <v>3650</v>
      </c>
      <c r="H32" s="4">
        <v>3650</v>
      </c>
      <c r="I32" s="6">
        <v>6945</v>
      </c>
      <c r="J32" s="6">
        <v>197026</v>
      </c>
      <c r="K32" s="6">
        <v>0</v>
      </c>
      <c r="L32" s="6">
        <v>0</v>
      </c>
      <c r="M32" s="6">
        <v>203971</v>
      </c>
      <c r="N32" s="6">
        <v>19986</v>
      </c>
      <c r="O32" s="2">
        <v>0</v>
      </c>
      <c r="P32" s="2">
        <v>0</v>
      </c>
      <c r="Q32" s="2">
        <v>0</v>
      </c>
      <c r="R32" s="2">
        <v>0</v>
      </c>
      <c r="S32" s="2">
        <v>0</v>
      </c>
      <c r="T32" s="2">
        <v>0</v>
      </c>
      <c r="U32" s="2">
        <v>0</v>
      </c>
      <c r="V32" s="6">
        <v>203971</v>
      </c>
      <c r="W32" s="6">
        <v>19986</v>
      </c>
      <c r="X32" s="6">
        <v>223957</v>
      </c>
      <c r="Y32" s="6">
        <v>1194</v>
      </c>
      <c r="Z32" s="6">
        <v>0</v>
      </c>
      <c r="AA32" s="6">
        <v>225151</v>
      </c>
      <c r="AB32" s="142">
        <f>Table6[[#This Row],[Total Operating Income]]/Table6[[#This Row],[Total Population Served]]</f>
        <v>61.685205479452058</v>
      </c>
    </row>
    <row r="33" spans="1:28" ht="13.5" thickBot="1" x14ac:dyDescent="0.25">
      <c r="A33" s="2" t="s">
        <v>329</v>
      </c>
      <c r="B33" s="1" t="s">
        <v>328</v>
      </c>
      <c r="C33" s="2" t="s">
        <v>19</v>
      </c>
      <c r="D33" s="2" t="s">
        <v>1140</v>
      </c>
      <c r="E33" s="3" t="s">
        <v>14</v>
      </c>
      <c r="F33" s="3" t="s">
        <v>15</v>
      </c>
      <c r="G33" s="4">
        <v>1828</v>
      </c>
      <c r="H33" s="4">
        <v>1828</v>
      </c>
      <c r="I33" s="6">
        <v>5395</v>
      </c>
      <c r="J33" s="6">
        <v>61054</v>
      </c>
      <c r="K33" s="6">
        <v>0</v>
      </c>
      <c r="L33" s="6">
        <v>0</v>
      </c>
      <c r="M33" s="6">
        <v>66449</v>
      </c>
      <c r="N33" s="6">
        <v>450</v>
      </c>
      <c r="O33" s="2">
        <v>0</v>
      </c>
      <c r="P33" s="6">
        <v>0</v>
      </c>
      <c r="Q33" s="6">
        <v>0</v>
      </c>
      <c r="R33" s="6">
        <v>0</v>
      </c>
      <c r="S33" s="6">
        <v>0</v>
      </c>
      <c r="T33" s="6">
        <v>0</v>
      </c>
      <c r="U33" s="6">
        <v>0</v>
      </c>
      <c r="V33" s="6">
        <v>66449</v>
      </c>
      <c r="W33" s="6">
        <v>450</v>
      </c>
      <c r="X33" s="6">
        <v>66899</v>
      </c>
      <c r="Y33" s="6">
        <v>0</v>
      </c>
      <c r="Z33" s="6">
        <v>0</v>
      </c>
      <c r="AA33" s="6">
        <v>66899</v>
      </c>
      <c r="AB33" s="142">
        <f>Table6[[#This Row],[Total Operating Income]]/Table6[[#This Row],[Total Population Served]]</f>
        <v>36.596827133479209</v>
      </c>
    </row>
    <row r="34" spans="1:28" ht="13.5" thickBot="1" x14ac:dyDescent="0.25">
      <c r="A34" s="2" t="s">
        <v>379</v>
      </c>
      <c r="B34" s="1" t="s">
        <v>378</v>
      </c>
      <c r="C34" s="2" t="s">
        <v>19</v>
      </c>
      <c r="D34" s="2" t="s">
        <v>1129</v>
      </c>
      <c r="E34" s="3" t="s">
        <v>22</v>
      </c>
      <c r="F34" s="3" t="s">
        <v>23</v>
      </c>
      <c r="G34" s="4">
        <v>3926</v>
      </c>
      <c r="H34" s="4">
        <v>1668</v>
      </c>
      <c r="I34" s="6">
        <v>4239</v>
      </c>
      <c r="J34" s="6">
        <v>37722</v>
      </c>
      <c r="K34" s="6">
        <v>14250</v>
      </c>
      <c r="L34" s="6">
        <v>45075</v>
      </c>
      <c r="M34" s="6">
        <v>101286</v>
      </c>
      <c r="N34" s="6">
        <v>4778</v>
      </c>
      <c r="O34" s="4">
        <v>2258</v>
      </c>
      <c r="P34" s="6">
        <v>4742</v>
      </c>
      <c r="Q34" s="6">
        <v>46168</v>
      </c>
      <c r="R34" s="6">
        <v>0</v>
      </c>
      <c r="S34" s="6">
        <v>0</v>
      </c>
      <c r="T34" s="6">
        <v>50910</v>
      </c>
      <c r="U34" s="6">
        <v>7098</v>
      </c>
      <c r="V34" s="6">
        <v>152196</v>
      </c>
      <c r="W34" s="6">
        <v>11876</v>
      </c>
      <c r="X34" s="6">
        <v>164072</v>
      </c>
      <c r="Y34" s="6">
        <v>2568</v>
      </c>
      <c r="Z34" s="6">
        <v>0</v>
      </c>
      <c r="AA34" s="6">
        <v>166640</v>
      </c>
      <c r="AB34" s="142">
        <f>Table6[[#This Row],[Total Operating Income]]/Table6[[#This Row],[Total Population Served]]</f>
        <v>42.445236882322973</v>
      </c>
    </row>
    <row r="35" spans="1:28" ht="13.5" thickBot="1" x14ac:dyDescent="0.25">
      <c r="A35" s="2" t="s">
        <v>395</v>
      </c>
      <c r="B35" s="1" t="s">
        <v>394</v>
      </c>
      <c r="C35" s="2" t="s">
        <v>19</v>
      </c>
      <c r="D35" s="2" t="s">
        <v>1184</v>
      </c>
      <c r="E35" s="3" t="s">
        <v>27</v>
      </c>
      <c r="F35" s="3" t="s">
        <v>28</v>
      </c>
      <c r="G35" s="4">
        <v>3038</v>
      </c>
      <c r="H35" s="4">
        <v>3038</v>
      </c>
      <c r="I35" s="6">
        <v>19909</v>
      </c>
      <c r="J35" s="6">
        <v>58758</v>
      </c>
      <c r="K35" s="2">
        <v>0</v>
      </c>
      <c r="L35" s="78">
        <v>0</v>
      </c>
      <c r="M35" s="6">
        <v>78667</v>
      </c>
      <c r="N35" s="6">
        <v>24882</v>
      </c>
      <c r="O35" s="2">
        <v>0</v>
      </c>
      <c r="P35" s="2">
        <v>0</v>
      </c>
      <c r="Q35" s="2">
        <v>0</v>
      </c>
      <c r="R35" s="2">
        <v>0</v>
      </c>
      <c r="S35" s="2">
        <v>0</v>
      </c>
      <c r="T35" s="2">
        <v>0</v>
      </c>
      <c r="U35" s="2">
        <v>0</v>
      </c>
      <c r="V35" s="6">
        <v>78667</v>
      </c>
      <c r="W35" s="6">
        <v>24882</v>
      </c>
      <c r="X35" s="6">
        <v>103549</v>
      </c>
      <c r="Y35" s="6">
        <v>0</v>
      </c>
      <c r="Z35" s="6">
        <v>0</v>
      </c>
      <c r="AA35" s="6">
        <v>103549</v>
      </c>
      <c r="AB35" s="142">
        <f>Table6[[#This Row],[Total Operating Income]]/Table6[[#This Row],[Total Population Served]]</f>
        <v>34.084595128373927</v>
      </c>
    </row>
    <row r="36" spans="1:28" ht="13.5" thickBot="1" x14ac:dyDescent="0.25">
      <c r="A36" s="2" t="s">
        <v>427</v>
      </c>
      <c r="B36" s="1" t="s">
        <v>426</v>
      </c>
      <c r="C36" s="2" t="s">
        <v>19</v>
      </c>
      <c r="D36" s="2" t="s">
        <v>1171</v>
      </c>
      <c r="E36" s="3" t="s">
        <v>27</v>
      </c>
      <c r="F36" s="3" t="s">
        <v>28</v>
      </c>
      <c r="G36" s="4">
        <v>3730</v>
      </c>
      <c r="H36" s="4">
        <v>3730</v>
      </c>
      <c r="I36" s="6">
        <v>5430</v>
      </c>
      <c r="J36" s="78">
        <v>0</v>
      </c>
      <c r="K36" s="6">
        <v>33323</v>
      </c>
      <c r="L36" s="78">
        <v>0</v>
      </c>
      <c r="M36" s="6">
        <v>38753</v>
      </c>
      <c r="N36" s="78">
        <v>0</v>
      </c>
      <c r="O36" s="78">
        <v>0</v>
      </c>
      <c r="P36" s="78">
        <v>0</v>
      </c>
      <c r="Q36" s="2">
        <v>0</v>
      </c>
      <c r="R36" s="2">
        <v>0</v>
      </c>
      <c r="S36" s="78">
        <v>0</v>
      </c>
      <c r="T36" s="78">
        <v>0</v>
      </c>
      <c r="U36" s="2">
        <v>0</v>
      </c>
      <c r="V36" s="6">
        <v>38753</v>
      </c>
      <c r="W36" s="78">
        <v>0</v>
      </c>
      <c r="X36" s="6">
        <v>38753</v>
      </c>
      <c r="Y36" s="6">
        <v>1228</v>
      </c>
      <c r="Z36" s="6">
        <v>0</v>
      </c>
      <c r="AA36" s="6">
        <v>39981</v>
      </c>
      <c r="AB36" s="142">
        <f>Table6[[#This Row],[Total Operating Income]]/Table6[[#This Row],[Total Population Served]]</f>
        <v>10.718766756032172</v>
      </c>
    </row>
    <row r="37" spans="1:28" ht="13.5" thickBot="1" x14ac:dyDescent="0.25">
      <c r="A37" s="2" t="s">
        <v>433</v>
      </c>
      <c r="B37" s="1" t="s">
        <v>432</v>
      </c>
      <c r="C37" s="2" t="s">
        <v>19</v>
      </c>
      <c r="D37" s="2" t="s">
        <v>1149</v>
      </c>
      <c r="E37" s="3" t="s">
        <v>17</v>
      </c>
      <c r="F37" s="3" t="s">
        <v>18</v>
      </c>
      <c r="G37" s="4">
        <v>2735</v>
      </c>
      <c r="H37" s="4">
        <v>767</v>
      </c>
      <c r="I37" s="6">
        <v>2958</v>
      </c>
      <c r="J37" s="6">
        <v>0</v>
      </c>
      <c r="K37" s="6">
        <v>10000</v>
      </c>
      <c r="L37" s="6">
        <v>0</v>
      </c>
      <c r="M37" s="6">
        <v>12958</v>
      </c>
      <c r="N37" s="6">
        <v>10275</v>
      </c>
      <c r="O37" s="77">
        <v>1968</v>
      </c>
      <c r="P37" s="6">
        <v>0</v>
      </c>
      <c r="Q37" s="6">
        <v>0</v>
      </c>
      <c r="R37" s="6">
        <v>0</v>
      </c>
      <c r="S37" s="6">
        <v>1200</v>
      </c>
      <c r="T37" s="6">
        <v>1200</v>
      </c>
      <c r="U37" s="6">
        <v>0</v>
      </c>
      <c r="V37" s="6">
        <v>14158</v>
      </c>
      <c r="W37" s="6">
        <v>10275</v>
      </c>
      <c r="X37" s="6">
        <v>24433</v>
      </c>
      <c r="Y37" s="6">
        <v>2665</v>
      </c>
      <c r="Z37" s="6">
        <v>0</v>
      </c>
      <c r="AA37" s="6">
        <v>27098</v>
      </c>
      <c r="AB37" s="142">
        <f>Table6[[#This Row],[Total Operating Income]]/Table6[[#This Row],[Total Population Served]]</f>
        <v>9.9078610603290684</v>
      </c>
    </row>
    <row r="38" spans="1:28" ht="13.5" thickBot="1" x14ac:dyDescent="0.25">
      <c r="A38" s="2" t="s">
        <v>435</v>
      </c>
      <c r="B38" s="1" t="s">
        <v>434</v>
      </c>
      <c r="C38" s="2" t="s">
        <v>19</v>
      </c>
      <c r="D38" s="2" t="s">
        <v>1229</v>
      </c>
      <c r="E38" s="3" t="s">
        <v>264</v>
      </c>
      <c r="F38" s="3" t="s">
        <v>265</v>
      </c>
      <c r="G38" s="4">
        <v>1900</v>
      </c>
      <c r="H38" s="4">
        <v>1900</v>
      </c>
      <c r="I38" s="6">
        <v>18115</v>
      </c>
      <c r="J38" s="6">
        <v>107536</v>
      </c>
      <c r="K38" s="6">
        <v>0</v>
      </c>
      <c r="L38" s="6">
        <v>5400</v>
      </c>
      <c r="M38" s="6">
        <v>131051</v>
      </c>
      <c r="N38" s="6">
        <v>6833</v>
      </c>
      <c r="O38" s="2">
        <v>0</v>
      </c>
      <c r="P38" s="78">
        <v>0</v>
      </c>
      <c r="Q38" s="78">
        <v>0</v>
      </c>
      <c r="R38" s="2">
        <v>0</v>
      </c>
      <c r="S38" s="2">
        <v>0</v>
      </c>
      <c r="T38" s="78">
        <v>0</v>
      </c>
      <c r="U38" s="2">
        <v>0</v>
      </c>
      <c r="V38" s="6">
        <v>131051</v>
      </c>
      <c r="W38" s="6">
        <v>6833</v>
      </c>
      <c r="X38" s="6">
        <v>137884</v>
      </c>
      <c r="Y38" s="6">
        <v>1800</v>
      </c>
      <c r="Z38" s="6">
        <v>0</v>
      </c>
      <c r="AA38" s="6">
        <v>139684</v>
      </c>
      <c r="AB38" s="142">
        <f>Table6[[#This Row],[Total Operating Income]]/Table6[[#This Row],[Total Population Served]]</f>
        <v>73.517894736842109</v>
      </c>
    </row>
    <row r="39" spans="1:28" ht="13.5" thickBot="1" x14ac:dyDescent="0.25">
      <c r="A39" s="2" t="s">
        <v>439</v>
      </c>
      <c r="B39" s="1" t="s">
        <v>438</v>
      </c>
      <c r="C39" s="2" t="s">
        <v>19</v>
      </c>
      <c r="D39" s="2" t="s">
        <v>1222</v>
      </c>
      <c r="E39" s="3" t="s">
        <v>67</v>
      </c>
      <c r="F39" s="3" t="s">
        <v>68</v>
      </c>
      <c r="G39" s="4">
        <v>2027</v>
      </c>
      <c r="H39" s="4">
        <v>2027</v>
      </c>
      <c r="I39" s="6">
        <v>3856</v>
      </c>
      <c r="J39" s="6">
        <v>0</v>
      </c>
      <c r="K39" s="6">
        <v>124050</v>
      </c>
      <c r="L39" s="6">
        <v>0</v>
      </c>
      <c r="M39" s="6">
        <v>127906</v>
      </c>
      <c r="N39" s="6">
        <v>12662</v>
      </c>
      <c r="O39" s="78">
        <v>0</v>
      </c>
      <c r="P39" s="78">
        <v>0</v>
      </c>
      <c r="Q39" s="78">
        <v>0</v>
      </c>
      <c r="R39" s="78">
        <v>0</v>
      </c>
      <c r="S39" s="78">
        <v>0</v>
      </c>
      <c r="T39" s="78">
        <v>0</v>
      </c>
      <c r="U39" s="78">
        <v>0</v>
      </c>
      <c r="V39" s="6">
        <v>127906</v>
      </c>
      <c r="W39" s="6">
        <v>12662</v>
      </c>
      <c r="X39" s="6">
        <v>140568</v>
      </c>
      <c r="Y39" s="6">
        <v>1326</v>
      </c>
      <c r="Z39" s="6">
        <v>0</v>
      </c>
      <c r="AA39" s="6">
        <v>141894</v>
      </c>
      <c r="AB39" s="142">
        <f>Table6[[#This Row],[Total Operating Income]]/Table6[[#This Row],[Total Population Served]]</f>
        <v>70.001973359644794</v>
      </c>
    </row>
    <row r="40" spans="1:28" ht="13.5" thickBot="1" x14ac:dyDescent="0.25">
      <c r="A40" s="2" t="s">
        <v>449</v>
      </c>
      <c r="B40" s="1" t="s">
        <v>448</v>
      </c>
      <c r="C40" s="2" t="s">
        <v>19</v>
      </c>
      <c r="D40" s="2" t="s">
        <v>1207</v>
      </c>
      <c r="E40" s="3" t="s">
        <v>27</v>
      </c>
      <c r="F40" s="3" t="s">
        <v>28</v>
      </c>
      <c r="G40" s="4">
        <v>2835</v>
      </c>
      <c r="H40" s="4">
        <v>2585</v>
      </c>
      <c r="I40" s="6">
        <v>17914</v>
      </c>
      <c r="J40" s="78">
        <v>0</v>
      </c>
      <c r="K40" s="2">
        <v>0</v>
      </c>
      <c r="L40" s="6">
        <v>1691</v>
      </c>
      <c r="M40" s="6">
        <v>19605</v>
      </c>
      <c r="N40" s="6">
        <v>3932</v>
      </c>
      <c r="O40" s="77">
        <v>250</v>
      </c>
      <c r="P40" s="6">
        <v>0</v>
      </c>
      <c r="Q40" s="78">
        <v>0</v>
      </c>
      <c r="R40" s="78">
        <v>0</v>
      </c>
      <c r="S40" s="78">
        <v>0</v>
      </c>
      <c r="T40" s="6">
        <v>0</v>
      </c>
      <c r="U40" s="78">
        <v>0</v>
      </c>
      <c r="V40" s="6">
        <v>19605</v>
      </c>
      <c r="W40" s="6">
        <v>3932</v>
      </c>
      <c r="X40" s="6">
        <v>23537</v>
      </c>
      <c r="Y40" s="6">
        <v>1691</v>
      </c>
      <c r="Z40" s="6">
        <v>0</v>
      </c>
      <c r="AA40" s="6">
        <v>25228</v>
      </c>
      <c r="AB40" s="142">
        <f>Table6[[#This Row],[Total Operating Income]]/Table6[[#This Row],[Total Population Served]]</f>
        <v>8.8987654320987648</v>
      </c>
    </row>
    <row r="41" spans="1:28" ht="13.5" thickBot="1" x14ac:dyDescent="0.25">
      <c r="A41" s="2" t="s">
        <v>455</v>
      </c>
      <c r="B41" s="1" t="s">
        <v>454</v>
      </c>
      <c r="C41" s="2" t="s">
        <v>19</v>
      </c>
      <c r="D41" s="2" t="s">
        <v>1173</v>
      </c>
      <c r="E41" s="3" t="s">
        <v>456</v>
      </c>
      <c r="F41" s="3" t="s">
        <v>457</v>
      </c>
      <c r="G41" s="4">
        <v>2372</v>
      </c>
      <c r="H41" s="4">
        <v>2372</v>
      </c>
      <c r="I41" s="6">
        <v>7908</v>
      </c>
      <c r="J41" s="6">
        <v>68334</v>
      </c>
      <c r="K41" s="78">
        <v>0</v>
      </c>
      <c r="L41" s="6">
        <v>27247</v>
      </c>
      <c r="M41" s="6">
        <v>103489</v>
      </c>
      <c r="N41" s="6">
        <v>21913</v>
      </c>
      <c r="O41" s="78">
        <v>0</v>
      </c>
      <c r="P41" s="78">
        <v>0</v>
      </c>
      <c r="Q41" s="78">
        <v>0</v>
      </c>
      <c r="R41" s="78">
        <v>0</v>
      </c>
      <c r="S41" s="2">
        <v>0</v>
      </c>
      <c r="T41" s="78">
        <v>0</v>
      </c>
      <c r="U41" s="2">
        <v>0</v>
      </c>
      <c r="V41" s="6">
        <v>103489</v>
      </c>
      <c r="W41" s="6">
        <v>21913</v>
      </c>
      <c r="X41" s="6">
        <v>125402</v>
      </c>
      <c r="Y41" s="6">
        <v>0</v>
      </c>
      <c r="Z41" s="6">
        <v>0</v>
      </c>
      <c r="AA41" s="6">
        <v>125402</v>
      </c>
      <c r="AB41" s="142">
        <f>Table6[[#This Row],[Total Operating Income]]/Table6[[#This Row],[Total Population Served]]</f>
        <v>52.867622259696461</v>
      </c>
    </row>
    <row r="42" spans="1:28" ht="13.5" thickBot="1" x14ac:dyDescent="0.25">
      <c r="A42" s="2" t="s">
        <v>469</v>
      </c>
      <c r="B42" s="1" t="s">
        <v>468</v>
      </c>
      <c r="C42" s="2" t="s">
        <v>19</v>
      </c>
      <c r="D42" s="2" t="s">
        <v>1143</v>
      </c>
      <c r="E42" s="3" t="s">
        <v>264</v>
      </c>
      <c r="F42" s="3" t="s">
        <v>470</v>
      </c>
      <c r="G42" s="4">
        <v>3667</v>
      </c>
      <c r="H42" s="4">
        <v>3465</v>
      </c>
      <c r="I42" s="6">
        <v>19650</v>
      </c>
      <c r="J42" s="6">
        <v>86393</v>
      </c>
      <c r="K42" s="78">
        <v>0</v>
      </c>
      <c r="L42" s="78">
        <v>0</v>
      </c>
      <c r="M42" s="6">
        <v>106043</v>
      </c>
      <c r="N42" s="6">
        <v>18475</v>
      </c>
      <c r="O42" s="77">
        <v>202</v>
      </c>
      <c r="P42" s="6">
        <v>1146</v>
      </c>
      <c r="Q42" s="2">
        <v>0</v>
      </c>
      <c r="R42" s="2">
        <v>0</v>
      </c>
      <c r="S42" s="2">
        <v>0</v>
      </c>
      <c r="T42" s="6">
        <v>1146</v>
      </c>
      <c r="U42" s="2">
        <v>0</v>
      </c>
      <c r="V42" s="6">
        <v>107189</v>
      </c>
      <c r="W42" s="6">
        <v>18475</v>
      </c>
      <c r="X42" s="6">
        <v>125664</v>
      </c>
      <c r="Y42" s="6">
        <v>2399</v>
      </c>
      <c r="Z42" s="6">
        <v>0</v>
      </c>
      <c r="AA42" s="6">
        <v>128063</v>
      </c>
      <c r="AB42" s="142">
        <f>Table6[[#This Row],[Total Operating Income]]/Table6[[#This Row],[Total Population Served]]</f>
        <v>34.923097900190889</v>
      </c>
    </row>
    <row r="43" spans="1:28" ht="13.5" thickBot="1" x14ac:dyDescent="0.25">
      <c r="A43" s="2" t="s">
        <v>476</v>
      </c>
      <c r="B43" s="1" t="s">
        <v>475</v>
      </c>
      <c r="C43" s="2" t="s">
        <v>19</v>
      </c>
      <c r="D43" s="2" t="s">
        <v>1251</v>
      </c>
      <c r="E43" s="3" t="s">
        <v>67</v>
      </c>
      <c r="F43" s="3" t="s">
        <v>68</v>
      </c>
      <c r="G43" s="4">
        <v>492</v>
      </c>
      <c r="H43" s="4">
        <v>492</v>
      </c>
      <c r="I43" s="6">
        <v>8633</v>
      </c>
      <c r="J43" s="6">
        <v>0</v>
      </c>
      <c r="K43" s="6">
        <v>43417</v>
      </c>
      <c r="L43" s="6">
        <v>0</v>
      </c>
      <c r="M43" s="6">
        <v>52050</v>
      </c>
      <c r="N43" s="6">
        <v>30299</v>
      </c>
      <c r="O43" s="2">
        <v>0</v>
      </c>
      <c r="P43" s="6">
        <v>0</v>
      </c>
      <c r="Q43" s="6">
        <v>0</v>
      </c>
      <c r="R43" s="6">
        <v>0</v>
      </c>
      <c r="S43" s="6">
        <v>0</v>
      </c>
      <c r="T43" s="6">
        <v>0</v>
      </c>
      <c r="U43" s="6">
        <v>0</v>
      </c>
      <c r="V43" s="6">
        <v>52050</v>
      </c>
      <c r="W43" s="6">
        <v>30299</v>
      </c>
      <c r="X43" s="6">
        <v>82349</v>
      </c>
      <c r="Y43" s="6">
        <v>322</v>
      </c>
      <c r="Z43" s="6">
        <v>0</v>
      </c>
      <c r="AA43" s="6">
        <v>82671</v>
      </c>
      <c r="AB43" s="142">
        <f>Table6[[#This Row],[Total Operating Income]]/Table6[[#This Row],[Total Population Served]]</f>
        <v>168.03048780487805</v>
      </c>
    </row>
    <row r="44" spans="1:28" ht="13.5" thickBot="1" x14ac:dyDescent="0.25">
      <c r="A44" s="2" t="s">
        <v>492</v>
      </c>
      <c r="B44" s="1" t="s">
        <v>491</v>
      </c>
      <c r="C44" s="2" t="s">
        <v>19</v>
      </c>
      <c r="D44" s="2" t="s">
        <v>1152</v>
      </c>
      <c r="E44" s="3" t="s">
        <v>22</v>
      </c>
      <c r="F44" s="3" t="s">
        <v>23</v>
      </c>
      <c r="G44" s="4">
        <v>3115</v>
      </c>
      <c r="H44" s="4">
        <v>672</v>
      </c>
      <c r="I44" s="6">
        <v>3642</v>
      </c>
      <c r="J44" s="6">
        <v>7317</v>
      </c>
      <c r="K44" s="6">
        <v>0</v>
      </c>
      <c r="L44" s="6">
        <v>0</v>
      </c>
      <c r="M44" s="6">
        <v>10959</v>
      </c>
      <c r="N44" s="6">
        <v>7136</v>
      </c>
      <c r="O44" s="77">
        <v>2443</v>
      </c>
      <c r="P44" s="6">
        <v>16260</v>
      </c>
      <c r="Q44" s="6">
        <v>0</v>
      </c>
      <c r="R44" s="6">
        <v>8000</v>
      </c>
      <c r="S44" s="6">
        <v>0</v>
      </c>
      <c r="T44" s="6">
        <v>24260</v>
      </c>
      <c r="U44" s="6">
        <v>0</v>
      </c>
      <c r="V44" s="6">
        <v>35219</v>
      </c>
      <c r="W44" s="6">
        <v>7136</v>
      </c>
      <c r="X44" s="6">
        <v>42355</v>
      </c>
      <c r="Y44" s="6">
        <v>2181</v>
      </c>
      <c r="Z44" s="6">
        <v>0</v>
      </c>
      <c r="AA44" s="6">
        <v>44536</v>
      </c>
      <c r="AB44" s="142">
        <f>Table6[[#This Row],[Total Operating Income]]/Table6[[#This Row],[Total Population Served]]</f>
        <v>14.297271268057784</v>
      </c>
    </row>
    <row r="45" spans="1:28" ht="13.5" thickBot="1" x14ac:dyDescent="0.25">
      <c r="A45" s="2" t="s">
        <v>508</v>
      </c>
      <c r="B45" s="1" t="s">
        <v>507</v>
      </c>
      <c r="C45" s="2" t="s">
        <v>19</v>
      </c>
      <c r="D45" s="2" t="s">
        <v>1177</v>
      </c>
      <c r="E45" s="3" t="s">
        <v>67</v>
      </c>
      <c r="F45" s="3" t="s">
        <v>68</v>
      </c>
      <c r="G45" s="4">
        <v>2440</v>
      </c>
      <c r="H45" s="4">
        <v>478</v>
      </c>
      <c r="I45" s="6">
        <v>11616</v>
      </c>
      <c r="J45" s="6">
        <v>6800</v>
      </c>
      <c r="K45" s="6">
        <v>0</v>
      </c>
      <c r="L45" s="6">
        <v>45086</v>
      </c>
      <c r="M45" s="6">
        <v>63502</v>
      </c>
      <c r="N45" s="6">
        <v>5000</v>
      </c>
      <c r="O45" s="4">
        <v>1962</v>
      </c>
      <c r="P45" s="78">
        <v>0</v>
      </c>
      <c r="Q45" s="78">
        <v>0</v>
      </c>
      <c r="R45" s="2">
        <v>0</v>
      </c>
      <c r="S45" s="2">
        <v>0</v>
      </c>
      <c r="T45" s="78">
        <v>0</v>
      </c>
      <c r="U45" s="2">
        <v>0</v>
      </c>
      <c r="V45" s="6">
        <v>63502</v>
      </c>
      <c r="W45" s="6">
        <v>5000</v>
      </c>
      <c r="X45" s="6">
        <v>68502</v>
      </c>
      <c r="Y45" s="6">
        <v>1693</v>
      </c>
      <c r="Z45" s="6">
        <v>0</v>
      </c>
      <c r="AA45" s="6">
        <v>70195</v>
      </c>
      <c r="AB45" s="142">
        <f>Table6[[#This Row],[Total Operating Income]]/Table6[[#This Row],[Total Population Served]]</f>
        <v>28.768442622950818</v>
      </c>
    </row>
    <row r="46" spans="1:28" ht="13.5" thickBot="1" x14ac:dyDescent="0.25">
      <c r="A46" s="2" t="s">
        <v>516</v>
      </c>
      <c r="B46" s="1" t="s">
        <v>515</v>
      </c>
      <c r="C46" s="2" t="s">
        <v>19</v>
      </c>
      <c r="D46" s="2" t="s">
        <v>1164</v>
      </c>
      <c r="E46" s="3" t="s">
        <v>71</v>
      </c>
      <c r="F46" s="3" t="s">
        <v>72</v>
      </c>
      <c r="G46" s="4">
        <v>3433</v>
      </c>
      <c r="H46" s="4">
        <v>2696</v>
      </c>
      <c r="I46" s="6">
        <v>9581</v>
      </c>
      <c r="J46" s="6">
        <v>62656</v>
      </c>
      <c r="K46" s="78">
        <v>0</v>
      </c>
      <c r="L46" s="6">
        <v>0</v>
      </c>
      <c r="M46" s="6">
        <v>72237</v>
      </c>
      <c r="N46" s="6">
        <v>5246</v>
      </c>
      <c r="O46" s="77">
        <v>737</v>
      </c>
      <c r="P46" s="6">
        <v>2619</v>
      </c>
      <c r="Q46" s="2">
        <v>0</v>
      </c>
      <c r="R46" s="2">
        <v>0</v>
      </c>
      <c r="S46" s="6">
        <v>0</v>
      </c>
      <c r="T46" s="6">
        <v>2619</v>
      </c>
      <c r="U46" s="6">
        <v>1000</v>
      </c>
      <c r="V46" s="6">
        <v>74856</v>
      </c>
      <c r="W46" s="6">
        <v>6246</v>
      </c>
      <c r="X46" s="6">
        <v>81102</v>
      </c>
      <c r="Y46" s="6">
        <v>2245</v>
      </c>
      <c r="Z46" s="6">
        <v>0</v>
      </c>
      <c r="AA46" s="6">
        <v>83347</v>
      </c>
      <c r="AB46" s="142">
        <f>Table6[[#This Row],[Total Operating Income]]/Table6[[#This Row],[Total Population Served]]</f>
        <v>24.278182347800758</v>
      </c>
    </row>
    <row r="47" spans="1:28" ht="13.5" thickBot="1" x14ac:dyDescent="0.25">
      <c r="A47" s="2" t="s">
        <v>536</v>
      </c>
      <c r="B47" s="1" t="s">
        <v>535</v>
      </c>
      <c r="C47" s="2" t="s">
        <v>19</v>
      </c>
      <c r="D47" s="2" t="s">
        <v>1155</v>
      </c>
      <c r="E47" s="3" t="s">
        <v>67</v>
      </c>
      <c r="F47" s="3" t="s">
        <v>68</v>
      </c>
      <c r="G47" s="4">
        <v>1848</v>
      </c>
      <c r="H47" s="4">
        <v>1848</v>
      </c>
      <c r="I47" s="6">
        <v>5711</v>
      </c>
      <c r="J47" s="6">
        <v>63787</v>
      </c>
      <c r="K47" s="2">
        <v>0</v>
      </c>
      <c r="L47" s="2">
        <v>0</v>
      </c>
      <c r="M47" s="6">
        <v>69498</v>
      </c>
      <c r="N47" s="6">
        <v>1558</v>
      </c>
      <c r="O47" s="78">
        <v>0</v>
      </c>
      <c r="P47" s="78">
        <v>0</v>
      </c>
      <c r="Q47" s="2">
        <v>0</v>
      </c>
      <c r="R47" s="2">
        <v>0</v>
      </c>
      <c r="S47" s="2">
        <v>0</v>
      </c>
      <c r="T47" s="78">
        <v>0</v>
      </c>
      <c r="U47" s="2">
        <v>0</v>
      </c>
      <c r="V47" s="6">
        <v>69498</v>
      </c>
      <c r="W47" s="6">
        <v>1558</v>
      </c>
      <c r="X47" s="6">
        <v>71056</v>
      </c>
      <c r="Y47" s="6">
        <v>609</v>
      </c>
      <c r="Z47" s="6">
        <v>0</v>
      </c>
      <c r="AA47" s="6">
        <v>71665</v>
      </c>
      <c r="AB47" s="142">
        <f>Table6[[#This Row],[Total Operating Income]]/Table6[[#This Row],[Total Population Served]]</f>
        <v>38.779761904761905</v>
      </c>
    </row>
    <row r="48" spans="1:28" ht="13.5" thickBot="1" x14ac:dyDescent="0.25">
      <c r="A48" s="2" t="s">
        <v>552</v>
      </c>
      <c r="B48" s="1" t="s">
        <v>551</v>
      </c>
      <c r="C48" s="2" t="s">
        <v>19</v>
      </c>
      <c r="D48" s="2" t="s">
        <v>1140</v>
      </c>
      <c r="E48" s="3" t="s">
        <v>27</v>
      </c>
      <c r="F48" s="3" t="s">
        <v>28</v>
      </c>
      <c r="G48" s="4">
        <v>3645</v>
      </c>
      <c r="H48" s="4">
        <v>3645</v>
      </c>
      <c r="I48" s="6">
        <v>10929</v>
      </c>
      <c r="J48" s="6">
        <v>96367</v>
      </c>
      <c r="K48" s="78">
        <v>0</v>
      </c>
      <c r="L48" s="6">
        <v>0</v>
      </c>
      <c r="M48" s="6">
        <v>107296</v>
      </c>
      <c r="N48" s="6">
        <v>108478</v>
      </c>
      <c r="O48" s="78">
        <v>0</v>
      </c>
      <c r="P48" s="78">
        <v>0</v>
      </c>
      <c r="Q48" s="78">
        <v>0</v>
      </c>
      <c r="R48" s="78">
        <v>0</v>
      </c>
      <c r="S48" s="78">
        <v>0</v>
      </c>
      <c r="T48" s="78">
        <v>0</v>
      </c>
      <c r="U48" s="78">
        <v>0</v>
      </c>
      <c r="V48" s="6">
        <v>107296</v>
      </c>
      <c r="W48" s="6">
        <v>108478</v>
      </c>
      <c r="X48" s="6">
        <v>215774</v>
      </c>
      <c r="Y48" s="6">
        <v>5525</v>
      </c>
      <c r="Z48" s="6">
        <v>0</v>
      </c>
      <c r="AA48" s="6">
        <v>221299</v>
      </c>
      <c r="AB48" s="142">
        <f>Table6[[#This Row],[Total Operating Income]]/Table6[[#This Row],[Total Population Served]]</f>
        <v>60.713031550068585</v>
      </c>
    </row>
    <row r="49" spans="1:28" ht="13.5" thickBot="1" x14ac:dyDescent="0.25">
      <c r="A49" s="2" t="s">
        <v>566</v>
      </c>
      <c r="B49" s="1" t="s">
        <v>565</v>
      </c>
      <c r="C49" s="2" t="s">
        <v>19</v>
      </c>
      <c r="D49" s="2" t="s">
        <v>1177</v>
      </c>
      <c r="E49" s="3" t="s">
        <v>117</v>
      </c>
      <c r="F49" s="3" t="s">
        <v>118</v>
      </c>
      <c r="G49" s="4">
        <v>3679</v>
      </c>
      <c r="H49" s="4">
        <v>2579</v>
      </c>
      <c r="I49" s="6">
        <v>14364</v>
      </c>
      <c r="J49" s="6">
        <v>35671</v>
      </c>
      <c r="K49" s="78">
        <v>0</v>
      </c>
      <c r="L49" s="78">
        <v>0</v>
      </c>
      <c r="M49" s="6">
        <v>50035</v>
      </c>
      <c r="N49" s="6">
        <v>3023</v>
      </c>
      <c r="O49" s="4">
        <v>1100</v>
      </c>
      <c r="P49" s="6">
        <v>6127</v>
      </c>
      <c r="Q49" s="2">
        <v>0</v>
      </c>
      <c r="R49" s="2">
        <v>0</v>
      </c>
      <c r="S49" s="2">
        <v>0</v>
      </c>
      <c r="T49" s="6">
        <v>6127</v>
      </c>
      <c r="U49" s="2">
        <v>0</v>
      </c>
      <c r="V49" s="6">
        <v>56162</v>
      </c>
      <c r="W49" s="6">
        <v>3023</v>
      </c>
      <c r="X49" s="6">
        <v>59185</v>
      </c>
      <c r="Y49" s="6">
        <v>2423</v>
      </c>
      <c r="Z49" s="6">
        <v>0</v>
      </c>
      <c r="AA49" s="6">
        <v>61608</v>
      </c>
      <c r="AB49" s="142">
        <f>Table6[[#This Row],[Total Operating Income]]/Table6[[#This Row],[Total Population Served]]</f>
        <v>16.745854851861917</v>
      </c>
    </row>
    <row r="50" spans="1:28" ht="13.5" thickBot="1" x14ac:dyDescent="0.25">
      <c r="A50" s="2" t="s">
        <v>570</v>
      </c>
      <c r="B50" s="1" t="s">
        <v>569</v>
      </c>
      <c r="C50" s="2" t="s">
        <v>19</v>
      </c>
      <c r="D50" s="2" t="s">
        <v>1171</v>
      </c>
      <c r="E50" s="3" t="s">
        <v>27</v>
      </c>
      <c r="F50" s="3" t="s">
        <v>28</v>
      </c>
      <c r="G50" s="4">
        <v>1830</v>
      </c>
      <c r="H50" s="4">
        <v>1830</v>
      </c>
      <c r="I50" s="6">
        <v>2066</v>
      </c>
      <c r="J50" s="78">
        <v>0</v>
      </c>
      <c r="K50" s="6">
        <v>14874</v>
      </c>
      <c r="L50" s="78">
        <v>0</v>
      </c>
      <c r="M50" s="6">
        <v>16940</v>
      </c>
      <c r="N50" s="78">
        <v>0</v>
      </c>
      <c r="O50" s="2">
        <v>0</v>
      </c>
      <c r="P50" s="2">
        <v>0</v>
      </c>
      <c r="Q50" s="2">
        <v>0</v>
      </c>
      <c r="R50" s="2">
        <v>0</v>
      </c>
      <c r="S50" s="2">
        <v>0</v>
      </c>
      <c r="T50" s="2">
        <v>0</v>
      </c>
      <c r="U50" s="2">
        <v>0</v>
      </c>
      <c r="V50" s="6">
        <v>16940</v>
      </c>
      <c r="W50" s="78">
        <v>0</v>
      </c>
      <c r="X50" s="6">
        <v>16940</v>
      </c>
      <c r="Y50" s="6">
        <v>1197</v>
      </c>
      <c r="Z50" s="6">
        <v>0</v>
      </c>
      <c r="AA50" s="6">
        <v>18137</v>
      </c>
      <c r="AB50" s="142">
        <f>Table6[[#This Row],[Total Operating Income]]/Table6[[#This Row],[Total Population Served]]</f>
        <v>9.9109289617486347</v>
      </c>
    </row>
    <row r="51" spans="1:28" ht="13.5" thickBot="1" x14ac:dyDescent="0.25">
      <c r="A51" s="2" t="s">
        <v>592</v>
      </c>
      <c r="B51" s="1" t="s">
        <v>591</v>
      </c>
      <c r="C51" s="2" t="s">
        <v>19</v>
      </c>
      <c r="D51" s="2" t="s">
        <v>1228</v>
      </c>
      <c r="E51" s="3" t="s">
        <v>593</v>
      </c>
      <c r="F51" s="3" t="s">
        <v>594</v>
      </c>
      <c r="G51" s="4">
        <v>1939</v>
      </c>
      <c r="H51" s="4">
        <v>1515</v>
      </c>
      <c r="I51" s="6">
        <v>11625</v>
      </c>
      <c r="J51" s="6">
        <v>173945</v>
      </c>
      <c r="K51" s="2">
        <v>0</v>
      </c>
      <c r="L51" s="2">
        <v>0</v>
      </c>
      <c r="M51" s="6">
        <v>185570</v>
      </c>
      <c r="N51" s="6">
        <v>5325</v>
      </c>
      <c r="O51" s="4">
        <v>424</v>
      </c>
      <c r="P51" s="6">
        <v>848</v>
      </c>
      <c r="Q51" s="78">
        <v>0</v>
      </c>
      <c r="R51" s="2">
        <v>0</v>
      </c>
      <c r="S51" s="2">
        <v>0</v>
      </c>
      <c r="T51" s="6">
        <v>848</v>
      </c>
      <c r="U51" s="2">
        <v>0</v>
      </c>
      <c r="V51" s="6">
        <v>186418</v>
      </c>
      <c r="W51" s="6">
        <v>5325</v>
      </c>
      <c r="X51" s="6">
        <v>191743</v>
      </c>
      <c r="Y51" s="6">
        <v>1268</v>
      </c>
      <c r="Z51" s="6">
        <v>1963</v>
      </c>
      <c r="AA51" s="6">
        <v>194974</v>
      </c>
      <c r="AB51" s="142">
        <f>Table6[[#This Row],[Total Operating Income]]/Table6[[#This Row],[Total Population Served]]</f>
        <v>100.55389375966993</v>
      </c>
    </row>
    <row r="52" spans="1:28" ht="13.5" thickBot="1" x14ac:dyDescent="0.25">
      <c r="A52" s="2" t="s">
        <v>612</v>
      </c>
      <c r="B52" s="1" t="s">
        <v>611</v>
      </c>
      <c r="C52" s="2" t="s">
        <v>19</v>
      </c>
      <c r="D52" s="2" t="s">
        <v>1150</v>
      </c>
      <c r="E52" s="3" t="s">
        <v>456</v>
      </c>
      <c r="F52" s="3" t="s">
        <v>457</v>
      </c>
      <c r="G52" s="4">
        <v>5033</v>
      </c>
      <c r="H52" s="4">
        <v>1424</v>
      </c>
      <c r="I52" s="6">
        <v>4597</v>
      </c>
      <c r="J52" s="6">
        <v>88500</v>
      </c>
      <c r="K52" s="2">
        <v>0</v>
      </c>
      <c r="L52" s="78">
        <v>0</v>
      </c>
      <c r="M52" s="6">
        <v>93097</v>
      </c>
      <c r="N52" s="6">
        <v>7470</v>
      </c>
      <c r="O52" s="4">
        <v>3609</v>
      </c>
      <c r="P52" s="6">
        <v>12391</v>
      </c>
      <c r="Q52" s="2">
        <v>0</v>
      </c>
      <c r="R52" s="2">
        <v>0</v>
      </c>
      <c r="S52" s="2">
        <v>0</v>
      </c>
      <c r="T52" s="6">
        <v>12391</v>
      </c>
      <c r="U52" s="2">
        <v>0</v>
      </c>
      <c r="V52" s="6">
        <v>105488</v>
      </c>
      <c r="W52" s="6">
        <v>7470</v>
      </c>
      <c r="X52" s="6">
        <v>112958</v>
      </c>
      <c r="Y52" s="6">
        <v>3291</v>
      </c>
      <c r="Z52" s="6">
        <v>0</v>
      </c>
      <c r="AA52" s="6">
        <v>116249</v>
      </c>
      <c r="AB52" s="142">
        <f>Table6[[#This Row],[Total Operating Income]]/Table6[[#This Row],[Total Population Served]]</f>
        <v>23.097357440890125</v>
      </c>
    </row>
    <row r="53" spans="1:28" ht="13.5" thickBot="1" x14ac:dyDescent="0.25">
      <c r="A53" s="2" t="s">
        <v>632</v>
      </c>
      <c r="B53" s="1" t="s">
        <v>631</v>
      </c>
      <c r="C53" s="2" t="s">
        <v>19</v>
      </c>
      <c r="D53" s="2" t="s">
        <v>1146</v>
      </c>
      <c r="E53" s="3" t="s">
        <v>67</v>
      </c>
      <c r="F53" s="3" t="s">
        <v>68</v>
      </c>
      <c r="G53" s="4">
        <v>3739</v>
      </c>
      <c r="H53" s="4">
        <v>3739</v>
      </c>
      <c r="I53" s="6">
        <v>3005</v>
      </c>
      <c r="J53" s="6">
        <v>58431</v>
      </c>
      <c r="K53" s="6">
        <v>0</v>
      </c>
      <c r="L53" s="6">
        <v>15686</v>
      </c>
      <c r="M53" s="6">
        <v>77122</v>
      </c>
      <c r="N53" s="6">
        <v>4695</v>
      </c>
      <c r="O53" s="2">
        <v>0</v>
      </c>
      <c r="P53" s="6">
        <v>0</v>
      </c>
      <c r="Q53" s="6">
        <v>0</v>
      </c>
      <c r="R53" s="6">
        <v>0</v>
      </c>
      <c r="S53" s="6">
        <v>0</v>
      </c>
      <c r="T53" s="6">
        <v>0</v>
      </c>
      <c r="U53" s="6">
        <v>0</v>
      </c>
      <c r="V53" s="6">
        <v>77122</v>
      </c>
      <c r="W53" s="6">
        <v>4695</v>
      </c>
      <c r="X53" s="6">
        <v>81817</v>
      </c>
      <c r="Y53" s="6">
        <v>0</v>
      </c>
      <c r="Z53" s="6">
        <v>0</v>
      </c>
      <c r="AA53" s="6">
        <v>81817</v>
      </c>
      <c r="AB53" s="142">
        <f>Table6[[#This Row],[Total Operating Income]]/Table6[[#This Row],[Total Population Served]]</f>
        <v>21.882054025140413</v>
      </c>
    </row>
    <row r="54" spans="1:28" ht="13.5" thickBot="1" x14ac:dyDescent="0.25">
      <c r="A54" s="2" t="s">
        <v>642</v>
      </c>
      <c r="B54" s="1" t="s">
        <v>641</v>
      </c>
      <c r="C54" s="2" t="s">
        <v>19</v>
      </c>
      <c r="D54" s="2" t="s">
        <v>1213</v>
      </c>
      <c r="E54" s="3" t="s">
        <v>27</v>
      </c>
      <c r="F54" s="3" t="s">
        <v>28</v>
      </c>
      <c r="G54" s="4">
        <v>1508</v>
      </c>
      <c r="H54" s="4">
        <v>1508</v>
      </c>
      <c r="I54" s="6">
        <v>4337</v>
      </c>
      <c r="J54" s="2">
        <v>0</v>
      </c>
      <c r="K54" s="6">
        <v>21780</v>
      </c>
      <c r="L54" s="6">
        <v>6000</v>
      </c>
      <c r="M54" s="6">
        <v>32117</v>
      </c>
      <c r="N54" s="6">
        <v>378</v>
      </c>
      <c r="O54" s="2">
        <v>0</v>
      </c>
      <c r="P54" s="6">
        <v>0</v>
      </c>
      <c r="Q54" s="6">
        <v>0</v>
      </c>
      <c r="R54" s="6">
        <v>0</v>
      </c>
      <c r="S54" s="6">
        <v>0</v>
      </c>
      <c r="T54" s="6">
        <v>0</v>
      </c>
      <c r="U54" s="6">
        <v>0</v>
      </c>
      <c r="V54" s="6">
        <v>32117</v>
      </c>
      <c r="W54" s="6">
        <v>378</v>
      </c>
      <c r="X54" s="6">
        <v>32495</v>
      </c>
      <c r="Y54" s="6">
        <v>1046</v>
      </c>
      <c r="Z54" s="6">
        <v>0</v>
      </c>
      <c r="AA54" s="6">
        <v>33541</v>
      </c>
      <c r="AB54" s="142">
        <f>Table6[[#This Row],[Total Operating Income]]/Table6[[#This Row],[Total Population Served]]</f>
        <v>22.242042440318304</v>
      </c>
    </row>
    <row r="55" spans="1:28" ht="13.5" thickBot="1" x14ac:dyDescent="0.25">
      <c r="A55" s="2" t="s">
        <v>644</v>
      </c>
      <c r="B55" s="1" t="s">
        <v>643</v>
      </c>
      <c r="C55" s="2" t="s">
        <v>19</v>
      </c>
      <c r="D55" s="2" t="s">
        <v>1234</v>
      </c>
      <c r="E55" s="3" t="s">
        <v>67</v>
      </c>
      <c r="F55" s="3" t="s">
        <v>68</v>
      </c>
      <c r="G55" s="4">
        <v>3731</v>
      </c>
      <c r="H55" s="4">
        <v>3731</v>
      </c>
      <c r="I55" s="6">
        <v>36878</v>
      </c>
      <c r="J55" s="78">
        <v>0</v>
      </c>
      <c r="K55" s="6">
        <v>9446</v>
      </c>
      <c r="L55" s="6">
        <v>2440</v>
      </c>
      <c r="M55" s="6">
        <v>48764</v>
      </c>
      <c r="N55" s="6">
        <v>7735</v>
      </c>
      <c r="O55" s="78">
        <v>0</v>
      </c>
      <c r="P55" s="78">
        <v>0</v>
      </c>
      <c r="Q55" s="78">
        <v>0</v>
      </c>
      <c r="R55" s="2">
        <v>0</v>
      </c>
      <c r="S55" s="2">
        <v>0</v>
      </c>
      <c r="T55" s="78">
        <v>0</v>
      </c>
      <c r="U55" s="78">
        <v>0</v>
      </c>
      <c r="V55" s="6">
        <v>48764</v>
      </c>
      <c r="W55" s="6">
        <v>7735</v>
      </c>
      <c r="X55" s="6">
        <v>56499</v>
      </c>
      <c r="Y55" s="6">
        <v>2440</v>
      </c>
      <c r="Z55" s="6">
        <v>1550</v>
      </c>
      <c r="AA55" s="6">
        <v>60489</v>
      </c>
      <c r="AB55" s="142">
        <f>Table6[[#This Row],[Total Operating Income]]/Table6[[#This Row],[Total Population Served]]</f>
        <v>16.21254355400697</v>
      </c>
    </row>
    <row r="56" spans="1:28" ht="13.5" thickBot="1" x14ac:dyDescent="0.25">
      <c r="A56" s="2" t="s">
        <v>650</v>
      </c>
      <c r="B56" s="1" t="s">
        <v>649</v>
      </c>
      <c r="C56" s="2" t="s">
        <v>19</v>
      </c>
      <c r="D56" s="2" t="s">
        <v>1178</v>
      </c>
      <c r="E56" s="3" t="s">
        <v>456</v>
      </c>
      <c r="F56" s="3" t="s">
        <v>457</v>
      </c>
      <c r="G56" s="4">
        <v>3674</v>
      </c>
      <c r="H56" s="4">
        <v>2778</v>
      </c>
      <c r="I56" s="6">
        <v>13349</v>
      </c>
      <c r="J56" s="6">
        <v>36364</v>
      </c>
      <c r="K56" s="6">
        <v>0</v>
      </c>
      <c r="L56" s="6">
        <v>0</v>
      </c>
      <c r="M56" s="6">
        <v>49713</v>
      </c>
      <c r="N56" s="6">
        <v>7914</v>
      </c>
      <c r="O56" s="4">
        <v>896</v>
      </c>
      <c r="P56" s="6">
        <v>4306</v>
      </c>
      <c r="Q56" s="6">
        <v>11729</v>
      </c>
      <c r="R56" s="6">
        <v>0</v>
      </c>
      <c r="S56" s="6">
        <v>0</v>
      </c>
      <c r="T56" s="6">
        <v>16035</v>
      </c>
      <c r="U56" s="6">
        <v>0</v>
      </c>
      <c r="V56" s="6">
        <v>65748</v>
      </c>
      <c r="W56" s="6">
        <v>7914</v>
      </c>
      <c r="X56" s="6">
        <v>73662</v>
      </c>
      <c r="Y56" s="6">
        <v>4343</v>
      </c>
      <c r="Z56" s="6">
        <v>0</v>
      </c>
      <c r="AA56" s="6">
        <v>78005</v>
      </c>
      <c r="AB56" s="142">
        <f>Table6[[#This Row],[Total Operating Income]]/Table6[[#This Row],[Total Population Served]]</f>
        <v>21.231627653783342</v>
      </c>
    </row>
    <row r="57" spans="1:28" ht="13.5" thickBot="1" x14ac:dyDescent="0.25">
      <c r="A57" s="2" t="s">
        <v>652</v>
      </c>
      <c r="B57" s="1" t="s">
        <v>651</v>
      </c>
      <c r="C57" s="2" t="s">
        <v>19</v>
      </c>
      <c r="D57" s="2" t="s">
        <v>1213</v>
      </c>
      <c r="E57" s="3" t="s">
        <v>67</v>
      </c>
      <c r="F57" s="3" t="s">
        <v>68</v>
      </c>
      <c r="G57" s="4">
        <v>882</v>
      </c>
      <c r="H57" s="4">
        <v>882</v>
      </c>
      <c r="I57" s="6">
        <v>2340</v>
      </c>
      <c r="J57" s="6">
        <v>0</v>
      </c>
      <c r="K57" s="6">
        <v>28428</v>
      </c>
      <c r="L57" s="6">
        <v>0</v>
      </c>
      <c r="M57" s="6">
        <v>30768</v>
      </c>
      <c r="N57" s="6">
        <v>2640</v>
      </c>
      <c r="O57" s="78">
        <v>0</v>
      </c>
      <c r="P57" s="78">
        <v>0</v>
      </c>
      <c r="Q57" s="2">
        <v>0</v>
      </c>
      <c r="R57" s="2">
        <v>0</v>
      </c>
      <c r="S57" s="78">
        <v>0</v>
      </c>
      <c r="T57" s="78">
        <v>0</v>
      </c>
      <c r="U57" s="2">
        <v>0</v>
      </c>
      <c r="V57" s="6">
        <v>30768</v>
      </c>
      <c r="W57" s="6">
        <v>2640</v>
      </c>
      <c r="X57" s="6">
        <v>33408</v>
      </c>
      <c r="Y57" s="6">
        <v>577</v>
      </c>
      <c r="Z57" s="6">
        <v>0</v>
      </c>
      <c r="AA57" s="6">
        <v>33985</v>
      </c>
      <c r="AB57" s="142">
        <f>Table6[[#This Row],[Total Operating Income]]/Table6[[#This Row],[Total Population Served]]</f>
        <v>38.531746031746032</v>
      </c>
    </row>
    <row r="58" spans="1:28" ht="13.5" thickBot="1" x14ac:dyDescent="0.25">
      <c r="A58" s="2" t="s">
        <v>672</v>
      </c>
      <c r="B58" s="1" t="s">
        <v>671</v>
      </c>
      <c r="C58" s="2" t="s">
        <v>19</v>
      </c>
      <c r="D58" s="2" t="s">
        <v>1125</v>
      </c>
      <c r="E58" s="3" t="s">
        <v>71</v>
      </c>
      <c r="F58" s="3" t="s">
        <v>72</v>
      </c>
      <c r="G58" s="4">
        <v>2419</v>
      </c>
      <c r="H58" s="4">
        <v>2419</v>
      </c>
      <c r="I58" s="6">
        <v>4899</v>
      </c>
      <c r="J58" s="6">
        <v>57543</v>
      </c>
      <c r="K58" s="6">
        <v>0</v>
      </c>
      <c r="L58" s="6">
        <v>129</v>
      </c>
      <c r="M58" s="6">
        <v>62571</v>
      </c>
      <c r="N58" s="78">
        <v>0</v>
      </c>
      <c r="O58" s="2">
        <v>0</v>
      </c>
      <c r="P58" s="6">
        <v>0</v>
      </c>
      <c r="Q58" s="6">
        <v>0</v>
      </c>
      <c r="R58" s="6">
        <v>0</v>
      </c>
      <c r="S58" s="6">
        <v>0</v>
      </c>
      <c r="T58" s="6">
        <v>0</v>
      </c>
      <c r="U58" s="6">
        <v>0</v>
      </c>
      <c r="V58" s="6">
        <v>62571</v>
      </c>
      <c r="W58" s="6">
        <v>0</v>
      </c>
      <c r="X58" s="6">
        <v>62571</v>
      </c>
      <c r="Y58" s="6">
        <v>1582</v>
      </c>
      <c r="Z58" s="6">
        <v>0</v>
      </c>
      <c r="AA58" s="6">
        <v>64153</v>
      </c>
      <c r="AB58" s="142">
        <f>Table6[[#This Row],[Total Operating Income]]/Table6[[#This Row],[Total Population Served]]</f>
        <v>26.520463001240181</v>
      </c>
    </row>
    <row r="59" spans="1:28" ht="13.5" thickBot="1" x14ac:dyDescent="0.25">
      <c r="A59" s="2" t="s">
        <v>698</v>
      </c>
      <c r="B59" s="1" t="s">
        <v>697</v>
      </c>
      <c r="C59" s="2" t="s">
        <v>19</v>
      </c>
      <c r="D59" s="2" t="s">
        <v>1149</v>
      </c>
      <c r="E59" s="3" t="s">
        <v>264</v>
      </c>
      <c r="F59" s="3" t="s">
        <v>265</v>
      </c>
      <c r="G59" s="4">
        <v>3775</v>
      </c>
      <c r="H59" s="4">
        <v>1525</v>
      </c>
      <c r="I59" s="6">
        <v>8099</v>
      </c>
      <c r="J59" s="6">
        <v>36990</v>
      </c>
      <c r="K59" s="6">
        <v>1266</v>
      </c>
      <c r="L59" s="6">
        <v>72150</v>
      </c>
      <c r="M59" s="6">
        <v>118505</v>
      </c>
      <c r="N59" s="6">
        <v>23996</v>
      </c>
      <c r="O59" s="77">
        <v>2250</v>
      </c>
      <c r="P59" s="6">
        <v>0</v>
      </c>
      <c r="Q59" s="6">
        <v>47069</v>
      </c>
      <c r="R59" s="6">
        <v>1122</v>
      </c>
      <c r="S59" s="2">
        <v>0</v>
      </c>
      <c r="T59" s="6">
        <v>48191</v>
      </c>
      <c r="U59" s="2">
        <v>0</v>
      </c>
      <c r="V59" s="6">
        <v>166696</v>
      </c>
      <c r="W59" s="6">
        <v>23996</v>
      </c>
      <c r="X59" s="6">
        <v>190692</v>
      </c>
      <c r="Y59" s="6">
        <v>3914</v>
      </c>
      <c r="Z59" s="6">
        <v>0</v>
      </c>
      <c r="AA59" s="6">
        <v>194606</v>
      </c>
      <c r="AB59" s="142">
        <f>Table6[[#This Row],[Total Operating Income]]/Table6[[#This Row],[Total Population Served]]</f>
        <v>51.551258278145696</v>
      </c>
    </row>
    <row r="60" spans="1:28" ht="13.5" thickBot="1" x14ac:dyDescent="0.25">
      <c r="A60" s="2" t="s">
        <v>704</v>
      </c>
      <c r="B60" s="1" t="s">
        <v>703</v>
      </c>
      <c r="C60" s="2" t="s">
        <v>19</v>
      </c>
      <c r="D60" s="2" t="s">
        <v>1138</v>
      </c>
      <c r="E60" s="3" t="s">
        <v>67</v>
      </c>
      <c r="F60" s="3" t="s">
        <v>68</v>
      </c>
      <c r="G60" s="4">
        <v>3138</v>
      </c>
      <c r="H60" s="4">
        <v>2173</v>
      </c>
      <c r="I60" s="6">
        <v>17055</v>
      </c>
      <c r="J60" s="6">
        <v>50761</v>
      </c>
      <c r="K60" s="6">
        <v>0</v>
      </c>
      <c r="L60" s="6">
        <v>0</v>
      </c>
      <c r="M60" s="6">
        <v>67816</v>
      </c>
      <c r="N60" s="78">
        <v>0</v>
      </c>
      <c r="O60" s="4">
        <v>965</v>
      </c>
      <c r="P60" s="6">
        <v>7463</v>
      </c>
      <c r="Q60" s="6">
        <v>0</v>
      </c>
      <c r="R60" s="6">
        <v>0</v>
      </c>
      <c r="S60" s="6">
        <v>0</v>
      </c>
      <c r="T60" s="6">
        <v>7463</v>
      </c>
      <c r="U60" s="2">
        <v>0</v>
      </c>
      <c r="V60" s="6">
        <v>75279</v>
      </c>
      <c r="W60" s="78">
        <v>0</v>
      </c>
      <c r="X60" s="6">
        <v>75279</v>
      </c>
      <c r="Y60" s="6">
        <v>2052</v>
      </c>
      <c r="Z60" s="6">
        <v>0</v>
      </c>
      <c r="AA60" s="6">
        <v>77331</v>
      </c>
      <c r="AB60" s="142">
        <f>Table6[[#This Row],[Total Operating Income]]/Table6[[#This Row],[Total Population Served]]</f>
        <v>24.643403441682601</v>
      </c>
    </row>
    <row r="61" spans="1:28" ht="13.5" thickBot="1" x14ac:dyDescent="0.25">
      <c r="A61" s="2" t="s">
        <v>714</v>
      </c>
      <c r="B61" s="1" t="s">
        <v>713</v>
      </c>
      <c r="C61" s="2" t="s">
        <v>19</v>
      </c>
      <c r="D61" s="2" t="s">
        <v>1150</v>
      </c>
      <c r="E61" s="3" t="s">
        <v>264</v>
      </c>
      <c r="F61" s="3" t="s">
        <v>265</v>
      </c>
      <c r="G61" s="4">
        <v>3428</v>
      </c>
      <c r="H61" s="4">
        <v>858</v>
      </c>
      <c r="I61" s="6">
        <v>2721</v>
      </c>
      <c r="J61" s="6">
        <v>27182</v>
      </c>
      <c r="K61" s="6">
        <v>0</v>
      </c>
      <c r="L61" s="6">
        <v>3722</v>
      </c>
      <c r="M61" s="6">
        <v>33625</v>
      </c>
      <c r="N61" s="6">
        <v>30859</v>
      </c>
      <c r="O61" s="77">
        <v>2570</v>
      </c>
      <c r="P61" s="6">
        <v>8154</v>
      </c>
      <c r="Q61" s="6">
        <v>13006</v>
      </c>
      <c r="R61" s="6">
        <v>0</v>
      </c>
      <c r="S61" s="6">
        <v>7495</v>
      </c>
      <c r="T61" s="6">
        <v>28655</v>
      </c>
      <c r="U61" s="6">
        <v>2663</v>
      </c>
      <c r="V61" s="6">
        <v>62280</v>
      </c>
      <c r="W61" s="6">
        <v>33522</v>
      </c>
      <c r="X61" s="6">
        <v>95802</v>
      </c>
      <c r="Y61" s="6">
        <v>2242</v>
      </c>
      <c r="Z61" s="6">
        <v>0</v>
      </c>
      <c r="AA61" s="6">
        <v>98044</v>
      </c>
      <c r="AB61" s="142">
        <f>Table6[[#This Row],[Total Operating Income]]/Table6[[#This Row],[Total Population Served]]</f>
        <v>28.600933488914819</v>
      </c>
    </row>
    <row r="62" spans="1:28" ht="13.5" thickBot="1" x14ac:dyDescent="0.25">
      <c r="A62" s="2" t="s">
        <v>716</v>
      </c>
      <c r="B62" s="1" t="s">
        <v>715</v>
      </c>
      <c r="C62" s="2" t="s">
        <v>19</v>
      </c>
      <c r="D62" s="2" t="s">
        <v>1157</v>
      </c>
      <c r="E62" s="3" t="s">
        <v>67</v>
      </c>
      <c r="F62" s="3" t="s">
        <v>68</v>
      </c>
      <c r="G62" s="4">
        <v>1932</v>
      </c>
      <c r="H62" s="4">
        <v>1932</v>
      </c>
      <c r="I62" s="6">
        <v>14225</v>
      </c>
      <c r="J62" s="6">
        <v>28000</v>
      </c>
      <c r="K62" s="2">
        <v>0</v>
      </c>
      <c r="L62" s="6">
        <v>3600</v>
      </c>
      <c r="M62" s="6">
        <v>45825</v>
      </c>
      <c r="N62" s="6">
        <v>4406</v>
      </c>
      <c r="O62" s="78">
        <v>0</v>
      </c>
      <c r="P62" s="78">
        <v>0</v>
      </c>
      <c r="Q62" s="2">
        <v>0</v>
      </c>
      <c r="R62" s="2">
        <v>0</v>
      </c>
      <c r="S62" s="2">
        <v>0</v>
      </c>
      <c r="T62" s="78">
        <v>0</v>
      </c>
      <c r="U62" s="2">
        <v>0</v>
      </c>
      <c r="V62" s="6">
        <v>45825</v>
      </c>
      <c r="W62" s="6">
        <v>4406</v>
      </c>
      <c r="X62" s="6">
        <v>50231</v>
      </c>
      <c r="Y62" s="6">
        <v>1450</v>
      </c>
      <c r="Z62" s="6">
        <v>0</v>
      </c>
      <c r="AA62" s="6">
        <v>51681</v>
      </c>
      <c r="AB62" s="142">
        <f>Table6[[#This Row],[Total Operating Income]]/Table6[[#This Row],[Total Population Served]]</f>
        <v>26.75</v>
      </c>
    </row>
    <row r="63" spans="1:28" ht="13.5" thickBot="1" x14ac:dyDescent="0.25">
      <c r="A63" s="2" t="s">
        <v>738</v>
      </c>
      <c r="B63" s="1" t="s">
        <v>737</v>
      </c>
      <c r="C63" s="2" t="s">
        <v>19</v>
      </c>
      <c r="D63" s="2" t="s">
        <v>1155</v>
      </c>
      <c r="E63" s="3" t="s">
        <v>22</v>
      </c>
      <c r="F63" s="3" t="s">
        <v>23</v>
      </c>
      <c r="G63" s="4">
        <v>2387</v>
      </c>
      <c r="H63" s="4">
        <v>1997</v>
      </c>
      <c r="I63" s="6">
        <v>6171</v>
      </c>
      <c r="J63" s="6">
        <v>86398</v>
      </c>
      <c r="K63" s="6">
        <v>1500</v>
      </c>
      <c r="L63" s="6">
        <v>0</v>
      </c>
      <c r="M63" s="6">
        <v>94069</v>
      </c>
      <c r="N63" s="6">
        <v>6638</v>
      </c>
      <c r="O63" s="77">
        <v>390</v>
      </c>
      <c r="P63" s="6">
        <v>2212</v>
      </c>
      <c r="Q63" s="6">
        <v>0</v>
      </c>
      <c r="R63" s="6">
        <v>0</v>
      </c>
      <c r="S63" s="6">
        <v>0</v>
      </c>
      <c r="T63" s="6">
        <v>2212</v>
      </c>
      <c r="U63" s="6">
        <v>0</v>
      </c>
      <c r="V63" s="6">
        <v>96281</v>
      </c>
      <c r="W63" s="6">
        <v>6638</v>
      </c>
      <c r="X63" s="6">
        <v>102919</v>
      </c>
      <c r="Y63" s="6">
        <v>1561</v>
      </c>
      <c r="Z63" s="6">
        <v>0</v>
      </c>
      <c r="AA63" s="6">
        <v>104480</v>
      </c>
      <c r="AB63" s="142">
        <f>Table6[[#This Row],[Total Operating Income]]/Table6[[#This Row],[Total Population Served]]</f>
        <v>43.770423125261836</v>
      </c>
    </row>
    <row r="64" spans="1:28" ht="13.5" thickBot="1" x14ac:dyDescent="0.25">
      <c r="A64" s="2" t="s">
        <v>757</v>
      </c>
      <c r="B64" s="1" t="s">
        <v>756</v>
      </c>
      <c r="C64" s="2" t="s">
        <v>19</v>
      </c>
      <c r="D64" s="2" t="s">
        <v>1129</v>
      </c>
      <c r="E64" s="3" t="s">
        <v>67</v>
      </c>
      <c r="F64" s="3" t="s">
        <v>68</v>
      </c>
      <c r="G64" s="4">
        <v>1873</v>
      </c>
      <c r="H64" s="4">
        <v>1645</v>
      </c>
      <c r="I64" s="6">
        <v>3574</v>
      </c>
      <c r="J64" s="6">
        <v>46358</v>
      </c>
      <c r="K64" s="6">
        <v>0</v>
      </c>
      <c r="L64" s="6">
        <v>0</v>
      </c>
      <c r="M64" s="6">
        <v>49932</v>
      </c>
      <c r="N64" s="6">
        <v>4586</v>
      </c>
      <c r="O64" s="4">
        <v>228</v>
      </c>
      <c r="P64" s="6">
        <v>487</v>
      </c>
      <c r="Q64" s="6">
        <v>6331</v>
      </c>
      <c r="R64" s="6">
        <v>0</v>
      </c>
      <c r="S64" s="6">
        <v>0</v>
      </c>
      <c r="T64" s="6">
        <v>6818</v>
      </c>
      <c r="U64" s="6">
        <v>0</v>
      </c>
      <c r="V64" s="6">
        <v>56750</v>
      </c>
      <c r="W64" s="6">
        <v>4586</v>
      </c>
      <c r="X64" s="6">
        <v>61336</v>
      </c>
      <c r="Y64" s="6">
        <v>1225</v>
      </c>
      <c r="Z64" s="6">
        <v>0</v>
      </c>
      <c r="AA64" s="6">
        <v>62561</v>
      </c>
      <c r="AB64" s="142">
        <f>Table6[[#This Row],[Total Operating Income]]/Table6[[#This Row],[Total Population Served]]</f>
        <v>33.401494927923117</v>
      </c>
    </row>
    <row r="65" spans="1:28" ht="13.5" thickBot="1" x14ac:dyDescent="0.25">
      <c r="A65" s="2" t="s">
        <v>775</v>
      </c>
      <c r="B65" s="1" t="s">
        <v>774</v>
      </c>
      <c r="C65" s="2" t="s">
        <v>19</v>
      </c>
      <c r="D65" s="2" t="s">
        <v>1184</v>
      </c>
      <c r="E65" s="3" t="s">
        <v>67</v>
      </c>
      <c r="F65" s="3" t="s">
        <v>68</v>
      </c>
      <c r="G65" s="4">
        <v>1652</v>
      </c>
      <c r="H65" s="4">
        <v>1312</v>
      </c>
      <c r="I65" s="6">
        <v>8012</v>
      </c>
      <c r="J65" s="78">
        <v>0</v>
      </c>
      <c r="K65" s="6">
        <v>30000</v>
      </c>
      <c r="L65" s="78">
        <v>0</v>
      </c>
      <c r="M65" s="6">
        <v>38012</v>
      </c>
      <c r="N65" s="78">
        <v>0</v>
      </c>
      <c r="O65" s="77">
        <v>340</v>
      </c>
      <c r="P65" s="6">
        <v>2815</v>
      </c>
      <c r="Q65" s="6">
        <v>0</v>
      </c>
      <c r="R65" s="6">
        <v>0</v>
      </c>
      <c r="S65" s="6">
        <v>0</v>
      </c>
      <c r="T65" s="6">
        <v>2815</v>
      </c>
      <c r="U65" s="6">
        <v>0</v>
      </c>
      <c r="V65" s="6">
        <v>40827</v>
      </c>
      <c r="W65" s="6">
        <v>0</v>
      </c>
      <c r="X65" s="6">
        <v>40827</v>
      </c>
      <c r="Y65" s="6">
        <v>858</v>
      </c>
      <c r="Z65" s="6">
        <v>0</v>
      </c>
      <c r="AA65" s="6">
        <v>41685</v>
      </c>
      <c r="AB65" s="142">
        <f>Table6[[#This Row],[Total Operating Income]]/Table6[[#This Row],[Total Population Served]]</f>
        <v>25.233050847457626</v>
      </c>
    </row>
    <row r="66" spans="1:28" ht="13.5" thickBot="1" x14ac:dyDescent="0.25">
      <c r="A66" s="2" t="s">
        <v>787</v>
      </c>
      <c r="B66" s="1" t="s">
        <v>786</v>
      </c>
      <c r="C66" s="2" t="s">
        <v>19</v>
      </c>
      <c r="D66" s="2" t="s">
        <v>1155</v>
      </c>
      <c r="E66" s="3" t="s">
        <v>67</v>
      </c>
      <c r="F66" s="3" t="s">
        <v>68</v>
      </c>
      <c r="G66" s="4">
        <v>3895</v>
      </c>
      <c r="H66" s="4">
        <v>2053</v>
      </c>
      <c r="I66" s="6">
        <v>6343</v>
      </c>
      <c r="J66" s="6">
        <v>53800</v>
      </c>
      <c r="K66" s="78">
        <v>0</v>
      </c>
      <c r="L66" s="6">
        <v>500</v>
      </c>
      <c r="M66" s="6">
        <v>60643</v>
      </c>
      <c r="N66" s="6">
        <v>11438</v>
      </c>
      <c r="O66" s="4">
        <v>1842</v>
      </c>
      <c r="P66" s="6">
        <v>5691</v>
      </c>
      <c r="Q66" s="78">
        <v>0</v>
      </c>
      <c r="R66" s="78">
        <v>0</v>
      </c>
      <c r="S66" s="6">
        <v>6150</v>
      </c>
      <c r="T66" s="6">
        <v>11841</v>
      </c>
      <c r="U66" s="78">
        <v>0</v>
      </c>
      <c r="V66" s="6">
        <v>72484</v>
      </c>
      <c r="W66" s="6">
        <v>11438</v>
      </c>
      <c r="X66" s="6">
        <v>83922</v>
      </c>
      <c r="Y66" s="6">
        <v>2547</v>
      </c>
      <c r="Z66" s="6">
        <v>0</v>
      </c>
      <c r="AA66" s="6">
        <v>86469</v>
      </c>
      <c r="AB66" s="142">
        <f>Table6[[#This Row],[Total Operating Income]]/Table6[[#This Row],[Total Population Served]]</f>
        <v>22.2</v>
      </c>
    </row>
    <row r="67" spans="1:28" ht="13.5" thickBot="1" x14ac:dyDescent="0.25">
      <c r="A67" s="2" t="s">
        <v>793</v>
      </c>
      <c r="B67" s="1" t="s">
        <v>792</v>
      </c>
      <c r="C67" s="2" t="s">
        <v>19</v>
      </c>
      <c r="D67" s="2" t="s">
        <v>1160</v>
      </c>
      <c r="E67" s="3" t="s">
        <v>27</v>
      </c>
      <c r="F67" s="3" t="s">
        <v>28</v>
      </c>
      <c r="G67" s="4">
        <v>2156</v>
      </c>
      <c r="H67" s="4">
        <v>1851</v>
      </c>
      <c r="I67" s="6">
        <v>12903</v>
      </c>
      <c r="J67" s="6">
        <v>24231</v>
      </c>
      <c r="K67" s="6">
        <v>40431</v>
      </c>
      <c r="L67" s="6">
        <v>0</v>
      </c>
      <c r="M67" s="6">
        <v>77565</v>
      </c>
      <c r="N67" s="6">
        <v>4587</v>
      </c>
      <c r="O67" s="77">
        <v>305</v>
      </c>
      <c r="P67" s="6">
        <v>2126</v>
      </c>
      <c r="Q67" s="6">
        <v>0</v>
      </c>
      <c r="R67" s="2">
        <v>0</v>
      </c>
      <c r="S67" s="6">
        <v>3015</v>
      </c>
      <c r="T67" s="6">
        <v>5141</v>
      </c>
      <c r="U67" s="6">
        <v>0</v>
      </c>
      <c r="V67" s="6">
        <v>82706</v>
      </c>
      <c r="W67" s="6">
        <v>4587</v>
      </c>
      <c r="X67" s="6">
        <v>87293</v>
      </c>
      <c r="Y67" s="6">
        <v>1722</v>
      </c>
      <c r="Z67" s="6">
        <v>237</v>
      </c>
      <c r="AA67" s="6">
        <v>89252</v>
      </c>
      <c r="AB67" s="142">
        <f>Table6[[#This Row],[Total Operating Income]]/Table6[[#This Row],[Total Population Served]]</f>
        <v>41.39703153988868</v>
      </c>
    </row>
    <row r="68" spans="1:28" ht="13.5" thickBot="1" x14ac:dyDescent="0.25">
      <c r="A68" s="2" t="s">
        <v>795</v>
      </c>
      <c r="B68" s="1" t="s">
        <v>794</v>
      </c>
      <c r="C68" s="2" t="s">
        <v>19</v>
      </c>
      <c r="D68" s="2" t="s">
        <v>1173</v>
      </c>
      <c r="E68" s="3" t="s">
        <v>796</v>
      </c>
      <c r="F68" s="3" t="s">
        <v>797</v>
      </c>
      <c r="G68" s="4">
        <v>2475</v>
      </c>
      <c r="H68" s="4">
        <v>1655</v>
      </c>
      <c r="I68" s="6">
        <v>5435</v>
      </c>
      <c r="J68" s="6">
        <v>47101</v>
      </c>
      <c r="K68" s="6">
        <v>0</v>
      </c>
      <c r="L68" s="6">
        <v>0</v>
      </c>
      <c r="M68" s="6">
        <v>52536</v>
      </c>
      <c r="N68" s="6">
        <v>16949</v>
      </c>
      <c r="O68" s="4">
        <v>820</v>
      </c>
      <c r="P68" s="6">
        <v>2693</v>
      </c>
      <c r="Q68" s="6">
        <v>0</v>
      </c>
      <c r="R68" s="6">
        <v>700</v>
      </c>
      <c r="S68" s="6">
        <v>0</v>
      </c>
      <c r="T68" s="6">
        <v>3393</v>
      </c>
      <c r="U68" s="6">
        <v>0</v>
      </c>
      <c r="V68" s="6">
        <v>55929</v>
      </c>
      <c r="W68" s="6">
        <v>16949</v>
      </c>
      <c r="X68" s="6">
        <v>72878</v>
      </c>
      <c r="Y68" s="6">
        <v>1716</v>
      </c>
      <c r="Z68" s="6">
        <v>0</v>
      </c>
      <c r="AA68" s="6">
        <v>74594</v>
      </c>
      <c r="AB68" s="142">
        <f>Table6[[#This Row],[Total Operating Income]]/Table6[[#This Row],[Total Population Served]]</f>
        <v>30.138989898989898</v>
      </c>
    </row>
    <row r="69" spans="1:28" ht="13.5" thickBot="1" x14ac:dyDescent="0.25">
      <c r="A69" s="2" t="s">
        <v>799</v>
      </c>
      <c r="B69" s="1" t="s">
        <v>798</v>
      </c>
      <c r="C69" s="2" t="s">
        <v>19</v>
      </c>
      <c r="D69" s="2" t="s">
        <v>1228</v>
      </c>
      <c r="E69" s="3" t="s">
        <v>27</v>
      </c>
      <c r="F69" s="3" t="s">
        <v>28</v>
      </c>
      <c r="G69" s="4">
        <v>1968</v>
      </c>
      <c r="H69" s="4">
        <v>1560</v>
      </c>
      <c r="I69" s="6">
        <v>11196</v>
      </c>
      <c r="J69" s="6">
        <v>0</v>
      </c>
      <c r="K69" s="6">
        <v>9430</v>
      </c>
      <c r="L69" s="6">
        <v>4036</v>
      </c>
      <c r="M69" s="6">
        <v>24662</v>
      </c>
      <c r="N69" s="78">
        <v>0</v>
      </c>
      <c r="O69" s="4">
        <v>408</v>
      </c>
      <c r="P69" s="78">
        <v>0</v>
      </c>
      <c r="Q69" s="78">
        <v>0</v>
      </c>
      <c r="R69" s="78">
        <v>0</v>
      </c>
      <c r="S69" s="78">
        <v>0</v>
      </c>
      <c r="T69" s="78">
        <v>0</v>
      </c>
      <c r="U69" s="78">
        <v>0</v>
      </c>
      <c r="V69" s="6">
        <v>24662</v>
      </c>
      <c r="W69" s="78">
        <v>0</v>
      </c>
      <c r="X69" s="6">
        <v>24662</v>
      </c>
      <c r="Y69" s="6">
        <v>1443</v>
      </c>
      <c r="Z69" s="6">
        <v>0</v>
      </c>
      <c r="AA69" s="6">
        <v>26105</v>
      </c>
      <c r="AB69" s="142">
        <f>Table6[[#This Row],[Total Operating Income]]/Table6[[#This Row],[Total Population Served]]</f>
        <v>13.264735772357724</v>
      </c>
    </row>
    <row r="70" spans="1:28" ht="13.5" thickBot="1" x14ac:dyDescent="0.25">
      <c r="A70" s="2" t="s">
        <v>809</v>
      </c>
      <c r="B70" s="1" t="s">
        <v>808</v>
      </c>
      <c r="C70" s="2" t="s">
        <v>19</v>
      </c>
      <c r="D70" s="2" t="s">
        <v>1166</v>
      </c>
      <c r="E70" s="3" t="s">
        <v>67</v>
      </c>
      <c r="F70" s="3" t="s">
        <v>68</v>
      </c>
      <c r="G70" s="4">
        <v>2202</v>
      </c>
      <c r="H70" s="4">
        <v>2202</v>
      </c>
      <c r="I70" s="6">
        <v>10969</v>
      </c>
      <c r="J70" s="6">
        <v>0</v>
      </c>
      <c r="K70" s="6">
        <v>0</v>
      </c>
      <c r="L70" s="6">
        <v>3302</v>
      </c>
      <c r="M70" s="6">
        <v>14271</v>
      </c>
      <c r="N70" s="6">
        <v>820</v>
      </c>
      <c r="O70" s="78">
        <v>0</v>
      </c>
      <c r="P70" s="6">
        <v>0</v>
      </c>
      <c r="Q70" s="6">
        <v>0</v>
      </c>
      <c r="R70" s="6">
        <v>0</v>
      </c>
      <c r="S70" s="6">
        <v>0</v>
      </c>
      <c r="T70" s="6">
        <v>0</v>
      </c>
      <c r="U70" s="6">
        <v>0</v>
      </c>
      <c r="V70" s="6">
        <v>14271</v>
      </c>
      <c r="W70" s="6">
        <v>820</v>
      </c>
      <c r="X70" s="6">
        <v>15091</v>
      </c>
      <c r="Y70" s="6">
        <v>2374</v>
      </c>
      <c r="Z70" s="6">
        <v>0</v>
      </c>
      <c r="AA70" s="6">
        <v>17465</v>
      </c>
      <c r="AB70" s="142">
        <f>Table6[[#This Row],[Total Operating Income]]/Table6[[#This Row],[Total Population Served]]</f>
        <v>7.9314259763851043</v>
      </c>
    </row>
    <row r="71" spans="1:28" ht="13.5" thickBot="1" x14ac:dyDescent="0.25">
      <c r="A71" s="2" t="s">
        <v>821</v>
      </c>
      <c r="B71" s="1" t="s">
        <v>820</v>
      </c>
      <c r="C71" s="2" t="s">
        <v>19</v>
      </c>
      <c r="D71" s="2" t="s">
        <v>1151</v>
      </c>
      <c r="E71" s="3" t="s">
        <v>27</v>
      </c>
      <c r="F71" s="3" t="s">
        <v>28</v>
      </c>
      <c r="G71" s="4">
        <v>2913</v>
      </c>
      <c r="H71" s="4">
        <v>1403</v>
      </c>
      <c r="I71" s="6">
        <v>19407</v>
      </c>
      <c r="J71" s="6">
        <v>54376</v>
      </c>
      <c r="K71" s="78">
        <v>0</v>
      </c>
      <c r="L71" s="78">
        <v>0</v>
      </c>
      <c r="M71" s="6">
        <v>73783</v>
      </c>
      <c r="N71" s="6">
        <v>5388</v>
      </c>
      <c r="O71" s="77">
        <v>1510</v>
      </c>
      <c r="P71" s="2">
        <v>0</v>
      </c>
      <c r="Q71" s="2">
        <v>0</v>
      </c>
      <c r="R71" s="2">
        <v>0</v>
      </c>
      <c r="S71" s="2">
        <v>0</v>
      </c>
      <c r="T71" s="2">
        <v>0</v>
      </c>
      <c r="U71" s="2">
        <v>0</v>
      </c>
      <c r="V71" s="6">
        <v>73783</v>
      </c>
      <c r="W71" s="6">
        <v>5388</v>
      </c>
      <c r="X71" s="6">
        <v>79171</v>
      </c>
      <c r="Y71" s="6">
        <v>2019</v>
      </c>
      <c r="Z71" s="6">
        <v>0</v>
      </c>
      <c r="AA71" s="6">
        <v>81190</v>
      </c>
      <c r="AB71" s="142">
        <f>Table6[[#This Row],[Total Operating Income]]/Table6[[#This Row],[Total Population Served]]</f>
        <v>27.871610024030211</v>
      </c>
    </row>
    <row r="72" spans="1:28" ht="13.5" thickBot="1" x14ac:dyDescent="0.25">
      <c r="A72" s="2" t="s">
        <v>833</v>
      </c>
      <c r="B72" s="1" t="s">
        <v>832</v>
      </c>
      <c r="C72" s="2" t="s">
        <v>19</v>
      </c>
      <c r="D72" s="2" t="s">
        <v>1201</v>
      </c>
      <c r="E72" s="3" t="s">
        <v>27</v>
      </c>
      <c r="F72" s="3" t="s">
        <v>28</v>
      </c>
      <c r="G72" s="4">
        <v>575</v>
      </c>
      <c r="H72" s="4">
        <v>575</v>
      </c>
      <c r="I72" s="6">
        <v>1819</v>
      </c>
      <c r="J72" s="6">
        <v>41641</v>
      </c>
      <c r="K72" s="2">
        <v>0</v>
      </c>
      <c r="L72" s="78">
        <v>0</v>
      </c>
      <c r="M72" s="6">
        <v>43460</v>
      </c>
      <c r="N72" s="6">
        <v>6068</v>
      </c>
      <c r="O72" s="2">
        <v>0</v>
      </c>
      <c r="P72" s="6">
        <v>0</v>
      </c>
      <c r="Q72" s="6">
        <v>0</v>
      </c>
      <c r="R72" s="2">
        <v>0</v>
      </c>
      <c r="S72" s="2">
        <v>0</v>
      </c>
      <c r="T72" s="6">
        <v>0</v>
      </c>
      <c r="U72" s="2">
        <v>0</v>
      </c>
      <c r="V72" s="6">
        <v>43460</v>
      </c>
      <c r="W72" s="6">
        <v>6068</v>
      </c>
      <c r="X72" s="6">
        <v>49528</v>
      </c>
      <c r="Y72" s="6">
        <v>427</v>
      </c>
      <c r="Z72" s="6">
        <v>0</v>
      </c>
      <c r="AA72" s="6">
        <v>49955</v>
      </c>
      <c r="AB72" s="142">
        <f>Table6[[#This Row],[Total Operating Income]]/Table6[[#This Row],[Total Population Served]]</f>
        <v>86.878260869565224</v>
      </c>
    </row>
    <row r="73" spans="1:28" ht="13.5" thickBot="1" x14ac:dyDescent="0.25">
      <c r="A73" s="2" t="s">
        <v>841</v>
      </c>
      <c r="B73" s="1" t="s">
        <v>840</v>
      </c>
      <c r="C73" s="2" t="s">
        <v>19</v>
      </c>
      <c r="D73" s="2" t="s">
        <v>1184</v>
      </c>
      <c r="E73" s="3" t="s">
        <v>27</v>
      </c>
      <c r="F73" s="3" t="s">
        <v>28</v>
      </c>
      <c r="G73" s="4">
        <v>2738</v>
      </c>
      <c r="H73" s="4">
        <v>2738</v>
      </c>
      <c r="I73" s="6">
        <v>17943</v>
      </c>
      <c r="J73" s="6">
        <v>53201</v>
      </c>
      <c r="K73" s="6">
        <v>0</v>
      </c>
      <c r="L73" s="6">
        <v>6204</v>
      </c>
      <c r="M73" s="6">
        <v>77348</v>
      </c>
      <c r="N73" s="6">
        <v>0</v>
      </c>
      <c r="O73" s="2">
        <v>0</v>
      </c>
      <c r="P73" s="6">
        <v>0</v>
      </c>
      <c r="Q73" s="6">
        <v>0</v>
      </c>
      <c r="R73" s="6">
        <v>0</v>
      </c>
      <c r="S73" s="6">
        <v>0</v>
      </c>
      <c r="T73" s="6">
        <v>0</v>
      </c>
      <c r="U73" s="6">
        <v>0</v>
      </c>
      <c r="V73" s="6">
        <v>77348</v>
      </c>
      <c r="W73" s="6">
        <v>0</v>
      </c>
      <c r="X73" s="6">
        <v>77348</v>
      </c>
      <c r="Y73" s="6">
        <v>1898</v>
      </c>
      <c r="Z73" s="6">
        <v>0</v>
      </c>
      <c r="AA73" s="6">
        <v>79246</v>
      </c>
      <c r="AB73" s="142">
        <f>Table6[[#This Row],[Total Operating Income]]/Table6[[#This Row],[Total Population Served]]</f>
        <v>28.943024105186268</v>
      </c>
    </row>
    <row r="74" spans="1:28" ht="13.5" thickBot="1" x14ac:dyDescent="0.25">
      <c r="A74" s="2" t="s">
        <v>21</v>
      </c>
      <c r="B74" s="1" t="s">
        <v>20</v>
      </c>
      <c r="C74" s="2" t="s">
        <v>24</v>
      </c>
      <c r="D74" s="2" t="s">
        <v>1125</v>
      </c>
      <c r="E74" s="3" t="s">
        <v>22</v>
      </c>
      <c r="F74" s="3" t="s">
        <v>23</v>
      </c>
      <c r="G74" s="4">
        <v>6351</v>
      </c>
      <c r="H74" s="4">
        <v>6351</v>
      </c>
      <c r="I74" s="6">
        <v>13280</v>
      </c>
      <c r="J74" s="6">
        <v>247605</v>
      </c>
      <c r="K74" s="6">
        <v>0</v>
      </c>
      <c r="L74" s="6">
        <v>0</v>
      </c>
      <c r="M74" s="6">
        <v>260885</v>
      </c>
      <c r="N74" s="6">
        <v>25313</v>
      </c>
      <c r="O74" s="2">
        <v>0</v>
      </c>
      <c r="P74" s="6">
        <v>0</v>
      </c>
      <c r="Q74" s="6">
        <v>0</v>
      </c>
      <c r="R74" s="6">
        <v>0</v>
      </c>
      <c r="S74" s="6">
        <v>0</v>
      </c>
      <c r="T74" s="6">
        <v>0</v>
      </c>
      <c r="U74" s="6">
        <v>0</v>
      </c>
      <c r="V74" s="6">
        <v>260885</v>
      </c>
      <c r="W74" s="6">
        <v>25313</v>
      </c>
      <c r="X74" s="6">
        <v>286198</v>
      </c>
      <c r="Y74" s="6">
        <v>4657</v>
      </c>
      <c r="Z74" s="6">
        <v>2489</v>
      </c>
      <c r="AA74" s="6">
        <v>293344</v>
      </c>
      <c r="AB74" s="142">
        <f>Table6[[#This Row],[Total Operating Income]]/Table6[[#This Row],[Total Population Served]]</f>
        <v>46.18863171154149</v>
      </c>
    </row>
    <row r="75" spans="1:28" ht="13.5" thickBot="1" x14ac:dyDescent="0.25">
      <c r="A75" s="2" t="s">
        <v>51</v>
      </c>
      <c r="B75" s="1" t="s">
        <v>50</v>
      </c>
      <c r="C75" s="2" t="s">
        <v>24</v>
      </c>
      <c r="D75" s="2" t="s">
        <v>1140</v>
      </c>
      <c r="E75" s="3" t="s">
        <v>52</v>
      </c>
      <c r="F75" s="3" t="s">
        <v>53</v>
      </c>
      <c r="G75" s="4">
        <v>6583</v>
      </c>
      <c r="H75" s="4">
        <v>6583</v>
      </c>
      <c r="I75" s="6">
        <v>17099</v>
      </c>
      <c r="J75" s="6">
        <v>277276</v>
      </c>
      <c r="K75" s="2">
        <v>0</v>
      </c>
      <c r="L75" s="6">
        <v>5897</v>
      </c>
      <c r="M75" s="6">
        <v>300272</v>
      </c>
      <c r="N75" s="6">
        <v>14231</v>
      </c>
      <c r="O75" s="2">
        <v>0</v>
      </c>
      <c r="P75" s="2">
        <v>0</v>
      </c>
      <c r="Q75" s="2">
        <v>0</v>
      </c>
      <c r="R75" s="2">
        <v>0</v>
      </c>
      <c r="S75" s="2">
        <v>0</v>
      </c>
      <c r="T75" s="2">
        <v>0</v>
      </c>
      <c r="U75" s="2">
        <v>0</v>
      </c>
      <c r="V75" s="6">
        <v>300272</v>
      </c>
      <c r="W75" s="6">
        <v>14231</v>
      </c>
      <c r="X75" s="6">
        <v>314503</v>
      </c>
      <c r="Y75" s="6">
        <v>4306</v>
      </c>
      <c r="Z75" s="6">
        <v>0</v>
      </c>
      <c r="AA75" s="6">
        <v>318809</v>
      </c>
      <c r="AB75" s="142">
        <f>Table6[[#This Row],[Total Operating Income]]/Table6[[#This Row],[Total Population Served]]</f>
        <v>48.429135652438099</v>
      </c>
    </row>
    <row r="76" spans="1:28" ht="13.5" thickBot="1" x14ac:dyDescent="0.25">
      <c r="A76" s="2" t="s">
        <v>62</v>
      </c>
      <c r="B76" s="1" t="s">
        <v>61</v>
      </c>
      <c r="C76" s="2" t="s">
        <v>24</v>
      </c>
      <c r="D76" s="2" t="s">
        <v>1146</v>
      </c>
      <c r="E76" s="3" t="s">
        <v>22</v>
      </c>
      <c r="F76" s="3" t="s">
        <v>23</v>
      </c>
      <c r="G76" s="4">
        <v>5379</v>
      </c>
      <c r="H76" s="4">
        <v>5379</v>
      </c>
      <c r="I76" s="6">
        <v>4323</v>
      </c>
      <c r="J76" s="6">
        <v>318671</v>
      </c>
      <c r="K76" s="6">
        <v>0</v>
      </c>
      <c r="L76" s="6">
        <v>0</v>
      </c>
      <c r="M76" s="6">
        <v>322994</v>
      </c>
      <c r="N76" s="6">
        <v>7050</v>
      </c>
      <c r="O76" s="2">
        <v>0</v>
      </c>
      <c r="P76" s="6">
        <v>0</v>
      </c>
      <c r="Q76" s="6">
        <v>0</v>
      </c>
      <c r="R76" s="6">
        <v>0</v>
      </c>
      <c r="S76" s="6">
        <v>0</v>
      </c>
      <c r="T76" s="6">
        <v>0</v>
      </c>
      <c r="U76" s="6">
        <v>0</v>
      </c>
      <c r="V76" s="6">
        <v>322994</v>
      </c>
      <c r="W76" s="6">
        <v>7050</v>
      </c>
      <c r="X76" s="6">
        <v>330044</v>
      </c>
      <c r="Y76" s="6">
        <v>3518</v>
      </c>
      <c r="Z76" s="6">
        <v>0</v>
      </c>
      <c r="AA76" s="6">
        <v>333562</v>
      </c>
      <c r="AB76" s="142">
        <f>Table6[[#This Row],[Total Operating Income]]/Table6[[#This Row],[Total Population Served]]</f>
        <v>62.011898122327572</v>
      </c>
    </row>
    <row r="77" spans="1:28" ht="13.5" thickBot="1" x14ac:dyDescent="0.25">
      <c r="A77" s="2" t="s">
        <v>66</v>
      </c>
      <c r="B77" s="1" t="s">
        <v>65</v>
      </c>
      <c r="C77" s="2" t="s">
        <v>24</v>
      </c>
      <c r="D77" s="2" t="s">
        <v>1129</v>
      </c>
      <c r="E77" s="3" t="s">
        <v>67</v>
      </c>
      <c r="F77" s="3" t="s">
        <v>68</v>
      </c>
      <c r="G77" s="4">
        <v>4265</v>
      </c>
      <c r="H77" s="4">
        <v>2554</v>
      </c>
      <c r="I77" s="6">
        <v>9248</v>
      </c>
      <c r="J77" s="78">
        <v>0</v>
      </c>
      <c r="K77" s="6">
        <v>29274</v>
      </c>
      <c r="L77" s="6">
        <v>4776</v>
      </c>
      <c r="M77" s="6">
        <v>43298</v>
      </c>
      <c r="N77" s="78">
        <v>0</v>
      </c>
      <c r="O77" s="77">
        <v>1711</v>
      </c>
      <c r="P77" s="2">
        <v>0</v>
      </c>
      <c r="Q77" s="2">
        <v>0</v>
      </c>
      <c r="R77" s="2">
        <v>0</v>
      </c>
      <c r="S77" s="2">
        <v>0</v>
      </c>
      <c r="T77" s="2">
        <v>0</v>
      </c>
      <c r="U77" s="2">
        <v>0</v>
      </c>
      <c r="V77" s="6">
        <v>43298</v>
      </c>
      <c r="W77" s="78">
        <v>0</v>
      </c>
      <c r="X77" s="6">
        <v>43298</v>
      </c>
      <c r="Y77" s="6">
        <v>2789</v>
      </c>
      <c r="Z77" s="6">
        <v>0</v>
      </c>
      <c r="AA77" s="6">
        <v>46087</v>
      </c>
      <c r="AB77" s="142">
        <f>Table6[[#This Row],[Total Operating Income]]/Table6[[#This Row],[Total Population Served]]</f>
        <v>10.805861664712779</v>
      </c>
    </row>
    <row r="78" spans="1:28" ht="13.5" thickBot="1" x14ac:dyDescent="0.25">
      <c r="A78" s="2" t="s">
        <v>78</v>
      </c>
      <c r="B78" s="1" t="s">
        <v>77</v>
      </c>
      <c r="C78" s="2" t="s">
        <v>24</v>
      </c>
      <c r="D78" s="2" t="s">
        <v>1150</v>
      </c>
      <c r="E78" s="3" t="s">
        <v>27</v>
      </c>
      <c r="F78" s="3" t="s">
        <v>28</v>
      </c>
      <c r="G78" s="4">
        <v>6621</v>
      </c>
      <c r="H78" s="4">
        <v>6621</v>
      </c>
      <c r="I78" s="6">
        <v>20993</v>
      </c>
      <c r="J78" s="6">
        <v>207131</v>
      </c>
      <c r="K78" s="6">
        <v>0</v>
      </c>
      <c r="L78" s="6">
        <v>11925</v>
      </c>
      <c r="M78" s="6">
        <v>240049</v>
      </c>
      <c r="N78" s="6">
        <v>20933</v>
      </c>
      <c r="O78" s="78">
        <v>0</v>
      </c>
      <c r="P78" s="78">
        <v>0</v>
      </c>
      <c r="Q78" s="78">
        <v>0</v>
      </c>
      <c r="R78" s="78">
        <v>0</v>
      </c>
      <c r="S78" s="78">
        <v>0</v>
      </c>
      <c r="T78" s="78">
        <v>0</v>
      </c>
      <c r="U78" s="78">
        <v>0</v>
      </c>
      <c r="V78" s="6">
        <v>240049</v>
      </c>
      <c r="W78" s="6">
        <v>20933</v>
      </c>
      <c r="X78" s="6">
        <v>260982</v>
      </c>
      <c r="Y78" s="6">
        <v>4590</v>
      </c>
      <c r="Z78" s="6">
        <v>0</v>
      </c>
      <c r="AA78" s="6">
        <v>265572</v>
      </c>
      <c r="AB78" s="142">
        <f>Table6[[#This Row],[Total Operating Income]]/Table6[[#This Row],[Total Population Served]]</f>
        <v>40.110557317625734</v>
      </c>
    </row>
    <row r="79" spans="1:28" ht="13.5" thickBot="1" x14ac:dyDescent="0.25">
      <c r="A79" s="2" t="s">
        <v>82</v>
      </c>
      <c r="B79" s="1" t="s">
        <v>81</v>
      </c>
      <c r="C79" s="2" t="s">
        <v>24</v>
      </c>
      <c r="D79" s="2" t="s">
        <v>1151</v>
      </c>
      <c r="E79" s="3" t="s">
        <v>27</v>
      </c>
      <c r="F79" s="3" t="s">
        <v>28</v>
      </c>
      <c r="G79" s="4">
        <v>4075</v>
      </c>
      <c r="H79" s="4">
        <v>2816</v>
      </c>
      <c r="I79" s="6">
        <v>18761</v>
      </c>
      <c r="J79" s="6">
        <v>100065</v>
      </c>
      <c r="K79" s="78">
        <v>0</v>
      </c>
      <c r="L79" s="78">
        <v>0</v>
      </c>
      <c r="M79" s="6">
        <v>118826</v>
      </c>
      <c r="N79" s="6">
        <v>12836</v>
      </c>
      <c r="O79" s="4">
        <v>1259</v>
      </c>
      <c r="P79" s="6">
        <v>7444</v>
      </c>
      <c r="Q79" s="78">
        <v>0</v>
      </c>
      <c r="R79" s="78">
        <v>0</v>
      </c>
      <c r="S79" s="78">
        <v>0</v>
      </c>
      <c r="T79" s="6">
        <v>7444</v>
      </c>
      <c r="U79" s="2">
        <v>0</v>
      </c>
      <c r="V79" s="6">
        <v>126270</v>
      </c>
      <c r="W79" s="6">
        <v>12836</v>
      </c>
      <c r="X79" s="6">
        <v>139106</v>
      </c>
      <c r="Y79" s="6">
        <v>2825</v>
      </c>
      <c r="Z79" s="6">
        <v>0</v>
      </c>
      <c r="AA79" s="6">
        <v>141931</v>
      </c>
      <c r="AB79" s="142">
        <f>Table6[[#This Row],[Total Operating Income]]/Table6[[#This Row],[Total Population Served]]</f>
        <v>34.82969325153374</v>
      </c>
    </row>
    <row r="80" spans="1:28" ht="13.5" thickBot="1" x14ac:dyDescent="0.25">
      <c r="A80" s="2" t="s">
        <v>106</v>
      </c>
      <c r="B80" s="1" t="s">
        <v>105</v>
      </c>
      <c r="C80" s="2" t="s">
        <v>24</v>
      </c>
      <c r="D80" s="2" t="s">
        <v>1160</v>
      </c>
      <c r="E80" s="3" t="s">
        <v>27</v>
      </c>
      <c r="F80" s="3" t="s">
        <v>28</v>
      </c>
      <c r="G80" s="4">
        <v>5414</v>
      </c>
      <c r="H80" s="4">
        <v>1905</v>
      </c>
      <c r="I80" s="6">
        <v>13279</v>
      </c>
      <c r="J80" s="6">
        <v>0</v>
      </c>
      <c r="K80" s="6">
        <v>44797</v>
      </c>
      <c r="L80" s="2">
        <v>0</v>
      </c>
      <c r="M80" s="6">
        <v>58076</v>
      </c>
      <c r="N80" s="6">
        <v>4770</v>
      </c>
      <c r="O80" s="4">
        <v>3509</v>
      </c>
      <c r="P80" s="6">
        <v>24459</v>
      </c>
      <c r="Q80" s="6">
        <v>0</v>
      </c>
      <c r="R80" s="6">
        <v>0</v>
      </c>
      <c r="S80" s="6">
        <v>0</v>
      </c>
      <c r="T80" s="6">
        <v>24459</v>
      </c>
      <c r="U80" s="6">
        <v>0</v>
      </c>
      <c r="V80" s="6">
        <v>82535</v>
      </c>
      <c r="W80" s="6">
        <v>4770</v>
      </c>
      <c r="X80" s="6">
        <v>87305</v>
      </c>
      <c r="Y80" s="6">
        <v>2000</v>
      </c>
      <c r="Z80" s="6">
        <v>0</v>
      </c>
      <c r="AA80" s="6">
        <v>89305</v>
      </c>
      <c r="AB80" s="142">
        <f>Table6[[#This Row],[Total Operating Income]]/Table6[[#This Row],[Total Population Served]]</f>
        <v>16.495197635759144</v>
      </c>
    </row>
    <row r="81" spans="1:28" ht="13.5" thickBot="1" x14ac:dyDescent="0.25">
      <c r="A81" s="2" t="s">
        <v>126</v>
      </c>
      <c r="B81" s="1" t="s">
        <v>125</v>
      </c>
      <c r="C81" s="2" t="s">
        <v>24</v>
      </c>
      <c r="D81" s="2" t="s">
        <v>1157</v>
      </c>
      <c r="E81" s="3" t="s">
        <v>27</v>
      </c>
      <c r="F81" s="3" t="s">
        <v>28</v>
      </c>
      <c r="G81" s="4">
        <v>6296</v>
      </c>
      <c r="H81" s="4">
        <v>2291</v>
      </c>
      <c r="I81" s="6">
        <v>18672</v>
      </c>
      <c r="J81" s="6">
        <v>184165</v>
      </c>
      <c r="K81" s="6">
        <v>0</v>
      </c>
      <c r="L81" s="6">
        <v>1197</v>
      </c>
      <c r="M81" s="6">
        <v>204034</v>
      </c>
      <c r="N81" s="6">
        <v>50472</v>
      </c>
      <c r="O81" s="4">
        <v>4005</v>
      </c>
      <c r="P81" s="6">
        <v>32661</v>
      </c>
      <c r="Q81" s="6">
        <v>0</v>
      </c>
      <c r="R81" s="6">
        <v>0</v>
      </c>
      <c r="S81" s="6">
        <v>136830</v>
      </c>
      <c r="T81" s="6">
        <v>169491</v>
      </c>
      <c r="U81" s="6">
        <v>0</v>
      </c>
      <c r="V81" s="6">
        <v>373525</v>
      </c>
      <c r="W81" s="6">
        <v>50472</v>
      </c>
      <c r="X81" s="6">
        <v>423997</v>
      </c>
      <c r="Y81" s="6">
        <v>4048</v>
      </c>
      <c r="Z81" s="6">
        <v>0</v>
      </c>
      <c r="AA81" s="6">
        <v>428045</v>
      </c>
      <c r="AB81" s="142">
        <f>Table6[[#This Row],[Total Operating Income]]/Table6[[#This Row],[Total Population Served]]</f>
        <v>67.98681702668361</v>
      </c>
    </row>
    <row r="82" spans="1:28" ht="13.5" thickBot="1" x14ac:dyDescent="0.25">
      <c r="A82" s="2" t="s">
        <v>132</v>
      </c>
      <c r="B82" s="1" t="s">
        <v>131</v>
      </c>
      <c r="C82" s="2" t="s">
        <v>24</v>
      </c>
      <c r="D82" s="2" t="s">
        <v>1127</v>
      </c>
      <c r="E82" s="3" t="s">
        <v>117</v>
      </c>
      <c r="F82" s="3" t="s">
        <v>118</v>
      </c>
      <c r="G82" s="4">
        <v>4005</v>
      </c>
      <c r="H82" s="4">
        <v>1325</v>
      </c>
      <c r="I82" s="6">
        <v>7172</v>
      </c>
      <c r="J82" s="6">
        <v>6032</v>
      </c>
      <c r="K82" s="2">
        <v>0</v>
      </c>
      <c r="L82" s="78">
        <v>0</v>
      </c>
      <c r="M82" s="6">
        <v>13204</v>
      </c>
      <c r="N82" s="6">
        <v>10583</v>
      </c>
      <c r="O82" s="77">
        <v>2680</v>
      </c>
      <c r="P82" s="6">
        <v>8467</v>
      </c>
      <c r="Q82" s="6">
        <v>12192</v>
      </c>
      <c r="R82" s="2">
        <v>0</v>
      </c>
      <c r="S82" s="2">
        <v>0</v>
      </c>
      <c r="T82" s="6">
        <v>20659</v>
      </c>
      <c r="U82" s="2">
        <v>0</v>
      </c>
      <c r="V82" s="6">
        <v>33863</v>
      </c>
      <c r="W82" s="6">
        <v>10583</v>
      </c>
      <c r="X82" s="6">
        <v>44446</v>
      </c>
      <c r="Y82" s="6">
        <v>2619</v>
      </c>
      <c r="Z82" s="6">
        <v>0</v>
      </c>
      <c r="AA82" s="6">
        <v>47065</v>
      </c>
      <c r="AB82" s="142">
        <f>Table6[[#This Row],[Total Operating Income]]/Table6[[#This Row],[Total Population Served]]</f>
        <v>11.751560549313359</v>
      </c>
    </row>
    <row r="83" spans="1:28" ht="13.5" thickBot="1" x14ac:dyDescent="0.25">
      <c r="A83" s="2" t="s">
        <v>146</v>
      </c>
      <c r="B83" s="1" t="s">
        <v>145</v>
      </c>
      <c r="C83" s="2" t="s">
        <v>24</v>
      </c>
      <c r="D83" s="2" t="s">
        <v>1173</v>
      </c>
      <c r="E83" s="3" t="s">
        <v>67</v>
      </c>
      <c r="F83" s="3" t="s">
        <v>68</v>
      </c>
      <c r="G83" s="4">
        <v>4191</v>
      </c>
      <c r="H83" s="4">
        <v>2047</v>
      </c>
      <c r="I83" s="6">
        <v>6817</v>
      </c>
      <c r="J83" s="6">
        <v>20960</v>
      </c>
      <c r="K83" s="6">
        <v>0</v>
      </c>
      <c r="L83" s="6">
        <v>1050</v>
      </c>
      <c r="M83" s="6">
        <v>28827</v>
      </c>
      <c r="N83" s="6">
        <v>3162</v>
      </c>
      <c r="O83" s="4">
        <v>2144</v>
      </c>
      <c r="P83" s="6">
        <v>7139</v>
      </c>
      <c r="Q83" s="2">
        <v>0</v>
      </c>
      <c r="R83" s="2">
        <v>0</v>
      </c>
      <c r="S83" s="6">
        <v>1050</v>
      </c>
      <c r="T83" s="6">
        <v>8189</v>
      </c>
      <c r="U83" s="2">
        <v>0</v>
      </c>
      <c r="V83" s="6">
        <v>37016</v>
      </c>
      <c r="W83" s="6">
        <v>3162</v>
      </c>
      <c r="X83" s="6">
        <v>40178</v>
      </c>
      <c r="Y83" s="6">
        <v>2741</v>
      </c>
      <c r="Z83" s="6">
        <v>0</v>
      </c>
      <c r="AA83" s="6">
        <v>42919</v>
      </c>
      <c r="AB83" s="142">
        <f>Table6[[#This Row],[Total Operating Income]]/Table6[[#This Row],[Total Population Served]]</f>
        <v>10.240753996659508</v>
      </c>
    </row>
    <row r="84" spans="1:28" ht="13.5" thickBot="1" x14ac:dyDescent="0.25">
      <c r="A84" s="2" t="s">
        <v>188</v>
      </c>
      <c r="B84" s="1" t="s">
        <v>187</v>
      </c>
      <c r="C84" s="2" t="s">
        <v>24</v>
      </c>
      <c r="D84" s="2" t="s">
        <v>1187</v>
      </c>
      <c r="E84" s="3" t="s">
        <v>22</v>
      </c>
      <c r="F84" s="3" t="s">
        <v>23</v>
      </c>
      <c r="G84" s="4">
        <v>4622</v>
      </c>
      <c r="H84" s="4">
        <v>4418</v>
      </c>
      <c r="I84" s="6">
        <v>8817</v>
      </c>
      <c r="J84" s="6">
        <v>110582</v>
      </c>
      <c r="K84" s="6">
        <v>15378</v>
      </c>
      <c r="L84" s="6">
        <v>0</v>
      </c>
      <c r="M84" s="6">
        <v>134777</v>
      </c>
      <c r="N84" s="6">
        <v>14045</v>
      </c>
      <c r="O84" s="77">
        <v>204</v>
      </c>
      <c r="P84" s="6">
        <v>408</v>
      </c>
      <c r="Q84" s="6">
        <v>0</v>
      </c>
      <c r="R84" s="6">
        <v>710</v>
      </c>
      <c r="S84" s="6">
        <v>1858</v>
      </c>
      <c r="T84" s="6">
        <v>2976</v>
      </c>
      <c r="U84" s="6">
        <v>648</v>
      </c>
      <c r="V84" s="6">
        <v>137753</v>
      </c>
      <c r="W84" s="6">
        <v>14693</v>
      </c>
      <c r="X84" s="6">
        <v>152446</v>
      </c>
      <c r="Y84" s="6">
        <v>3023</v>
      </c>
      <c r="Z84" s="6">
        <v>0</v>
      </c>
      <c r="AA84" s="6">
        <v>155469</v>
      </c>
      <c r="AB84" s="142">
        <f>Table6[[#This Row],[Total Operating Income]]/Table6[[#This Row],[Total Population Served]]</f>
        <v>33.636737343141498</v>
      </c>
    </row>
    <row r="85" spans="1:28" ht="13.5" thickBot="1" x14ac:dyDescent="0.25">
      <c r="A85" s="2" t="s">
        <v>202</v>
      </c>
      <c r="B85" s="1" t="s">
        <v>201</v>
      </c>
      <c r="C85" s="2" t="s">
        <v>24</v>
      </c>
      <c r="D85" s="2" t="s">
        <v>1167</v>
      </c>
      <c r="E85" s="3" t="s">
        <v>22</v>
      </c>
      <c r="F85" s="3" t="s">
        <v>23</v>
      </c>
      <c r="G85" s="4">
        <v>4986</v>
      </c>
      <c r="H85" s="4">
        <v>4217</v>
      </c>
      <c r="I85" s="6">
        <v>16766</v>
      </c>
      <c r="J85" s="6">
        <v>131567</v>
      </c>
      <c r="K85" s="6">
        <v>0</v>
      </c>
      <c r="L85" s="6">
        <v>2500</v>
      </c>
      <c r="M85" s="6">
        <v>150833</v>
      </c>
      <c r="N85" s="6">
        <v>10755</v>
      </c>
      <c r="O85" s="4">
        <v>769</v>
      </c>
      <c r="P85" s="6">
        <v>3057</v>
      </c>
      <c r="Q85" s="2">
        <v>0</v>
      </c>
      <c r="R85" s="6">
        <v>2125</v>
      </c>
      <c r="S85" s="2">
        <v>0</v>
      </c>
      <c r="T85" s="6">
        <v>5182</v>
      </c>
      <c r="U85" s="2">
        <v>0</v>
      </c>
      <c r="V85" s="6">
        <v>156015</v>
      </c>
      <c r="W85" s="6">
        <v>10755</v>
      </c>
      <c r="X85" s="6">
        <v>166770</v>
      </c>
      <c r="Y85" s="6">
        <v>3261</v>
      </c>
      <c r="Z85" s="6">
        <v>0</v>
      </c>
      <c r="AA85" s="6">
        <v>170031</v>
      </c>
      <c r="AB85" s="142">
        <f>Table6[[#This Row],[Total Operating Income]]/Table6[[#This Row],[Total Population Served]]</f>
        <v>34.10168471720818</v>
      </c>
    </row>
    <row r="86" spans="1:28" ht="13.5" thickBot="1" x14ac:dyDescent="0.25">
      <c r="A86" s="2" t="s">
        <v>225</v>
      </c>
      <c r="B86" s="1" t="s">
        <v>224</v>
      </c>
      <c r="C86" s="2" t="s">
        <v>24</v>
      </c>
      <c r="D86" s="2" t="s">
        <v>1127</v>
      </c>
      <c r="E86" s="3" t="s">
        <v>67</v>
      </c>
      <c r="F86" s="3" t="s">
        <v>68</v>
      </c>
      <c r="G86" s="4">
        <v>4514</v>
      </c>
      <c r="H86" s="4">
        <v>830</v>
      </c>
      <c r="I86" s="6">
        <v>7208</v>
      </c>
      <c r="J86" s="6">
        <v>6262</v>
      </c>
      <c r="K86" s="6">
        <v>40</v>
      </c>
      <c r="L86" s="6">
        <v>0</v>
      </c>
      <c r="M86" s="6">
        <v>13510</v>
      </c>
      <c r="N86" s="6">
        <v>3053</v>
      </c>
      <c r="O86" s="77">
        <v>3684</v>
      </c>
      <c r="P86" s="6">
        <v>14333</v>
      </c>
      <c r="Q86" s="6">
        <v>55887</v>
      </c>
      <c r="R86" s="2">
        <v>0</v>
      </c>
      <c r="S86" s="2">
        <v>0</v>
      </c>
      <c r="T86" s="6">
        <v>70220</v>
      </c>
      <c r="U86" s="2">
        <v>0</v>
      </c>
      <c r="V86" s="6">
        <v>83730</v>
      </c>
      <c r="W86" s="6">
        <v>3053</v>
      </c>
      <c r="X86" s="6">
        <v>86783</v>
      </c>
      <c r="Y86" s="6">
        <v>2953</v>
      </c>
      <c r="Z86" s="6">
        <v>0</v>
      </c>
      <c r="AA86" s="6">
        <v>89736</v>
      </c>
      <c r="AB86" s="142">
        <f>Table6[[#This Row],[Total Operating Income]]/Table6[[#This Row],[Total Population Served]]</f>
        <v>19.879486043420471</v>
      </c>
    </row>
    <row r="87" spans="1:28" ht="13.5" thickBot="1" x14ac:dyDescent="0.25">
      <c r="A87" s="2" t="s">
        <v>241</v>
      </c>
      <c r="B87" s="1" t="s">
        <v>240</v>
      </c>
      <c r="C87" s="2" t="s">
        <v>24</v>
      </c>
      <c r="D87" s="2" t="s">
        <v>1155</v>
      </c>
      <c r="E87" s="3" t="s">
        <v>22</v>
      </c>
      <c r="F87" s="3" t="s">
        <v>23</v>
      </c>
      <c r="G87" s="4">
        <v>6838</v>
      </c>
      <c r="H87" s="4">
        <v>6838</v>
      </c>
      <c r="I87" s="6">
        <v>21130</v>
      </c>
      <c r="J87" s="78">
        <v>0</v>
      </c>
      <c r="K87" s="6">
        <v>42000</v>
      </c>
      <c r="L87" s="6">
        <v>26715</v>
      </c>
      <c r="M87" s="6">
        <v>89845</v>
      </c>
      <c r="N87" s="6">
        <v>7381</v>
      </c>
      <c r="O87" s="2">
        <v>0</v>
      </c>
      <c r="P87" s="2">
        <v>0</v>
      </c>
      <c r="Q87" s="2">
        <v>0</v>
      </c>
      <c r="R87" s="2">
        <v>0</v>
      </c>
      <c r="S87" s="2">
        <v>0</v>
      </c>
      <c r="T87" s="2">
        <v>0</v>
      </c>
      <c r="U87" s="2">
        <v>0</v>
      </c>
      <c r="V87" s="6">
        <v>89845</v>
      </c>
      <c r="W87" s="6">
        <v>7381</v>
      </c>
      <c r="X87" s="6">
        <v>97226</v>
      </c>
      <c r="Y87" s="6">
        <v>4472</v>
      </c>
      <c r="Z87" s="6">
        <v>0</v>
      </c>
      <c r="AA87" s="6">
        <v>101698</v>
      </c>
      <c r="AB87" s="142">
        <f>Table6[[#This Row],[Total Operating Income]]/Table6[[#This Row],[Total Population Served]]</f>
        <v>14.872477332553379</v>
      </c>
    </row>
    <row r="88" spans="1:28" ht="13.5" thickBot="1" x14ac:dyDescent="0.25">
      <c r="A88" s="2" t="s">
        <v>247</v>
      </c>
      <c r="B88" s="1" t="s">
        <v>246</v>
      </c>
      <c r="C88" s="2" t="s">
        <v>24</v>
      </c>
      <c r="D88" s="2" t="s">
        <v>1200</v>
      </c>
      <c r="E88" s="3" t="s">
        <v>67</v>
      </c>
      <c r="F88" s="3" t="s">
        <v>68</v>
      </c>
      <c r="G88" s="4">
        <v>4869</v>
      </c>
      <c r="H88" s="4">
        <v>1861</v>
      </c>
      <c r="I88" s="6">
        <v>1130</v>
      </c>
      <c r="J88" s="6">
        <v>12778</v>
      </c>
      <c r="K88" s="6">
        <v>0</v>
      </c>
      <c r="L88" s="6">
        <v>0</v>
      </c>
      <c r="M88" s="6">
        <v>13908</v>
      </c>
      <c r="N88" s="6">
        <v>2340</v>
      </c>
      <c r="O88" s="77">
        <v>3008</v>
      </c>
      <c r="P88" s="6">
        <v>1829</v>
      </c>
      <c r="Q88" s="6">
        <v>34889</v>
      </c>
      <c r="R88" s="6">
        <v>0</v>
      </c>
      <c r="S88" s="6">
        <v>0</v>
      </c>
      <c r="T88" s="6">
        <v>36718</v>
      </c>
      <c r="U88" s="6">
        <v>0</v>
      </c>
      <c r="V88" s="6">
        <v>50626</v>
      </c>
      <c r="W88" s="6">
        <v>2340</v>
      </c>
      <c r="X88" s="6">
        <v>52966</v>
      </c>
      <c r="Y88" s="6">
        <v>3185</v>
      </c>
      <c r="Z88" s="6">
        <v>0</v>
      </c>
      <c r="AA88" s="6">
        <v>56151</v>
      </c>
      <c r="AB88" s="142">
        <f>Table6[[#This Row],[Total Operating Income]]/Table6[[#This Row],[Total Population Served]]</f>
        <v>11.532347504621072</v>
      </c>
    </row>
    <row r="89" spans="1:28" ht="13.5" thickBot="1" x14ac:dyDescent="0.25">
      <c r="A89" s="2" t="s">
        <v>249</v>
      </c>
      <c r="B89" s="1" t="s">
        <v>248</v>
      </c>
      <c r="C89" s="2" t="s">
        <v>24</v>
      </c>
      <c r="D89" s="2" t="s">
        <v>1140</v>
      </c>
      <c r="E89" s="3" t="s">
        <v>27</v>
      </c>
      <c r="F89" s="3" t="s">
        <v>28</v>
      </c>
      <c r="G89" s="4">
        <v>4768</v>
      </c>
      <c r="H89" s="4">
        <v>4768</v>
      </c>
      <c r="I89" s="6">
        <v>13309</v>
      </c>
      <c r="J89" s="6">
        <v>69822</v>
      </c>
      <c r="K89" s="2">
        <v>0</v>
      </c>
      <c r="L89" s="78">
        <v>0</v>
      </c>
      <c r="M89" s="6">
        <v>83131</v>
      </c>
      <c r="N89" s="6">
        <v>7768</v>
      </c>
      <c r="O89" s="78">
        <v>0</v>
      </c>
      <c r="P89" s="78">
        <v>0</v>
      </c>
      <c r="Q89" s="2">
        <v>0</v>
      </c>
      <c r="R89" s="2">
        <v>0</v>
      </c>
      <c r="S89" s="2">
        <v>0</v>
      </c>
      <c r="T89" s="78">
        <v>0</v>
      </c>
      <c r="U89" s="2">
        <v>0</v>
      </c>
      <c r="V89" s="6">
        <v>83131</v>
      </c>
      <c r="W89" s="6">
        <v>7768</v>
      </c>
      <c r="X89" s="6">
        <v>90899</v>
      </c>
      <c r="Y89" s="6">
        <v>3496</v>
      </c>
      <c r="Z89" s="6">
        <v>0</v>
      </c>
      <c r="AA89" s="6">
        <v>94395</v>
      </c>
      <c r="AB89" s="142">
        <f>Table6[[#This Row],[Total Operating Income]]/Table6[[#This Row],[Total Population Served]]</f>
        <v>19.797609060402685</v>
      </c>
    </row>
    <row r="90" spans="1:28" ht="13.5" thickBot="1" x14ac:dyDescent="0.25">
      <c r="A90" s="2" t="s">
        <v>263</v>
      </c>
      <c r="B90" s="1" t="s">
        <v>262</v>
      </c>
      <c r="C90" s="2" t="s">
        <v>24</v>
      </c>
      <c r="D90" s="2" t="s">
        <v>1132</v>
      </c>
      <c r="E90" s="3" t="s">
        <v>264</v>
      </c>
      <c r="F90" s="3" t="s">
        <v>265</v>
      </c>
      <c r="G90" s="4">
        <v>5432</v>
      </c>
      <c r="H90" s="4">
        <v>4835</v>
      </c>
      <c r="I90" s="6">
        <v>14022</v>
      </c>
      <c r="J90" s="6">
        <v>313390</v>
      </c>
      <c r="K90" s="2">
        <v>0</v>
      </c>
      <c r="L90" s="2">
        <v>0</v>
      </c>
      <c r="M90" s="6">
        <v>327412</v>
      </c>
      <c r="N90" s="6">
        <v>15311</v>
      </c>
      <c r="O90" s="77">
        <v>597</v>
      </c>
      <c r="P90" s="6">
        <v>1731</v>
      </c>
      <c r="Q90" s="2">
        <v>0</v>
      </c>
      <c r="R90" s="2">
        <v>0</v>
      </c>
      <c r="S90" s="6">
        <v>3500</v>
      </c>
      <c r="T90" s="6">
        <v>5231</v>
      </c>
      <c r="U90" s="2">
        <v>0</v>
      </c>
      <c r="V90" s="6">
        <v>332643</v>
      </c>
      <c r="W90" s="6">
        <v>15311</v>
      </c>
      <c r="X90" s="6">
        <v>347954</v>
      </c>
      <c r="Y90" s="6">
        <v>3553</v>
      </c>
      <c r="Z90" s="6">
        <v>0</v>
      </c>
      <c r="AA90" s="6">
        <v>351507</v>
      </c>
      <c r="AB90" s="142">
        <f>Table6[[#This Row],[Total Operating Income]]/Table6[[#This Row],[Total Population Served]]</f>
        <v>64.710419734904278</v>
      </c>
    </row>
    <row r="91" spans="1:28" ht="13.5" thickBot="1" x14ac:dyDescent="0.25">
      <c r="A91" s="2" t="s">
        <v>293</v>
      </c>
      <c r="B91" s="1" t="s">
        <v>292</v>
      </c>
      <c r="C91" s="2" t="s">
        <v>24</v>
      </c>
      <c r="D91" s="2" t="s">
        <v>1213</v>
      </c>
      <c r="E91" s="3" t="s">
        <v>67</v>
      </c>
      <c r="F91" s="3" t="s">
        <v>68</v>
      </c>
      <c r="G91" s="4">
        <v>6164</v>
      </c>
      <c r="H91" s="4">
        <v>6164</v>
      </c>
      <c r="I91" s="6">
        <v>16353</v>
      </c>
      <c r="J91" s="6">
        <v>92182</v>
      </c>
      <c r="K91" s="6">
        <v>50000</v>
      </c>
      <c r="L91" s="6">
        <v>11929</v>
      </c>
      <c r="M91" s="6">
        <v>170464</v>
      </c>
      <c r="N91" s="6">
        <v>9516</v>
      </c>
      <c r="O91" s="2">
        <v>0</v>
      </c>
      <c r="P91" s="2">
        <v>0</v>
      </c>
      <c r="Q91" s="2">
        <v>0</v>
      </c>
      <c r="R91" s="2">
        <v>0</v>
      </c>
      <c r="S91" s="2">
        <v>0</v>
      </c>
      <c r="T91" s="2">
        <v>0</v>
      </c>
      <c r="U91" s="2">
        <v>0</v>
      </c>
      <c r="V91" s="6">
        <v>170464</v>
      </c>
      <c r="W91" s="6">
        <v>9516</v>
      </c>
      <c r="X91" s="6">
        <v>179980</v>
      </c>
      <c r="Y91" s="6">
        <v>4032</v>
      </c>
      <c r="Z91" s="6">
        <v>0</v>
      </c>
      <c r="AA91" s="6">
        <v>184012</v>
      </c>
      <c r="AB91" s="142">
        <f>Table6[[#This Row],[Total Operating Income]]/Table6[[#This Row],[Total Population Served]]</f>
        <v>29.852693056456847</v>
      </c>
    </row>
    <row r="92" spans="1:28" ht="13.5" thickBot="1" x14ac:dyDescent="0.25">
      <c r="A92" s="2" t="s">
        <v>303</v>
      </c>
      <c r="B92" s="1" t="s">
        <v>302</v>
      </c>
      <c r="C92" s="2" t="s">
        <v>24</v>
      </c>
      <c r="D92" s="2" t="s">
        <v>1200</v>
      </c>
      <c r="E92" s="3" t="s">
        <v>27</v>
      </c>
      <c r="F92" s="3" t="s">
        <v>28</v>
      </c>
      <c r="G92" s="4">
        <v>5641</v>
      </c>
      <c r="H92" s="4">
        <v>5641</v>
      </c>
      <c r="I92" s="6">
        <v>3434</v>
      </c>
      <c r="J92" s="6">
        <v>88879</v>
      </c>
      <c r="K92" s="2">
        <v>0</v>
      </c>
      <c r="L92" s="2">
        <v>0</v>
      </c>
      <c r="M92" s="6">
        <v>92313</v>
      </c>
      <c r="N92" s="6">
        <v>10280</v>
      </c>
      <c r="O92" s="2">
        <v>0</v>
      </c>
      <c r="P92" s="2">
        <v>0</v>
      </c>
      <c r="Q92" s="2">
        <v>0</v>
      </c>
      <c r="R92" s="2">
        <v>0</v>
      </c>
      <c r="S92" s="2">
        <v>0</v>
      </c>
      <c r="T92" s="2">
        <v>0</v>
      </c>
      <c r="U92" s="2">
        <v>0</v>
      </c>
      <c r="V92" s="6">
        <v>92313</v>
      </c>
      <c r="W92" s="6">
        <v>10280</v>
      </c>
      <c r="X92" s="6">
        <v>102593</v>
      </c>
      <c r="Y92" s="6">
        <v>4137</v>
      </c>
      <c r="Z92" s="6">
        <v>0</v>
      </c>
      <c r="AA92" s="6">
        <v>106730</v>
      </c>
      <c r="AB92" s="142">
        <f>Table6[[#This Row],[Total Operating Income]]/Table6[[#This Row],[Total Population Served]]</f>
        <v>18.920404183655382</v>
      </c>
    </row>
    <row r="93" spans="1:28" ht="13.5" thickBot="1" x14ac:dyDescent="0.25">
      <c r="A93" s="2" t="s">
        <v>347</v>
      </c>
      <c r="B93" s="1" t="s">
        <v>346</v>
      </c>
      <c r="C93" s="2" t="s">
        <v>24</v>
      </c>
      <c r="D93" s="2" t="s">
        <v>1171</v>
      </c>
      <c r="E93" s="3" t="s">
        <v>27</v>
      </c>
      <c r="F93" s="3" t="s">
        <v>28</v>
      </c>
      <c r="G93" s="4">
        <v>6831</v>
      </c>
      <c r="H93" s="4">
        <v>6831</v>
      </c>
      <c r="I93" s="6">
        <v>7714</v>
      </c>
      <c r="J93" s="6">
        <v>0</v>
      </c>
      <c r="K93" s="6">
        <v>52298</v>
      </c>
      <c r="L93" s="78">
        <v>0</v>
      </c>
      <c r="M93" s="6">
        <v>60012</v>
      </c>
      <c r="N93" s="78">
        <v>0</v>
      </c>
      <c r="O93" s="78">
        <v>0</v>
      </c>
      <c r="P93" s="78">
        <v>0</v>
      </c>
      <c r="Q93" s="2">
        <v>0</v>
      </c>
      <c r="R93" s="2">
        <v>0</v>
      </c>
      <c r="S93" s="78">
        <v>0</v>
      </c>
      <c r="T93" s="78">
        <v>0</v>
      </c>
      <c r="U93" s="2">
        <v>0</v>
      </c>
      <c r="V93" s="6">
        <v>60012</v>
      </c>
      <c r="W93" s="78">
        <v>0</v>
      </c>
      <c r="X93" s="6">
        <v>60012</v>
      </c>
      <c r="Y93" s="6">
        <v>2218</v>
      </c>
      <c r="Z93" s="6">
        <v>0</v>
      </c>
      <c r="AA93" s="6">
        <v>62230</v>
      </c>
      <c r="AB93" s="142">
        <f>Table6[[#This Row],[Total Operating Income]]/Table6[[#This Row],[Total Population Served]]</f>
        <v>9.1099399795051976</v>
      </c>
    </row>
    <row r="94" spans="1:28" ht="13.5" thickBot="1" x14ac:dyDescent="0.25">
      <c r="A94" s="2" t="s">
        <v>349</v>
      </c>
      <c r="B94" s="1" t="s">
        <v>348</v>
      </c>
      <c r="C94" s="2" t="s">
        <v>24</v>
      </c>
      <c r="D94" s="2" t="s">
        <v>1150</v>
      </c>
      <c r="E94" s="3" t="s">
        <v>27</v>
      </c>
      <c r="F94" s="3" t="s">
        <v>28</v>
      </c>
      <c r="G94" s="4">
        <v>6119</v>
      </c>
      <c r="H94" s="4">
        <v>4585</v>
      </c>
      <c r="I94" s="6">
        <v>14538</v>
      </c>
      <c r="J94" s="6">
        <v>444089</v>
      </c>
      <c r="K94" s="78">
        <v>0</v>
      </c>
      <c r="L94" s="6">
        <v>84537</v>
      </c>
      <c r="M94" s="6">
        <v>543164</v>
      </c>
      <c r="N94" s="78">
        <v>0</v>
      </c>
      <c r="O94" s="77">
        <v>1534</v>
      </c>
      <c r="P94" s="6">
        <v>4864</v>
      </c>
      <c r="Q94" s="2">
        <v>0</v>
      </c>
      <c r="R94" s="2">
        <v>0</v>
      </c>
      <c r="S94" s="2">
        <v>0</v>
      </c>
      <c r="T94" s="6">
        <v>4864</v>
      </c>
      <c r="U94" s="2">
        <v>0</v>
      </c>
      <c r="V94" s="6">
        <v>548028</v>
      </c>
      <c r="W94" s="78">
        <v>0</v>
      </c>
      <c r="X94" s="6">
        <v>548028</v>
      </c>
      <c r="Y94" s="6">
        <v>4242</v>
      </c>
      <c r="Z94" s="6">
        <v>0</v>
      </c>
      <c r="AA94" s="6">
        <v>552270</v>
      </c>
      <c r="AB94" s="142">
        <f>Table6[[#This Row],[Total Operating Income]]/Table6[[#This Row],[Total Population Served]]</f>
        <v>90.254943618238272</v>
      </c>
    </row>
    <row r="95" spans="1:28" ht="13.5" thickBot="1" x14ac:dyDescent="0.25">
      <c r="A95" s="2" t="s">
        <v>359</v>
      </c>
      <c r="B95" s="1" t="s">
        <v>358</v>
      </c>
      <c r="C95" s="2" t="s">
        <v>24</v>
      </c>
      <c r="D95" s="2" t="s">
        <v>1229</v>
      </c>
      <c r="E95" s="3" t="s">
        <v>22</v>
      </c>
      <c r="F95" s="3" t="s">
        <v>23</v>
      </c>
      <c r="G95" s="4">
        <v>6582</v>
      </c>
      <c r="H95" s="4">
        <v>5962</v>
      </c>
      <c r="I95" s="6">
        <v>27902</v>
      </c>
      <c r="J95" s="6">
        <v>150798</v>
      </c>
      <c r="K95" s="6">
        <v>0</v>
      </c>
      <c r="L95" s="6">
        <v>7058</v>
      </c>
      <c r="M95" s="6">
        <v>185758</v>
      </c>
      <c r="N95" s="6">
        <v>43117</v>
      </c>
      <c r="O95" s="77">
        <v>620</v>
      </c>
      <c r="P95" s="6">
        <v>2901</v>
      </c>
      <c r="Q95" s="6">
        <v>0</v>
      </c>
      <c r="R95" s="6">
        <v>0</v>
      </c>
      <c r="S95" s="6">
        <v>0</v>
      </c>
      <c r="T95" s="6">
        <v>2901</v>
      </c>
      <c r="U95" s="6">
        <v>0</v>
      </c>
      <c r="V95" s="6">
        <v>188659</v>
      </c>
      <c r="W95" s="6">
        <v>43117</v>
      </c>
      <c r="X95" s="6">
        <v>231776</v>
      </c>
      <c r="Y95" s="6">
        <v>4305</v>
      </c>
      <c r="Z95" s="6">
        <v>0</v>
      </c>
      <c r="AA95" s="6">
        <v>236081</v>
      </c>
      <c r="AB95" s="142">
        <f>Table6[[#This Row],[Total Operating Income]]/Table6[[#This Row],[Total Population Served]]</f>
        <v>35.867669401397748</v>
      </c>
    </row>
    <row r="96" spans="1:28" ht="13.5" thickBot="1" x14ac:dyDescent="0.25">
      <c r="A96" s="2" t="s">
        <v>369</v>
      </c>
      <c r="B96" s="1" t="s">
        <v>368</v>
      </c>
      <c r="C96" s="2" t="s">
        <v>24</v>
      </c>
      <c r="D96" s="2" t="s">
        <v>1195</v>
      </c>
      <c r="E96" s="3" t="s">
        <v>27</v>
      </c>
      <c r="F96" s="3" t="s">
        <v>28</v>
      </c>
      <c r="G96" s="4">
        <v>5933</v>
      </c>
      <c r="H96" s="4">
        <v>5933</v>
      </c>
      <c r="I96" s="6">
        <v>30563</v>
      </c>
      <c r="J96" s="6">
        <v>107556</v>
      </c>
      <c r="K96" s="78">
        <v>0</v>
      </c>
      <c r="L96" s="78">
        <v>0</v>
      </c>
      <c r="M96" s="6">
        <v>138119</v>
      </c>
      <c r="N96" s="6">
        <v>51136</v>
      </c>
      <c r="O96" s="78">
        <v>0</v>
      </c>
      <c r="P96" s="78">
        <v>0</v>
      </c>
      <c r="Q96" s="78">
        <v>0</v>
      </c>
      <c r="R96" s="2">
        <v>0</v>
      </c>
      <c r="S96" s="2">
        <v>0</v>
      </c>
      <c r="T96" s="78">
        <v>0</v>
      </c>
      <c r="U96" s="2">
        <v>0</v>
      </c>
      <c r="V96" s="6">
        <v>138119</v>
      </c>
      <c r="W96" s="6">
        <v>51136</v>
      </c>
      <c r="X96" s="6">
        <v>189255</v>
      </c>
      <c r="Y96" s="6">
        <v>4086</v>
      </c>
      <c r="Z96" s="6">
        <v>0</v>
      </c>
      <c r="AA96" s="6">
        <v>193341</v>
      </c>
      <c r="AB96" s="142">
        <f>Table6[[#This Row],[Total Operating Income]]/Table6[[#This Row],[Total Population Served]]</f>
        <v>32.587392550143264</v>
      </c>
    </row>
    <row r="97" spans="1:28" ht="13.5" thickBot="1" x14ac:dyDescent="0.25">
      <c r="A97" s="2" t="s">
        <v>377</v>
      </c>
      <c r="B97" s="1" t="s">
        <v>376</v>
      </c>
      <c r="C97" s="2" t="s">
        <v>24</v>
      </c>
      <c r="D97" s="2" t="s">
        <v>1178</v>
      </c>
      <c r="E97" s="3" t="s">
        <v>27</v>
      </c>
      <c r="F97" s="3" t="s">
        <v>28</v>
      </c>
      <c r="G97" s="4">
        <v>4220</v>
      </c>
      <c r="H97" s="4">
        <v>2542</v>
      </c>
      <c r="I97" s="6">
        <v>12215</v>
      </c>
      <c r="J97" s="6">
        <v>35070</v>
      </c>
      <c r="K97" s="6">
        <v>0</v>
      </c>
      <c r="L97" s="6">
        <v>2228</v>
      </c>
      <c r="M97" s="6">
        <v>49513</v>
      </c>
      <c r="N97" s="6">
        <v>33545</v>
      </c>
      <c r="O97" s="77">
        <v>1678</v>
      </c>
      <c r="P97" s="6">
        <v>8062</v>
      </c>
      <c r="Q97" s="6">
        <v>23151</v>
      </c>
      <c r="R97" s="6">
        <v>0</v>
      </c>
      <c r="S97" s="6">
        <v>0</v>
      </c>
      <c r="T97" s="6">
        <v>31213</v>
      </c>
      <c r="U97" s="6">
        <v>0</v>
      </c>
      <c r="V97" s="6">
        <v>80726</v>
      </c>
      <c r="W97" s="6">
        <v>33545</v>
      </c>
      <c r="X97" s="6">
        <v>114271</v>
      </c>
      <c r="Y97" s="6">
        <v>2926</v>
      </c>
      <c r="Z97" s="6">
        <v>0</v>
      </c>
      <c r="AA97" s="6">
        <v>117197</v>
      </c>
      <c r="AB97" s="142">
        <f>Table6[[#This Row],[Total Operating Income]]/Table6[[#This Row],[Total Population Served]]</f>
        <v>27.771800947867298</v>
      </c>
    </row>
    <row r="98" spans="1:28" ht="13.5" thickBot="1" x14ac:dyDescent="0.25">
      <c r="A98" s="2" t="s">
        <v>381</v>
      </c>
      <c r="B98" s="1" t="s">
        <v>380</v>
      </c>
      <c r="C98" s="2" t="s">
        <v>24</v>
      </c>
      <c r="D98" s="2" t="s">
        <v>1133</v>
      </c>
      <c r="E98" s="3" t="s">
        <v>22</v>
      </c>
      <c r="F98" s="3" t="s">
        <v>23</v>
      </c>
      <c r="G98" s="4">
        <v>4610</v>
      </c>
      <c r="H98" s="4">
        <v>4610</v>
      </c>
      <c r="I98" s="6">
        <v>30992</v>
      </c>
      <c r="J98" s="6">
        <v>89963</v>
      </c>
      <c r="K98" s="6">
        <v>0</v>
      </c>
      <c r="L98" s="6">
        <v>0</v>
      </c>
      <c r="M98" s="6">
        <v>120955</v>
      </c>
      <c r="N98" s="6">
        <v>3968</v>
      </c>
      <c r="O98" s="2">
        <v>0</v>
      </c>
      <c r="P98" s="2">
        <v>0</v>
      </c>
      <c r="Q98" s="2">
        <v>0</v>
      </c>
      <c r="R98" s="2">
        <v>0</v>
      </c>
      <c r="S98" s="2">
        <v>0</v>
      </c>
      <c r="T98" s="2">
        <v>0</v>
      </c>
      <c r="U98" s="2">
        <v>0</v>
      </c>
      <c r="V98" s="6">
        <v>120955</v>
      </c>
      <c r="W98" s="6">
        <v>3968</v>
      </c>
      <c r="X98" s="6">
        <v>124923</v>
      </c>
      <c r="Y98" s="6">
        <v>5015</v>
      </c>
      <c r="Z98" s="6">
        <v>0</v>
      </c>
      <c r="AA98" s="6">
        <v>129938</v>
      </c>
      <c r="AB98" s="142">
        <f>Table6[[#This Row],[Total Operating Income]]/Table6[[#This Row],[Total Population Served]]</f>
        <v>28.186117136659437</v>
      </c>
    </row>
    <row r="99" spans="1:28" ht="13.5" thickBot="1" x14ac:dyDescent="0.25">
      <c r="A99" s="2" t="s">
        <v>387</v>
      </c>
      <c r="B99" s="1" t="s">
        <v>386</v>
      </c>
      <c r="C99" s="2" t="s">
        <v>24</v>
      </c>
      <c r="D99" s="2" t="s">
        <v>1138</v>
      </c>
      <c r="E99" s="3" t="s">
        <v>264</v>
      </c>
      <c r="F99" s="3" t="s">
        <v>265</v>
      </c>
      <c r="G99" s="4">
        <v>5531</v>
      </c>
      <c r="H99" s="4">
        <v>1328</v>
      </c>
      <c r="I99" s="6">
        <v>10373</v>
      </c>
      <c r="J99" s="6">
        <v>21484</v>
      </c>
      <c r="K99" s="78">
        <v>0</v>
      </c>
      <c r="L99" s="78">
        <v>0</v>
      </c>
      <c r="M99" s="6">
        <v>31857</v>
      </c>
      <c r="N99" s="6">
        <v>32302</v>
      </c>
      <c r="O99" s="77">
        <v>4203</v>
      </c>
      <c r="P99" s="6">
        <v>22667</v>
      </c>
      <c r="Q99" s="6">
        <v>39696</v>
      </c>
      <c r="R99" s="2">
        <v>0</v>
      </c>
      <c r="S99" s="6">
        <v>1500</v>
      </c>
      <c r="T99" s="6">
        <v>63863</v>
      </c>
      <c r="U99" s="2">
        <v>0</v>
      </c>
      <c r="V99" s="6">
        <v>95720</v>
      </c>
      <c r="W99" s="6">
        <v>32302</v>
      </c>
      <c r="X99" s="6">
        <v>128022</v>
      </c>
      <c r="Y99" s="6">
        <v>3617</v>
      </c>
      <c r="Z99" s="6">
        <v>0</v>
      </c>
      <c r="AA99" s="6">
        <v>131639</v>
      </c>
      <c r="AB99" s="142">
        <f>Table6[[#This Row],[Total Operating Income]]/Table6[[#This Row],[Total Population Served]]</f>
        <v>23.800216958958597</v>
      </c>
    </row>
    <row r="100" spans="1:28" ht="13.5" thickBot="1" x14ac:dyDescent="0.25">
      <c r="A100" s="2" t="s">
        <v>391</v>
      </c>
      <c r="B100" s="1" t="s">
        <v>390</v>
      </c>
      <c r="C100" s="2" t="s">
        <v>24</v>
      </c>
      <c r="D100" s="2" t="s">
        <v>1126</v>
      </c>
      <c r="E100" s="3" t="s">
        <v>27</v>
      </c>
      <c r="F100" s="3" t="s">
        <v>28</v>
      </c>
      <c r="G100" s="4">
        <v>5107</v>
      </c>
      <c r="H100" s="4">
        <v>4978</v>
      </c>
      <c r="I100" s="6">
        <v>14173</v>
      </c>
      <c r="J100" s="6">
        <v>109045</v>
      </c>
      <c r="K100" s="78">
        <v>0</v>
      </c>
      <c r="L100" s="6">
        <v>17322</v>
      </c>
      <c r="M100" s="6">
        <v>140540</v>
      </c>
      <c r="N100" s="6">
        <v>8883</v>
      </c>
      <c r="O100" s="77">
        <v>129</v>
      </c>
      <c r="P100" s="6">
        <v>416</v>
      </c>
      <c r="Q100" s="2">
        <v>0</v>
      </c>
      <c r="R100" s="2">
        <v>0</v>
      </c>
      <c r="S100" s="2">
        <v>0</v>
      </c>
      <c r="T100" s="6">
        <v>416</v>
      </c>
      <c r="U100" s="2">
        <v>0</v>
      </c>
      <c r="V100" s="6">
        <v>140956</v>
      </c>
      <c r="W100" s="6">
        <v>8883</v>
      </c>
      <c r="X100" s="6">
        <v>149839</v>
      </c>
      <c r="Y100" s="6">
        <v>3541</v>
      </c>
      <c r="Z100" s="6">
        <v>0</v>
      </c>
      <c r="AA100" s="6">
        <v>153380</v>
      </c>
      <c r="AB100" s="142">
        <f>Table6[[#This Row],[Total Operating Income]]/Table6[[#This Row],[Total Population Served]]</f>
        <v>30.033287644409633</v>
      </c>
    </row>
    <row r="101" spans="1:28" ht="13.5" thickBot="1" x14ac:dyDescent="0.25">
      <c r="A101" s="2" t="s">
        <v>397</v>
      </c>
      <c r="B101" s="1" t="s">
        <v>396</v>
      </c>
      <c r="C101" s="2" t="s">
        <v>24</v>
      </c>
      <c r="D101" s="2" t="s">
        <v>1210</v>
      </c>
      <c r="E101" s="3" t="s">
        <v>22</v>
      </c>
      <c r="F101" s="3" t="s">
        <v>23</v>
      </c>
      <c r="G101" s="4">
        <v>5784</v>
      </c>
      <c r="H101" s="4">
        <v>5784</v>
      </c>
      <c r="I101" s="6">
        <v>14220</v>
      </c>
      <c r="J101" s="6">
        <v>0</v>
      </c>
      <c r="K101" s="6">
        <v>0</v>
      </c>
      <c r="L101" s="6">
        <v>185165</v>
      </c>
      <c r="M101" s="6">
        <v>199385</v>
      </c>
      <c r="N101" s="6">
        <v>19070</v>
      </c>
      <c r="O101" s="2">
        <v>0</v>
      </c>
      <c r="P101" s="2">
        <v>0</v>
      </c>
      <c r="Q101" s="2">
        <v>0</v>
      </c>
      <c r="R101" s="2">
        <v>0</v>
      </c>
      <c r="S101" s="2">
        <v>0</v>
      </c>
      <c r="T101" s="2">
        <v>0</v>
      </c>
      <c r="U101" s="2">
        <v>0</v>
      </c>
      <c r="V101" s="6">
        <v>199385</v>
      </c>
      <c r="W101" s="6">
        <v>19070</v>
      </c>
      <c r="X101" s="6">
        <v>218455</v>
      </c>
      <c r="Y101" s="6">
        <v>3783</v>
      </c>
      <c r="Z101" s="6">
        <v>0</v>
      </c>
      <c r="AA101" s="6">
        <v>222238</v>
      </c>
      <c r="AB101" s="142">
        <f>Table6[[#This Row],[Total Operating Income]]/Table6[[#This Row],[Total Population Served]]</f>
        <v>38.422890733056711</v>
      </c>
    </row>
    <row r="102" spans="1:28" ht="13.5" thickBot="1" x14ac:dyDescent="0.25">
      <c r="A102" s="2" t="s">
        <v>403</v>
      </c>
      <c r="B102" s="1" t="s">
        <v>402</v>
      </c>
      <c r="C102" s="2" t="s">
        <v>24</v>
      </c>
      <c r="D102" s="2" t="s">
        <v>1160</v>
      </c>
      <c r="E102" s="3" t="s">
        <v>27</v>
      </c>
      <c r="F102" s="3" t="s">
        <v>28</v>
      </c>
      <c r="G102" s="4">
        <v>5713</v>
      </c>
      <c r="H102" s="4">
        <v>5387</v>
      </c>
      <c r="I102" s="6">
        <v>37551</v>
      </c>
      <c r="J102" s="6">
        <v>87674</v>
      </c>
      <c r="K102" s="6">
        <v>120</v>
      </c>
      <c r="L102" s="6">
        <v>5059</v>
      </c>
      <c r="M102" s="6">
        <v>130404</v>
      </c>
      <c r="N102" s="6">
        <v>35211</v>
      </c>
      <c r="O102" s="77">
        <v>326</v>
      </c>
      <c r="P102" s="6">
        <v>2272</v>
      </c>
      <c r="Q102" s="2">
        <v>0</v>
      </c>
      <c r="R102" s="2">
        <v>0</v>
      </c>
      <c r="S102" s="6">
        <v>900</v>
      </c>
      <c r="T102" s="6">
        <v>3172</v>
      </c>
      <c r="U102" s="2">
        <v>0</v>
      </c>
      <c r="V102" s="6">
        <v>133576</v>
      </c>
      <c r="W102" s="6">
        <v>35211</v>
      </c>
      <c r="X102" s="6">
        <v>168787</v>
      </c>
      <c r="Y102" s="6">
        <v>3961</v>
      </c>
      <c r="Z102" s="6">
        <v>0</v>
      </c>
      <c r="AA102" s="6">
        <v>172748</v>
      </c>
      <c r="AB102" s="142">
        <f>Table6[[#This Row],[Total Operating Income]]/Table6[[#This Row],[Total Population Served]]</f>
        <v>30.237703483283738</v>
      </c>
    </row>
    <row r="103" spans="1:28" ht="13.5" thickBot="1" x14ac:dyDescent="0.25">
      <c r="A103" s="2" t="s">
        <v>407</v>
      </c>
      <c r="B103" s="1" t="s">
        <v>406</v>
      </c>
      <c r="C103" s="2" t="s">
        <v>24</v>
      </c>
      <c r="D103" s="2" t="s">
        <v>1133</v>
      </c>
      <c r="E103" s="3" t="s">
        <v>27</v>
      </c>
      <c r="F103" s="3" t="s">
        <v>28</v>
      </c>
      <c r="G103" s="4">
        <v>6443</v>
      </c>
      <c r="H103" s="4">
        <v>2629</v>
      </c>
      <c r="I103" s="6">
        <v>24491</v>
      </c>
      <c r="J103" s="6">
        <v>0</v>
      </c>
      <c r="K103" s="6">
        <v>0</v>
      </c>
      <c r="L103" s="6">
        <v>0</v>
      </c>
      <c r="M103" s="6">
        <v>24491</v>
      </c>
      <c r="N103" s="6">
        <v>43002</v>
      </c>
      <c r="O103" s="77">
        <v>3814</v>
      </c>
      <c r="P103" s="6">
        <v>0</v>
      </c>
      <c r="Q103" s="6">
        <v>0</v>
      </c>
      <c r="R103" s="6">
        <v>0</v>
      </c>
      <c r="S103" s="6">
        <v>7000</v>
      </c>
      <c r="T103" s="6">
        <v>7000</v>
      </c>
      <c r="U103" s="6">
        <v>0</v>
      </c>
      <c r="V103" s="6">
        <v>31491</v>
      </c>
      <c r="W103" s="6">
        <v>43002</v>
      </c>
      <c r="X103" s="6">
        <v>74493</v>
      </c>
      <c r="Y103" s="6">
        <v>4121</v>
      </c>
      <c r="Z103" s="6">
        <v>0</v>
      </c>
      <c r="AA103" s="6">
        <v>78614</v>
      </c>
      <c r="AB103" s="142">
        <f>Table6[[#This Row],[Total Operating Income]]/Table6[[#This Row],[Total Population Served]]</f>
        <v>12.201458947695173</v>
      </c>
    </row>
    <row r="104" spans="1:28" ht="13.5" thickBot="1" x14ac:dyDescent="0.25">
      <c r="A104" s="2" t="s">
        <v>411</v>
      </c>
      <c r="B104" s="1" t="s">
        <v>410</v>
      </c>
      <c r="C104" s="2" t="s">
        <v>24</v>
      </c>
      <c r="D104" s="2" t="s">
        <v>1166</v>
      </c>
      <c r="E104" s="3" t="s">
        <v>27</v>
      </c>
      <c r="F104" s="3" t="s">
        <v>28</v>
      </c>
      <c r="G104" s="4">
        <v>4080</v>
      </c>
      <c r="H104" s="4">
        <v>3581</v>
      </c>
      <c r="I104" s="6">
        <v>17179</v>
      </c>
      <c r="J104" s="6">
        <v>0</v>
      </c>
      <c r="K104" s="6">
        <v>0</v>
      </c>
      <c r="L104" s="6">
        <v>0</v>
      </c>
      <c r="M104" s="6">
        <v>17179</v>
      </c>
      <c r="N104" s="6">
        <v>24734</v>
      </c>
      <c r="O104" s="77">
        <v>499</v>
      </c>
      <c r="P104" s="6">
        <v>2567</v>
      </c>
      <c r="Q104" s="6">
        <v>0</v>
      </c>
      <c r="R104" s="6">
        <v>0</v>
      </c>
      <c r="S104" s="6">
        <v>0</v>
      </c>
      <c r="T104" s="6">
        <v>2567</v>
      </c>
      <c r="U104" s="6">
        <v>3696</v>
      </c>
      <c r="V104" s="6">
        <v>19746</v>
      </c>
      <c r="W104" s="6">
        <v>28430</v>
      </c>
      <c r="X104" s="6">
        <v>48176</v>
      </c>
      <c r="Y104" s="6">
        <v>2829</v>
      </c>
      <c r="Z104" s="6">
        <v>0</v>
      </c>
      <c r="AA104" s="6">
        <v>51005</v>
      </c>
      <c r="AB104" s="142">
        <f>Table6[[#This Row],[Total Operating Income]]/Table6[[#This Row],[Total Population Served]]</f>
        <v>12.501225490196079</v>
      </c>
    </row>
    <row r="105" spans="1:28" ht="13.5" thickBot="1" x14ac:dyDescent="0.25">
      <c r="A105" s="2" t="s">
        <v>413</v>
      </c>
      <c r="B105" s="1" t="s">
        <v>412</v>
      </c>
      <c r="C105" s="2" t="s">
        <v>24</v>
      </c>
      <c r="D105" s="2" t="s">
        <v>1173</v>
      </c>
      <c r="E105" s="3" t="s">
        <v>22</v>
      </c>
      <c r="F105" s="3" t="s">
        <v>23</v>
      </c>
      <c r="G105" s="4">
        <v>5210</v>
      </c>
      <c r="H105" s="4">
        <v>3326</v>
      </c>
      <c r="I105" s="6">
        <v>11090</v>
      </c>
      <c r="J105" s="6">
        <v>103401</v>
      </c>
      <c r="K105" s="6">
        <v>0</v>
      </c>
      <c r="L105" s="6">
        <v>19866</v>
      </c>
      <c r="M105" s="6">
        <v>134357</v>
      </c>
      <c r="N105" s="6">
        <v>20656</v>
      </c>
      <c r="O105" s="77">
        <v>1884</v>
      </c>
      <c r="P105" s="6">
        <v>6274</v>
      </c>
      <c r="Q105" s="6">
        <v>0</v>
      </c>
      <c r="R105" s="6">
        <v>0</v>
      </c>
      <c r="S105" s="6">
        <v>1000</v>
      </c>
      <c r="T105" s="6">
        <v>7274</v>
      </c>
      <c r="U105" s="6">
        <v>0</v>
      </c>
      <c r="V105" s="6">
        <v>141631</v>
      </c>
      <c r="W105" s="6">
        <v>20656</v>
      </c>
      <c r="X105" s="6">
        <v>162287</v>
      </c>
      <c r="Y105" s="6">
        <v>3408</v>
      </c>
      <c r="Z105" s="6">
        <v>0</v>
      </c>
      <c r="AA105" s="6">
        <v>165695</v>
      </c>
      <c r="AB105" s="142">
        <f>Table6[[#This Row],[Total Operating Income]]/Table6[[#This Row],[Total Population Served]]</f>
        <v>31.803262955854127</v>
      </c>
    </row>
    <row r="106" spans="1:28" ht="13.5" thickBot="1" x14ac:dyDescent="0.25">
      <c r="A106" s="2" t="s">
        <v>415</v>
      </c>
      <c r="B106" s="1" t="s">
        <v>414</v>
      </c>
      <c r="C106" s="2" t="s">
        <v>24</v>
      </c>
      <c r="D106" s="2" t="s">
        <v>1154</v>
      </c>
      <c r="E106" s="3" t="s">
        <v>27</v>
      </c>
      <c r="F106" s="3" t="s">
        <v>28</v>
      </c>
      <c r="G106" s="4">
        <v>6997</v>
      </c>
      <c r="H106" s="4">
        <v>6752</v>
      </c>
      <c r="I106" s="6">
        <v>23246</v>
      </c>
      <c r="J106" s="6">
        <v>326214</v>
      </c>
      <c r="K106" s="6">
        <v>0</v>
      </c>
      <c r="L106" s="78">
        <v>0</v>
      </c>
      <c r="M106" s="6">
        <v>349460</v>
      </c>
      <c r="N106" s="6">
        <v>13829</v>
      </c>
      <c r="O106" s="77">
        <v>245</v>
      </c>
      <c r="P106" s="6">
        <v>0</v>
      </c>
      <c r="Q106" s="2">
        <v>0</v>
      </c>
      <c r="R106" s="2">
        <v>0</v>
      </c>
      <c r="S106" s="2">
        <v>0</v>
      </c>
      <c r="T106" s="6">
        <v>0</v>
      </c>
      <c r="U106" s="2">
        <v>0</v>
      </c>
      <c r="V106" s="6">
        <v>349460</v>
      </c>
      <c r="W106" s="6">
        <v>13829</v>
      </c>
      <c r="X106" s="6">
        <v>363289</v>
      </c>
      <c r="Y106" s="6">
        <v>4851</v>
      </c>
      <c r="Z106" s="6">
        <v>0</v>
      </c>
      <c r="AA106" s="6">
        <v>368140</v>
      </c>
      <c r="AB106" s="142">
        <f>Table6[[#This Row],[Total Operating Income]]/Table6[[#This Row],[Total Population Served]]</f>
        <v>52.613977418893811</v>
      </c>
    </row>
    <row r="107" spans="1:28" ht="13.5" thickBot="1" x14ac:dyDescent="0.25">
      <c r="A107" s="2" t="s">
        <v>429</v>
      </c>
      <c r="B107" s="1" t="s">
        <v>428</v>
      </c>
      <c r="C107" s="2" t="s">
        <v>24</v>
      </c>
      <c r="D107" s="2" t="s">
        <v>1143</v>
      </c>
      <c r="E107" s="3" t="s">
        <v>264</v>
      </c>
      <c r="F107" s="3" t="s">
        <v>265</v>
      </c>
      <c r="G107" s="4">
        <v>4168</v>
      </c>
      <c r="H107" s="4">
        <v>3778</v>
      </c>
      <c r="I107" s="6">
        <v>23637</v>
      </c>
      <c r="J107" s="6">
        <v>224151</v>
      </c>
      <c r="K107" s="78">
        <v>0</v>
      </c>
      <c r="L107" s="78">
        <v>0</v>
      </c>
      <c r="M107" s="6">
        <v>247788</v>
      </c>
      <c r="N107" s="6">
        <v>27925</v>
      </c>
      <c r="O107" s="4">
        <v>390</v>
      </c>
      <c r="P107" s="78">
        <v>0</v>
      </c>
      <c r="Q107" s="6">
        <v>17855</v>
      </c>
      <c r="R107" s="78">
        <v>0</v>
      </c>
      <c r="S107" s="78">
        <v>0</v>
      </c>
      <c r="T107" s="6">
        <v>17855</v>
      </c>
      <c r="U107" s="78">
        <v>0</v>
      </c>
      <c r="V107" s="6">
        <v>265643</v>
      </c>
      <c r="W107" s="6">
        <v>27925</v>
      </c>
      <c r="X107" s="6">
        <v>293568</v>
      </c>
      <c r="Y107" s="6">
        <v>2726</v>
      </c>
      <c r="Z107" s="6">
        <v>0</v>
      </c>
      <c r="AA107" s="6">
        <v>296294</v>
      </c>
      <c r="AB107" s="142">
        <f>Table6[[#This Row],[Total Operating Income]]/Table6[[#This Row],[Total Population Served]]</f>
        <v>71.087811900191937</v>
      </c>
    </row>
    <row r="108" spans="1:28" ht="13.5" thickBot="1" x14ac:dyDescent="0.25">
      <c r="A108" s="2" t="s">
        <v>441</v>
      </c>
      <c r="B108" s="1" t="s">
        <v>440</v>
      </c>
      <c r="C108" s="2" t="s">
        <v>24</v>
      </c>
      <c r="D108" s="2" t="s">
        <v>1133</v>
      </c>
      <c r="E108" s="3" t="s">
        <v>67</v>
      </c>
      <c r="F108" s="3" t="s">
        <v>68</v>
      </c>
      <c r="G108" s="4">
        <v>4934</v>
      </c>
      <c r="H108" s="4">
        <v>4934</v>
      </c>
      <c r="I108" s="6">
        <v>33535</v>
      </c>
      <c r="J108" s="6">
        <v>222064</v>
      </c>
      <c r="K108" s="2">
        <v>0</v>
      </c>
      <c r="L108" s="6">
        <v>866</v>
      </c>
      <c r="M108" s="6">
        <v>256465</v>
      </c>
      <c r="N108" s="6">
        <v>14517</v>
      </c>
      <c r="O108" s="2">
        <v>0</v>
      </c>
      <c r="P108" s="2">
        <v>0</v>
      </c>
      <c r="Q108" s="2">
        <v>0</v>
      </c>
      <c r="R108" s="2">
        <v>0</v>
      </c>
      <c r="S108" s="2">
        <v>0</v>
      </c>
      <c r="T108" s="2">
        <v>0</v>
      </c>
      <c r="U108" s="2">
        <v>0</v>
      </c>
      <c r="V108" s="6">
        <v>256465</v>
      </c>
      <c r="W108" s="6">
        <v>14517</v>
      </c>
      <c r="X108" s="6">
        <v>270982</v>
      </c>
      <c r="Y108" s="6">
        <v>5293</v>
      </c>
      <c r="Z108" s="6">
        <v>3800</v>
      </c>
      <c r="AA108" s="6">
        <v>280075</v>
      </c>
      <c r="AB108" s="142">
        <f>Table6[[#This Row],[Total Operating Income]]/Table6[[#This Row],[Total Population Served]]</f>
        <v>56.764288609647345</v>
      </c>
    </row>
    <row r="109" spans="1:28" ht="13.5" thickBot="1" x14ac:dyDescent="0.25">
      <c r="A109" s="2" t="s">
        <v>443</v>
      </c>
      <c r="B109" s="1" t="s">
        <v>442</v>
      </c>
      <c r="C109" s="2" t="s">
        <v>24</v>
      </c>
      <c r="D109" s="2" t="s">
        <v>1222</v>
      </c>
      <c r="E109" s="3" t="s">
        <v>67</v>
      </c>
      <c r="F109" s="3" t="s">
        <v>68</v>
      </c>
      <c r="G109" s="4">
        <v>5857</v>
      </c>
      <c r="H109" s="4">
        <v>2043</v>
      </c>
      <c r="I109" s="6">
        <v>3886</v>
      </c>
      <c r="J109" s="6">
        <v>173338</v>
      </c>
      <c r="K109" s="2">
        <v>0</v>
      </c>
      <c r="L109" s="2">
        <v>0</v>
      </c>
      <c r="M109" s="6">
        <v>177224</v>
      </c>
      <c r="N109" s="6">
        <v>24319</v>
      </c>
      <c r="O109" s="77">
        <v>3814</v>
      </c>
      <c r="P109" s="6">
        <v>7254</v>
      </c>
      <c r="Q109" s="2">
        <v>0</v>
      </c>
      <c r="R109" s="2">
        <v>0</v>
      </c>
      <c r="S109" s="2">
        <v>0</v>
      </c>
      <c r="T109" s="6">
        <v>7254</v>
      </c>
      <c r="U109" s="2">
        <v>0</v>
      </c>
      <c r="V109" s="6">
        <v>184478</v>
      </c>
      <c r="W109" s="6">
        <v>24319</v>
      </c>
      <c r="X109" s="6">
        <v>208797</v>
      </c>
      <c r="Y109" s="6">
        <v>3831</v>
      </c>
      <c r="Z109" s="6">
        <v>0</v>
      </c>
      <c r="AA109" s="6">
        <v>212628</v>
      </c>
      <c r="AB109" s="142">
        <f>Table6[[#This Row],[Total Operating Income]]/Table6[[#This Row],[Total Population Served]]</f>
        <v>36.303226907973368</v>
      </c>
    </row>
    <row r="110" spans="1:28" ht="13.5" thickBot="1" x14ac:dyDescent="0.25">
      <c r="A110" s="2" t="s">
        <v>465</v>
      </c>
      <c r="B110" s="1" t="s">
        <v>464</v>
      </c>
      <c r="C110" s="2" t="s">
        <v>24</v>
      </c>
      <c r="D110" s="2" t="s">
        <v>1182</v>
      </c>
      <c r="E110" s="3" t="s">
        <v>67</v>
      </c>
      <c r="F110" s="3" t="s">
        <v>68</v>
      </c>
      <c r="G110" s="4">
        <v>4141</v>
      </c>
      <c r="H110" s="4">
        <v>1844</v>
      </c>
      <c r="I110" s="6">
        <v>9220</v>
      </c>
      <c r="J110" s="6">
        <v>21907</v>
      </c>
      <c r="K110" s="6">
        <v>0</v>
      </c>
      <c r="L110" s="6">
        <v>1106</v>
      </c>
      <c r="M110" s="6">
        <v>32233</v>
      </c>
      <c r="N110" s="6">
        <v>2693</v>
      </c>
      <c r="O110" s="77">
        <v>2297</v>
      </c>
      <c r="P110" s="6">
        <v>11485</v>
      </c>
      <c r="Q110" s="6">
        <v>27289</v>
      </c>
      <c r="R110" s="6">
        <v>1378</v>
      </c>
      <c r="S110" s="2">
        <v>0</v>
      </c>
      <c r="T110" s="6">
        <v>40152</v>
      </c>
      <c r="U110" s="6">
        <v>3353</v>
      </c>
      <c r="V110" s="6">
        <v>72385</v>
      </c>
      <c r="W110" s="6">
        <v>6046</v>
      </c>
      <c r="X110" s="6">
        <v>78431</v>
      </c>
      <c r="Y110" s="6">
        <v>2709</v>
      </c>
      <c r="Z110" s="6">
        <v>0</v>
      </c>
      <c r="AA110" s="6">
        <v>81140</v>
      </c>
      <c r="AB110" s="142">
        <f>Table6[[#This Row],[Total Operating Income]]/Table6[[#This Row],[Total Population Served]]</f>
        <v>19.594300893503984</v>
      </c>
    </row>
    <row r="111" spans="1:28" ht="13.5" thickBot="1" x14ac:dyDescent="0.25">
      <c r="A111" s="2" t="s">
        <v>472</v>
      </c>
      <c r="B111" s="1" t="s">
        <v>471</v>
      </c>
      <c r="C111" s="2" t="s">
        <v>24</v>
      </c>
      <c r="D111" s="2" t="s">
        <v>1207</v>
      </c>
      <c r="E111" s="3" t="s">
        <v>264</v>
      </c>
      <c r="F111" s="3" t="s">
        <v>265</v>
      </c>
      <c r="G111" s="4">
        <v>4197</v>
      </c>
      <c r="H111" s="4">
        <v>872</v>
      </c>
      <c r="I111" s="6">
        <v>5511</v>
      </c>
      <c r="J111" s="6">
        <v>10791</v>
      </c>
      <c r="K111" s="6">
        <v>0</v>
      </c>
      <c r="L111" s="6">
        <v>0</v>
      </c>
      <c r="M111" s="6">
        <v>16302</v>
      </c>
      <c r="N111" s="6">
        <v>4551</v>
      </c>
      <c r="O111" s="77">
        <v>3325</v>
      </c>
      <c r="P111" s="6">
        <v>20268</v>
      </c>
      <c r="Q111" s="6">
        <v>0</v>
      </c>
      <c r="R111" s="2">
        <v>0</v>
      </c>
      <c r="S111" s="6">
        <v>2716</v>
      </c>
      <c r="T111" s="6">
        <v>22984</v>
      </c>
      <c r="U111" s="2">
        <v>0</v>
      </c>
      <c r="V111" s="6">
        <v>39286</v>
      </c>
      <c r="W111" s="6">
        <v>4551</v>
      </c>
      <c r="X111" s="6">
        <v>43837</v>
      </c>
      <c r="Y111" s="6">
        <v>2456</v>
      </c>
      <c r="Z111" s="6">
        <v>0</v>
      </c>
      <c r="AA111" s="6">
        <v>46293</v>
      </c>
      <c r="AB111" s="142">
        <f>Table6[[#This Row],[Total Operating Income]]/Table6[[#This Row],[Total Population Served]]</f>
        <v>11.030021443888492</v>
      </c>
    </row>
    <row r="112" spans="1:28" ht="13.5" thickBot="1" x14ac:dyDescent="0.25">
      <c r="A112" s="2" t="s">
        <v>478</v>
      </c>
      <c r="B112" s="1" t="s">
        <v>477</v>
      </c>
      <c r="C112" s="2" t="s">
        <v>24</v>
      </c>
      <c r="D112" s="2" t="s">
        <v>1128</v>
      </c>
      <c r="E112" s="3" t="s">
        <v>27</v>
      </c>
      <c r="F112" s="3" t="s">
        <v>28</v>
      </c>
      <c r="G112" s="4">
        <v>5068</v>
      </c>
      <c r="H112" s="4">
        <v>2579</v>
      </c>
      <c r="I112" s="6">
        <v>13129</v>
      </c>
      <c r="J112" s="6">
        <v>81541</v>
      </c>
      <c r="K112" s="6">
        <v>36603</v>
      </c>
      <c r="L112" s="6">
        <v>944</v>
      </c>
      <c r="M112" s="6">
        <v>132217</v>
      </c>
      <c r="N112" s="6">
        <v>45983</v>
      </c>
      <c r="O112" s="77">
        <v>2489</v>
      </c>
      <c r="P112" s="6">
        <v>11954</v>
      </c>
      <c r="Q112" s="2">
        <v>0</v>
      </c>
      <c r="R112" s="6">
        <v>6317</v>
      </c>
      <c r="S112" s="2">
        <v>0</v>
      </c>
      <c r="T112" s="6">
        <v>18271</v>
      </c>
      <c r="U112" s="2">
        <v>0</v>
      </c>
      <c r="V112" s="6">
        <v>150488</v>
      </c>
      <c r="W112" s="6">
        <v>45983</v>
      </c>
      <c r="X112" s="6">
        <v>196471</v>
      </c>
      <c r="Y112" s="6">
        <v>3514</v>
      </c>
      <c r="Z112" s="6">
        <v>0</v>
      </c>
      <c r="AA112" s="6">
        <v>199985</v>
      </c>
      <c r="AB112" s="142">
        <f>Table6[[#This Row],[Total Operating Income]]/Table6[[#This Row],[Total Population Served]]</f>
        <v>39.460339384372531</v>
      </c>
    </row>
    <row r="113" spans="1:28" ht="13.5" thickBot="1" x14ac:dyDescent="0.25">
      <c r="A113" s="2" t="s">
        <v>482</v>
      </c>
      <c r="B113" s="1" t="s">
        <v>481</v>
      </c>
      <c r="C113" s="2" t="s">
        <v>24</v>
      </c>
      <c r="D113" s="2" t="s">
        <v>1132</v>
      </c>
      <c r="E113" s="3" t="s">
        <v>67</v>
      </c>
      <c r="F113" s="3" t="s">
        <v>68</v>
      </c>
      <c r="G113" s="4">
        <v>4968</v>
      </c>
      <c r="H113" s="4">
        <v>4400</v>
      </c>
      <c r="I113" s="6">
        <v>12767</v>
      </c>
      <c r="J113" s="78">
        <v>0</v>
      </c>
      <c r="K113" s="78">
        <v>0</v>
      </c>
      <c r="L113" s="6">
        <v>69981</v>
      </c>
      <c r="M113" s="6">
        <v>82748</v>
      </c>
      <c r="N113" s="6">
        <v>2509</v>
      </c>
      <c r="O113" s="77">
        <v>568</v>
      </c>
      <c r="P113" s="6">
        <v>1647</v>
      </c>
      <c r="Q113" s="78">
        <v>0</v>
      </c>
      <c r="R113" s="78">
        <v>0</v>
      </c>
      <c r="S113" s="6">
        <v>4000</v>
      </c>
      <c r="T113" s="6">
        <v>5647</v>
      </c>
      <c r="U113" s="78">
        <v>0</v>
      </c>
      <c r="V113" s="6">
        <v>88395</v>
      </c>
      <c r="W113" s="6">
        <v>2509</v>
      </c>
      <c r="X113" s="6">
        <v>90904</v>
      </c>
      <c r="Y113" s="6">
        <v>3250</v>
      </c>
      <c r="Z113" s="6">
        <v>0</v>
      </c>
      <c r="AA113" s="6">
        <v>94154</v>
      </c>
      <c r="AB113" s="142">
        <f>Table6[[#This Row],[Total Operating Income]]/Table6[[#This Row],[Total Population Served]]</f>
        <v>18.952093397745571</v>
      </c>
    </row>
    <row r="114" spans="1:28" ht="13.5" thickBot="1" x14ac:dyDescent="0.25">
      <c r="A114" s="2" t="s">
        <v>494</v>
      </c>
      <c r="B114" s="1" t="s">
        <v>493</v>
      </c>
      <c r="C114" s="2" t="s">
        <v>24</v>
      </c>
      <c r="D114" s="2" t="s">
        <v>1179</v>
      </c>
      <c r="E114" s="3" t="s">
        <v>27</v>
      </c>
      <c r="F114" s="3" t="s">
        <v>28</v>
      </c>
      <c r="G114" s="4">
        <v>4101</v>
      </c>
      <c r="H114" s="4">
        <v>2539</v>
      </c>
      <c r="I114" s="6">
        <v>8373</v>
      </c>
      <c r="J114" s="6">
        <v>167760</v>
      </c>
      <c r="K114" s="6">
        <v>0</v>
      </c>
      <c r="L114" s="6">
        <v>0</v>
      </c>
      <c r="M114" s="6">
        <v>176133</v>
      </c>
      <c r="N114" s="6">
        <v>29902</v>
      </c>
      <c r="O114" s="4">
        <v>1562</v>
      </c>
      <c r="P114" s="6">
        <v>6209</v>
      </c>
      <c r="Q114" s="6">
        <v>0</v>
      </c>
      <c r="R114" s="6">
        <v>0</v>
      </c>
      <c r="S114" s="78">
        <v>0</v>
      </c>
      <c r="T114" s="6">
        <v>6209</v>
      </c>
      <c r="U114" s="6">
        <v>0</v>
      </c>
      <c r="V114" s="6">
        <v>182342</v>
      </c>
      <c r="W114" s="6">
        <v>29902</v>
      </c>
      <c r="X114" s="6">
        <v>212244</v>
      </c>
      <c r="Y114" s="6">
        <v>2843</v>
      </c>
      <c r="Z114" s="6">
        <v>0</v>
      </c>
      <c r="AA114" s="6">
        <v>215087</v>
      </c>
      <c r="AB114" s="142">
        <f>Table6[[#This Row],[Total Operating Income]]/Table6[[#This Row],[Total Population Served]]</f>
        <v>52.447451841014384</v>
      </c>
    </row>
    <row r="115" spans="1:28" ht="13.5" thickBot="1" x14ac:dyDescent="0.25">
      <c r="A115" s="2" t="s">
        <v>496</v>
      </c>
      <c r="B115" s="1" t="s">
        <v>495</v>
      </c>
      <c r="C115" s="2" t="s">
        <v>24</v>
      </c>
      <c r="D115" s="2" t="s">
        <v>1127</v>
      </c>
      <c r="E115" s="3" t="s">
        <v>67</v>
      </c>
      <c r="F115" s="3" t="s">
        <v>68</v>
      </c>
      <c r="G115" s="4">
        <v>5241</v>
      </c>
      <c r="H115" s="4">
        <v>3638</v>
      </c>
      <c r="I115" s="6">
        <v>11533</v>
      </c>
      <c r="J115" s="6">
        <v>24978</v>
      </c>
      <c r="K115" s="78">
        <v>0</v>
      </c>
      <c r="L115" s="78">
        <v>0</v>
      </c>
      <c r="M115" s="6">
        <v>36511</v>
      </c>
      <c r="N115" s="6">
        <v>23120</v>
      </c>
      <c r="O115" s="4">
        <v>1603</v>
      </c>
      <c r="P115" s="6">
        <v>5939</v>
      </c>
      <c r="Q115" s="78">
        <v>0</v>
      </c>
      <c r="R115" s="78">
        <v>0</v>
      </c>
      <c r="S115" s="78">
        <v>0</v>
      </c>
      <c r="T115" s="6">
        <v>5939</v>
      </c>
      <c r="U115" s="78">
        <v>0</v>
      </c>
      <c r="V115" s="6">
        <v>42450</v>
      </c>
      <c r="W115" s="6">
        <v>23120</v>
      </c>
      <c r="X115" s="6">
        <v>65570</v>
      </c>
      <c r="Y115" s="6">
        <v>3428</v>
      </c>
      <c r="Z115" s="6">
        <v>0</v>
      </c>
      <c r="AA115" s="6">
        <v>68998</v>
      </c>
      <c r="AB115" s="142">
        <f>Table6[[#This Row],[Total Operating Income]]/Table6[[#This Row],[Total Population Served]]</f>
        <v>13.165044838771227</v>
      </c>
    </row>
    <row r="116" spans="1:28" ht="13.5" thickBot="1" x14ac:dyDescent="0.25">
      <c r="A116" s="2" t="s">
        <v>504</v>
      </c>
      <c r="B116" s="1" t="s">
        <v>503</v>
      </c>
      <c r="C116" s="2" t="s">
        <v>24</v>
      </c>
      <c r="D116" s="2" t="s">
        <v>1166</v>
      </c>
      <c r="E116" s="3" t="s">
        <v>27</v>
      </c>
      <c r="F116" s="3" t="s">
        <v>28</v>
      </c>
      <c r="G116" s="4">
        <v>5160</v>
      </c>
      <c r="H116" s="4">
        <v>5160</v>
      </c>
      <c r="I116" s="6">
        <v>24105</v>
      </c>
      <c r="J116" s="6">
        <v>90079</v>
      </c>
      <c r="K116" s="78">
        <v>0</v>
      </c>
      <c r="L116" s="6">
        <v>2874</v>
      </c>
      <c r="M116" s="6">
        <v>117058</v>
      </c>
      <c r="N116" s="6">
        <v>18720</v>
      </c>
      <c r="O116" s="78">
        <v>0</v>
      </c>
      <c r="P116" s="6">
        <v>0</v>
      </c>
      <c r="Q116" s="6">
        <v>0</v>
      </c>
      <c r="R116" s="78">
        <v>0</v>
      </c>
      <c r="S116" s="78">
        <v>0</v>
      </c>
      <c r="T116" s="6">
        <v>0</v>
      </c>
      <c r="U116" s="78">
        <v>0</v>
      </c>
      <c r="V116" s="6">
        <v>117058</v>
      </c>
      <c r="W116" s="6">
        <v>18720</v>
      </c>
      <c r="X116" s="6">
        <v>135778</v>
      </c>
      <c r="Y116" s="6">
        <v>3577</v>
      </c>
      <c r="Z116" s="6">
        <v>0</v>
      </c>
      <c r="AA116" s="6">
        <v>139355</v>
      </c>
      <c r="AB116" s="142">
        <f>Table6[[#This Row],[Total Operating Income]]/Table6[[#This Row],[Total Population Served]]</f>
        <v>27.006782945736433</v>
      </c>
    </row>
    <row r="117" spans="1:28" ht="13.5" thickBot="1" x14ac:dyDescent="0.25">
      <c r="A117" s="2" t="s">
        <v>506</v>
      </c>
      <c r="B117" s="1" t="s">
        <v>505</v>
      </c>
      <c r="C117" s="2" t="s">
        <v>24</v>
      </c>
      <c r="D117" s="2" t="s">
        <v>1209</v>
      </c>
      <c r="E117" s="3" t="s">
        <v>27</v>
      </c>
      <c r="F117" s="3" t="s">
        <v>28</v>
      </c>
      <c r="G117" s="4">
        <v>5841</v>
      </c>
      <c r="H117" s="4">
        <v>5841</v>
      </c>
      <c r="I117" s="6">
        <v>20418</v>
      </c>
      <c r="J117" s="78">
        <v>0</v>
      </c>
      <c r="K117" s="6">
        <v>112031</v>
      </c>
      <c r="L117" s="6">
        <v>0</v>
      </c>
      <c r="M117" s="6">
        <v>132449</v>
      </c>
      <c r="N117" s="6">
        <v>0</v>
      </c>
      <c r="O117" s="78">
        <v>0</v>
      </c>
      <c r="P117" s="78">
        <v>0</v>
      </c>
      <c r="Q117" s="78">
        <v>0</v>
      </c>
      <c r="R117" s="78">
        <v>0</v>
      </c>
      <c r="S117" s="78">
        <v>0</v>
      </c>
      <c r="T117" s="78">
        <v>0</v>
      </c>
      <c r="U117" s="78">
        <v>0</v>
      </c>
      <c r="V117" s="6">
        <v>132449</v>
      </c>
      <c r="W117" s="6">
        <v>0</v>
      </c>
      <c r="X117" s="6">
        <v>132449</v>
      </c>
      <c r="Y117" s="6">
        <v>2775</v>
      </c>
      <c r="Z117" s="6">
        <v>0</v>
      </c>
      <c r="AA117" s="6">
        <v>135224</v>
      </c>
      <c r="AB117" s="142">
        <f>Table6[[#This Row],[Total Operating Income]]/Table6[[#This Row],[Total Population Served]]</f>
        <v>23.150830337271014</v>
      </c>
    </row>
    <row r="118" spans="1:28" ht="13.5" thickBot="1" x14ac:dyDescent="0.25">
      <c r="A118" s="2" t="s">
        <v>512</v>
      </c>
      <c r="B118" s="1" t="s">
        <v>511</v>
      </c>
      <c r="C118" s="2" t="s">
        <v>24</v>
      </c>
      <c r="D118" s="2" t="s">
        <v>1167</v>
      </c>
      <c r="E118" s="3" t="s">
        <v>67</v>
      </c>
      <c r="F118" s="3" t="s">
        <v>68</v>
      </c>
      <c r="G118" s="4">
        <v>4730</v>
      </c>
      <c r="H118" s="4">
        <v>2719</v>
      </c>
      <c r="I118" s="6">
        <v>18805</v>
      </c>
      <c r="J118" s="6">
        <v>100439</v>
      </c>
      <c r="K118" s="6">
        <v>3094</v>
      </c>
      <c r="L118" s="6">
        <v>0</v>
      </c>
      <c r="M118" s="6">
        <v>122338</v>
      </c>
      <c r="N118" s="6">
        <v>0</v>
      </c>
      <c r="O118" s="4">
        <v>2011</v>
      </c>
      <c r="P118" s="6">
        <v>0</v>
      </c>
      <c r="Q118" s="6">
        <v>400</v>
      </c>
      <c r="R118" s="6">
        <v>0</v>
      </c>
      <c r="S118" s="6">
        <v>0</v>
      </c>
      <c r="T118" s="6">
        <v>400</v>
      </c>
      <c r="U118" s="6">
        <v>0</v>
      </c>
      <c r="V118" s="6">
        <v>122738</v>
      </c>
      <c r="W118" s="6">
        <v>0</v>
      </c>
      <c r="X118" s="6">
        <v>122738</v>
      </c>
      <c r="Y118" s="6">
        <v>3093</v>
      </c>
      <c r="Z118" s="6">
        <v>0</v>
      </c>
      <c r="AA118" s="6">
        <v>125831</v>
      </c>
      <c r="AB118" s="142">
        <f>Table6[[#This Row],[Total Operating Income]]/Table6[[#This Row],[Total Population Served]]</f>
        <v>26.602748414376322</v>
      </c>
    </row>
    <row r="119" spans="1:28" ht="13.5" thickBot="1" x14ac:dyDescent="0.25">
      <c r="A119" s="2" t="s">
        <v>530</v>
      </c>
      <c r="B119" s="1" t="s">
        <v>529</v>
      </c>
      <c r="C119" s="2" t="s">
        <v>24</v>
      </c>
      <c r="D119" s="2" t="s">
        <v>1127</v>
      </c>
      <c r="E119" s="3" t="s">
        <v>22</v>
      </c>
      <c r="F119" s="3" t="s">
        <v>23</v>
      </c>
      <c r="G119" s="4">
        <v>5072</v>
      </c>
      <c r="H119" s="4">
        <v>5072</v>
      </c>
      <c r="I119" s="6">
        <v>16104</v>
      </c>
      <c r="J119" s="6">
        <v>170393</v>
      </c>
      <c r="K119" s="6">
        <v>0</v>
      </c>
      <c r="L119" s="6">
        <v>0</v>
      </c>
      <c r="M119" s="6">
        <v>186497</v>
      </c>
      <c r="N119" s="6">
        <v>13084</v>
      </c>
      <c r="O119" s="78">
        <v>0</v>
      </c>
      <c r="P119" s="6">
        <v>0</v>
      </c>
      <c r="Q119" s="6">
        <v>0</v>
      </c>
      <c r="R119" s="6">
        <v>0</v>
      </c>
      <c r="S119" s="6">
        <v>0</v>
      </c>
      <c r="T119" s="6">
        <v>0</v>
      </c>
      <c r="U119" s="2">
        <v>0</v>
      </c>
      <c r="V119" s="6">
        <v>186497</v>
      </c>
      <c r="W119" s="6">
        <v>13084</v>
      </c>
      <c r="X119" s="6">
        <v>199581</v>
      </c>
      <c r="Y119" s="6">
        <v>3317</v>
      </c>
      <c r="Z119" s="6">
        <v>0</v>
      </c>
      <c r="AA119" s="6">
        <v>202898</v>
      </c>
      <c r="AB119" s="142">
        <f>Table6[[#This Row],[Total Operating Income]]/Table6[[#This Row],[Total Population Served]]</f>
        <v>40.003548895899051</v>
      </c>
    </row>
    <row r="120" spans="1:28" ht="13.5" thickBot="1" x14ac:dyDescent="0.25">
      <c r="A120" s="2" t="s">
        <v>532</v>
      </c>
      <c r="B120" s="1" t="s">
        <v>531</v>
      </c>
      <c r="C120" s="2" t="s">
        <v>24</v>
      </c>
      <c r="D120" s="2" t="s">
        <v>1151</v>
      </c>
      <c r="E120" s="3" t="s">
        <v>27</v>
      </c>
      <c r="F120" s="3" t="s">
        <v>28</v>
      </c>
      <c r="G120" s="4">
        <v>6634</v>
      </c>
      <c r="H120" s="4">
        <v>4311</v>
      </c>
      <c r="I120" s="6">
        <v>28721</v>
      </c>
      <c r="J120" s="6">
        <v>210724</v>
      </c>
      <c r="K120" s="6">
        <v>0</v>
      </c>
      <c r="L120" s="6">
        <v>0</v>
      </c>
      <c r="M120" s="6">
        <v>239445</v>
      </c>
      <c r="N120" s="6">
        <v>58265</v>
      </c>
      <c r="O120" s="77">
        <v>2323</v>
      </c>
      <c r="P120" s="6">
        <v>15476</v>
      </c>
      <c r="Q120" s="2">
        <v>0</v>
      </c>
      <c r="R120" s="2">
        <v>0</v>
      </c>
      <c r="S120" s="2">
        <v>0</v>
      </c>
      <c r="T120" s="6">
        <v>15476</v>
      </c>
      <c r="U120" s="6">
        <v>1700</v>
      </c>
      <c r="V120" s="6">
        <v>254921</v>
      </c>
      <c r="W120" s="6">
        <v>59965</v>
      </c>
      <c r="X120" s="6">
        <v>314886</v>
      </c>
      <c r="Y120" s="6">
        <v>8354</v>
      </c>
      <c r="Z120" s="6">
        <v>0</v>
      </c>
      <c r="AA120" s="6">
        <v>323240</v>
      </c>
      <c r="AB120" s="142">
        <f>Table6[[#This Row],[Total Operating Income]]/Table6[[#This Row],[Total Population Served]]</f>
        <v>48.724751281278266</v>
      </c>
    </row>
    <row r="121" spans="1:28" ht="13.5" thickBot="1" x14ac:dyDescent="0.25">
      <c r="A121" s="2" t="s">
        <v>544</v>
      </c>
      <c r="B121" s="1" t="s">
        <v>543</v>
      </c>
      <c r="C121" s="2" t="s">
        <v>24</v>
      </c>
      <c r="D121" s="2" t="s">
        <v>1157</v>
      </c>
      <c r="E121" s="3" t="s">
        <v>22</v>
      </c>
      <c r="F121" s="3" t="s">
        <v>23</v>
      </c>
      <c r="G121" s="4">
        <v>5302</v>
      </c>
      <c r="H121" s="4">
        <v>2386</v>
      </c>
      <c r="I121" s="6">
        <v>200575.14</v>
      </c>
      <c r="J121" s="78">
        <v>0</v>
      </c>
      <c r="K121" s="78">
        <v>0</v>
      </c>
      <c r="L121" s="6">
        <v>71458.91</v>
      </c>
      <c r="M121" s="6">
        <v>272034.05</v>
      </c>
      <c r="N121" s="6">
        <v>38393</v>
      </c>
      <c r="O121" s="4">
        <v>2916</v>
      </c>
      <c r="P121" s="6">
        <v>92249.93</v>
      </c>
      <c r="Q121" s="78">
        <v>0</v>
      </c>
      <c r="R121" s="78">
        <v>0</v>
      </c>
      <c r="S121" s="78">
        <v>0</v>
      </c>
      <c r="T121" s="6">
        <v>92249.93</v>
      </c>
      <c r="U121" s="78">
        <v>0</v>
      </c>
      <c r="V121" s="6">
        <v>364283.98</v>
      </c>
      <c r="W121" s="6">
        <v>38393</v>
      </c>
      <c r="X121" s="6">
        <v>402676.98</v>
      </c>
      <c r="Y121" s="6">
        <v>3603.4</v>
      </c>
      <c r="Z121" s="6">
        <v>0</v>
      </c>
      <c r="AA121" s="6">
        <v>406280.38</v>
      </c>
      <c r="AB121" s="142">
        <f>Table6[[#This Row],[Total Operating Income]]/Table6[[#This Row],[Total Population Served]]</f>
        <v>76.627759336099587</v>
      </c>
    </row>
    <row r="122" spans="1:28" ht="13.5" thickBot="1" x14ac:dyDescent="0.25">
      <c r="A122" s="2" t="s">
        <v>546</v>
      </c>
      <c r="B122" s="1" t="s">
        <v>545</v>
      </c>
      <c r="C122" s="2" t="s">
        <v>24</v>
      </c>
      <c r="D122" s="2" t="s">
        <v>1195</v>
      </c>
      <c r="E122" s="3" t="s">
        <v>22</v>
      </c>
      <c r="F122" s="3" t="s">
        <v>23</v>
      </c>
      <c r="G122" s="4">
        <v>6834</v>
      </c>
      <c r="H122" s="4">
        <v>6834</v>
      </c>
      <c r="I122" s="6">
        <v>22540</v>
      </c>
      <c r="J122" s="6">
        <v>212946</v>
      </c>
      <c r="K122" s="6">
        <v>0</v>
      </c>
      <c r="L122" s="6">
        <v>19508</v>
      </c>
      <c r="M122" s="6">
        <v>254994</v>
      </c>
      <c r="N122" s="6">
        <v>56048</v>
      </c>
      <c r="O122" s="2">
        <v>0</v>
      </c>
      <c r="P122" s="6">
        <v>0</v>
      </c>
      <c r="Q122" s="6">
        <v>0</v>
      </c>
      <c r="R122" s="6">
        <v>0</v>
      </c>
      <c r="S122" s="6">
        <v>0</v>
      </c>
      <c r="T122" s="6">
        <v>0</v>
      </c>
      <c r="U122" s="6">
        <v>0</v>
      </c>
      <c r="V122" s="6">
        <v>254994</v>
      </c>
      <c r="W122" s="6">
        <v>56048</v>
      </c>
      <c r="X122" s="6">
        <v>311042</v>
      </c>
      <c r="Y122" s="6">
        <v>4470</v>
      </c>
      <c r="Z122" s="6">
        <v>0</v>
      </c>
      <c r="AA122" s="6">
        <v>315512</v>
      </c>
      <c r="AB122" s="142">
        <f>Table6[[#This Row],[Total Operating Income]]/Table6[[#This Row],[Total Population Served]]</f>
        <v>46.167983611354991</v>
      </c>
    </row>
    <row r="123" spans="1:28" ht="13.5" thickBot="1" x14ac:dyDescent="0.25">
      <c r="A123" s="2" t="s">
        <v>550</v>
      </c>
      <c r="B123" s="1" t="s">
        <v>549</v>
      </c>
      <c r="C123" s="2" t="s">
        <v>24</v>
      </c>
      <c r="D123" s="2" t="s">
        <v>1173</v>
      </c>
      <c r="E123" s="3" t="s">
        <v>27</v>
      </c>
      <c r="F123" s="3" t="s">
        <v>28</v>
      </c>
      <c r="G123" s="4">
        <v>4469</v>
      </c>
      <c r="H123" s="4">
        <v>3963</v>
      </c>
      <c r="I123" s="6">
        <v>13213</v>
      </c>
      <c r="J123" s="6">
        <v>96955</v>
      </c>
      <c r="K123" s="78">
        <v>0</v>
      </c>
      <c r="L123" s="6">
        <v>16569</v>
      </c>
      <c r="M123" s="6">
        <v>126737</v>
      </c>
      <c r="N123" s="6">
        <v>11296</v>
      </c>
      <c r="O123" s="77">
        <v>506</v>
      </c>
      <c r="P123" s="6">
        <v>1687</v>
      </c>
      <c r="Q123" s="2">
        <v>0</v>
      </c>
      <c r="R123" s="2">
        <v>0</v>
      </c>
      <c r="S123" s="6">
        <v>500</v>
      </c>
      <c r="T123" s="6">
        <v>2187</v>
      </c>
      <c r="U123" s="2">
        <v>0</v>
      </c>
      <c r="V123" s="6">
        <v>128924</v>
      </c>
      <c r="W123" s="6">
        <v>11296</v>
      </c>
      <c r="X123" s="6">
        <v>140220</v>
      </c>
      <c r="Y123" s="6">
        <v>3098</v>
      </c>
      <c r="Z123" s="6">
        <v>0</v>
      </c>
      <c r="AA123" s="6">
        <v>143318</v>
      </c>
      <c r="AB123" s="142">
        <f>Table6[[#This Row],[Total Operating Income]]/Table6[[#This Row],[Total Population Served]]</f>
        <v>32.069366748713357</v>
      </c>
    </row>
    <row r="124" spans="1:28" ht="13.5" thickBot="1" x14ac:dyDescent="0.25">
      <c r="A124" s="2" t="s">
        <v>558</v>
      </c>
      <c r="B124" s="1" t="s">
        <v>557</v>
      </c>
      <c r="C124" s="2" t="s">
        <v>24</v>
      </c>
      <c r="D124" s="2" t="s">
        <v>1167</v>
      </c>
      <c r="E124" s="3" t="s">
        <v>27</v>
      </c>
      <c r="F124" s="3" t="s">
        <v>28</v>
      </c>
      <c r="G124" s="4">
        <v>6174</v>
      </c>
      <c r="H124" s="4">
        <v>3858</v>
      </c>
      <c r="I124" s="6">
        <v>18672</v>
      </c>
      <c r="J124" s="6">
        <v>193691</v>
      </c>
      <c r="K124" s="6">
        <v>0</v>
      </c>
      <c r="L124" s="6">
        <v>16477</v>
      </c>
      <c r="M124" s="6">
        <v>228840</v>
      </c>
      <c r="N124" s="6">
        <v>6152</v>
      </c>
      <c r="O124" s="77">
        <v>2316</v>
      </c>
      <c r="P124" s="6">
        <v>16477</v>
      </c>
      <c r="Q124" s="6">
        <v>0</v>
      </c>
      <c r="R124" s="6">
        <v>0</v>
      </c>
      <c r="S124" s="6">
        <v>0</v>
      </c>
      <c r="T124" s="6">
        <v>16477</v>
      </c>
      <c r="U124" s="6">
        <v>0</v>
      </c>
      <c r="V124" s="6">
        <v>245317</v>
      </c>
      <c r="W124" s="6">
        <v>6152</v>
      </c>
      <c r="X124" s="6">
        <v>251469</v>
      </c>
      <c r="Y124" s="6">
        <v>4280</v>
      </c>
      <c r="Z124" s="6">
        <v>0</v>
      </c>
      <c r="AA124" s="6">
        <v>255749</v>
      </c>
      <c r="AB124" s="142">
        <f>Table6[[#This Row],[Total Operating Income]]/Table6[[#This Row],[Total Population Served]]</f>
        <v>41.423550372529967</v>
      </c>
    </row>
    <row r="125" spans="1:28" ht="13.5" thickBot="1" x14ac:dyDescent="0.25">
      <c r="A125" s="2" t="s">
        <v>578</v>
      </c>
      <c r="B125" s="1" t="s">
        <v>577</v>
      </c>
      <c r="C125" s="2" t="s">
        <v>24</v>
      </c>
      <c r="D125" s="2" t="s">
        <v>1152</v>
      </c>
      <c r="E125" s="3" t="s">
        <v>27</v>
      </c>
      <c r="F125" s="3" t="s">
        <v>28</v>
      </c>
      <c r="G125" s="4">
        <v>5305</v>
      </c>
      <c r="H125" s="4">
        <v>5305</v>
      </c>
      <c r="I125" s="6">
        <v>29323</v>
      </c>
      <c r="J125" s="6">
        <v>99334.17</v>
      </c>
      <c r="K125" s="78">
        <v>0</v>
      </c>
      <c r="L125" s="6">
        <v>26320</v>
      </c>
      <c r="M125" s="6">
        <v>154977.17000000001</v>
      </c>
      <c r="N125" s="6">
        <v>3121</v>
      </c>
      <c r="O125" s="78">
        <v>0</v>
      </c>
      <c r="P125" s="78">
        <v>0</v>
      </c>
      <c r="Q125" s="78">
        <v>0</v>
      </c>
      <c r="R125" s="78">
        <v>0</v>
      </c>
      <c r="S125" s="78">
        <v>0</v>
      </c>
      <c r="T125" s="78">
        <v>0</v>
      </c>
      <c r="U125" s="78">
        <v>0</v>
      </c>
      <c r="V125" s="6">
        <v>154977.17000000001</v>
      </c>
      <c r="W125" s="6">
        <v>3121</v>
      </c>
      <c r="X125" s="6">
        <v>158098.17000000001</v>
      </c>
      <c r="Y125" s="6">
        <v>11960</v>
      </c>
      <c r="Z125" s="6">
        <v>0</v>
      </c>
      <c r="AA125" s="6">
        <v>170058.17</v>
      </c>
      <c r="AB125" s="142">
        <f>Table6[[#This Row],[Total Operating Income]]/Table6[[#This Row],[Total Population Served]]</f>
        <v>32.056205466541002</v>
      </c>
    </row>
    <row r="126" spans="1:28" ht="13.5" thickBot="1" x14ac:dyDescent="0.25">
      <c r="A126" s="2" t="s">
        <v>584</v>
      </c>
      <c r="B126" s="1" t="s">
        <v>583</v>
      </c>
      <c r="C126" s="2" t="s">
        <v>24</v>
      </c>
      <c r="D126" s="2" t="s">
        <v>1182</v>
      </c>
      <c r="E126" s="3" t="s">
        <v>67</v>
      </c>
      <c r="F126" s="3" t="s">
        <v>68</v>
      </c>
      <c r="G126" s="4">
        <v>6341</v>
      </c>
      <c r="H126" s="4">
        <v>2229</v>
      </c>
      <c r="I126" s="6">
        <v>30240</v>
      </c>
      <c r="J126" s="6">
        <v>143940</v>
      </c>
      <c r="K126" s="6">
        <v>0</v>
      </c>
      <c r="L126" s="6">
        <v>31060</v>
      </c>
      <c r="M126" s="6">
        <v>205240</v>
      </c>
      <c r="N126" s="78">
        <v>0</v>
      </c>
      <c r="O126" s="77">
        <v>4112</v>
      </c>
      <c r="P126" s="6">
        <v>2663</v>
      </c>
      <c r="Q126" s="6">
        <v>0</v>
      </c>
      <c r="R126" s="6">
        <v>0</v>
      </c>
      <c r="S126" s="6">
        <v>0</v>
      </c>
      <c r="T126" s="6">
        <v>2663</v>
      </c>
      <c r="U126" s="6">
        <v>0</v>
      </c>
      <c r="V126" s="6">
        <v>207903</v>
      </c>
      <c r="W126" s="6">
        <v>0</v>
      </c>
      <c r="X126" s="6">
        <v>207903</v>
      </c>
      <c r="Y126" s="6">
        <v>4650</v>
      </c>
      <c r="Z126" s="6">
        <v>0</v>
      </c>
      <c r="AA126" s="6">
        <v>212553</v>
      </c>
      <c r="AB126" s="142">
        <f>Table6[[#This Row],[Total Operating Income]]/Table6[[#This Row],[Total Population Served]]</f>
        <v>33.520422646270305</v>
      </c>
    </row>
    <row r="127" spans="1:28" ht="13.5" thickBot="1" x14ac:dyDescent="0.25">
      <c r="A127" s="2" t="s">
        <v>590</v>
      </c>
      <c r="B127" s="1" t="s">
        <v>589</v>
      </c>
      <c r="C127" s="2" t="s">
        <v>24</v>
      </c>
      <c r="D127" s="2" t="s">
        <v>1210</v>
      </c>
      <c r="E127" s="3" t="s">
        <v>27</v>
      </c>
      <c r="F127" s="3" t="s">
        <v>28</v>
      </c>
      <c r="G127" s="4">
        <v>5433</v>
      </c>
      <c r="H127" s="4">
        <v>5433</v>
      </c>
      <c r="I127" s="6">
        <v>12842</v>
      </c>
      <c r="J127" s="6">
        <v>0</v>
      </c>
      <c r="K127" s="6">
        <v>0</v>
      </c>
      <c r="L127" s="6">
        <v>186180</v>
      </c>
      <c r="M127" s="6">
        <v>199022</v>
      </c>
      <c r="N127" s="6">
        <v>23371</v>
      </c>
      <c r="O127" s="2">
        <v>0</v>
      </c>
      <c r="P127" s="6">
        <v>0</v>
      </c>
      <c r="Q127" s="6">
        <v>0</v>
      </c>
      <c r="R127" s="6">
        <v>0</v>
      </c>
      <c r="S127" s="6">
        <v>0</v>
      </c>
      <c r="T127" s="6">
        <v>0</v>
      </c>
      <c r="U127" s="6">
        <v>0</v>
      </c>
      <c r="V127" s="6">
        <v>199022</v>
      </c>
      <c r="W127" s="6">
        <v>23371</v>
      </c>
      <c r="X127" s="6">
        <v>222393</v>
      </c>
      <c r="Y127" s="6">
        <v>3767</v>
      </c>
      <c r="Z127" s="6">
        <v>0</v>
      </c>
      <c r="AA127" s="6">
        <v>226160</v>
      </c>
      <c r="AB127" s="142">
        <f>Table6[[#This Row],[Total Operating Income]]/Table6[[#This Row],[Total Population Served]]</f>
        <v>41.627093686729246</v>
      </c>
    </row>
    <row r="128" spans="1:28" ht="13.5" thickBot="1" x14ac:dyDescent="0.25">
      <c r="A128" s="2" t="s">
        <v>602</v>
      </c>
      <c r="B128" s="1" t="s">
        <v>601</v>
      </c>
      <c r="C128" s="2" t="s">
        <v>24</v>
      </c>
      <c r="D128" s="2" t="s">
        <v>1150</v>
      </c>
      <c r="E128" s="3" t="s">
        <v>27</v>
      </c>
      <c r="F128" s="3" t="s">
        <v>28</v>
      </c>
      <c r="G128" s="4">
        <v>6654</v>
      </c>
      <c r="H128" s="4">
        <v>2824</v>
      </c>
      <c r="I128" s="6">
        <v>9072</v>
      </c>
      <c r="J128" s="6">
        <v>290598</v>
      </c>
      <c r="K128" s="2">
        <v>0</v>
      </c>
      <c r="L128" s="2">
        <v>0</v>
      </c>
      <c r="M128" s="6">
        <v>299670</v>
      </c>
      <c r="N128" s="6">
        <v>67983</v>
      </c>
      <c r="O128" s="4">
        <v>3830</v>
      </c>
      <c r="P128" s="6">
        <v>12027</v>
      </c>
      <c r="Q128" s="2">
        <v>0</v>
      </c>
      <c r="R128" s="2">
        <v>0</v>
      </c>
      <c r="S128" s="6">
        <v>54158</v>
      </c>
      <c r="T128" s="6">
        <v>66185</v>
      </c>
      <c r="U128" s="2">
        <v>0</v>
      </c>
      <c r="V128" s="6">
        <v>365855</v>
      </c>
      <c r="W128" s="6">
        <v>67983</v>
      </c>
      <c r="X128" s="6">
        <v>433838</v>
      </c>
      <c r="Y128" s="6">
        <v>4613</v>
      </c>
      <c r="Z128" s="6">
        <v>0</v>
      </c>
      <c r="AA128" s="6">
        <v>438451</v>
      </c>
      <c r="AB128" s="142">
        <f>Table6[[#This Row],[Total Operating Income]]/Table6[[#This Row],[Total Population Served]]</f>
        <v>65.892846408175529</v>
      </c>
    </row>
    <row r="129" spans="1:28" ht="13.5" thickBot="1" x14ac:dyDescent="0.25">
      <c r="A129" s="2" t="s">
        <v>606</v>
      </c>
      <c r="B129" s="1" t="s">
        <v>605</v>
      </c>
      <c r="C129" s="2" t="s">
        <v>24</v>
      </c>
      <c r="D129" s="2" t="s">
        <v>1173</v>
      </c>
      <c r="E129" s="3" t="s">
        <v>27</v>
      </c>
      <c r="F129" s="3" t="s">
        <v>28</v>
      </c>
      <c r="G129" s="4">
        <v>4105</v>
      </c>
      <c r="H129" s="4">
        <v>1603</v>
      </c>
      <c r="I129" s="6">
        <v>5345</v>
      </c>
      <c r="J129" s="6">
        <v>39783</v>
      </c>
      <c r="K129" s="6">
        <v>0</v>
      </c>
      <c r="L129" s="6">
        <v>7400</v>
      </c>
      <c r="M129" s="6">
        <v>52528</v>
      </c>
      <c r="N129" s="6">
        <v>1789</v>
      </c>
      <c r="O129" s="77">
        <v>2502</v>
      </c>
      <c r="P129" s="6">
        <v>8342</v>
      </c>
      <c r="Q129" s="6">
        <v>0</v>
      </c>
      <c r="R129" s="2">
        <v>0</v>
      </c>
      <c r="S129" s="6">
        <v>6000</v>
      </c>
      <c r="T129" s="6">
        <v>14342</v>
      </c>
      <c r="U129" s="2">
        <v>0</v>
      </c>
      <c r="V129" s="6">
        <v>66870</v>
      </c>
      <c r="W129" s="6">
        <v>1789</v>
      </c>
      <c r="X129" s="6">
        <v>68659</v>
      </c>
      <c r="Y129" s="6">
        <v>4129</v>
      </c>
      <c r="Z129" s="6">
        <v>0</v>
      </c>
      <c r="AA129" s="6">
        <v>72788</v>
      </c>
      <c r="AB129" s="142">
        <f>Table6[[#This Row],[Total Operating Income]]/Table6[[#This Row],[Total Population Served]]</f>
        <v>17.73154689403167</v>
      </c>
    </row>
    <row r="130" spans="1:28" ht="13.5" thickBot="1" x14ac:dyDescent="0.25">
      <c r="A130" s="2" t="s">
        <v>620</v>
      </c>
      <c r="B130" s="1" t="s">
        <v>619</v>
      </c>
      <c r="C130" s="2" t="s">
        <v>24</v>
      </c>
      <c r="D130" s="2" t="s">
        <v>1155</v>
      </c>
      <c r="E130" s="3" t="s">
        <v>27</v>
      </c>
      <c r="F130" s="3" t="s">
        <v>28</v>
      </c>
      <c r="G130" s="4">
        <v>5413</v>
      </c>
      <c r="H130" s="4">
        <v>5413</v>
      </c>
      <c r="I130" s="6">
        <v>17491</v>
      </c>
      <c r="J130" s="6">
        <v>66019</v>
      </c>
      <c r="K130" s="6">
        <v>0</v>
      </c>
      <c r="L130" s="6">
        <v>5331</v>
      </c>
      <c r="M130" s="6">
        <v>88841</v>
      </c>
      <c r="N130" s="6">
        <v>2341</v>
      </c>
      <c r="O130" s="2">
        <v>0</v>
      </c>
      <c r="P130" s="6">
        <v>0</v>
      </c>
      <c r="Q130" s="6">
        <v>0</v>
      </c>
      <c r="R130" s="6">
        <v>0</v>
      </c>
      <c r="S130" s="6">
        <v>0</v>
      </c>
      <c r="T130" s="6">
        <v>0</v>
      </c>
      <c r="U130" s="6">
        <v>0</v>
      </c>
      <c r="V130" s="6">
        <v>88841</v>
      </c>
      <c r="W130" s="6">
        <v>2341</v>
      </c>
      <c r="X130" s="6">
        <v>91182</v>
      </c>
      <c r="Y130" s="6">
        <v>3969</v>
      </c>
      <c r="Z130" s="6">
        <v>0</v>
      </c>
      <c r="AA130" s="6">
        <v>95151</v>
      </c>
      <c r="AB130" s="142">
        <f>Table6[[#This Row],[Total Operating Income]]/Table6[[#This Row],[Total Population Served]]</f>
        <v>17.578237576205431</v>
      </c>
    </row>
    <row r="131" spans="1:28" ht="13.5" thickBot="1" x14ac:dyDescent="0.25">
      <c r="A131" s="2" t="s">
        <v>626</v>
      </c>
      <c r="B131" s="1" t="s">
        <v>625</v>
      </c>
      <c r="C131" s="2" t="s">
        <v>24</v>
      </c>
      <c r="D131" s="2" t="s">
        <v>1200</v>
      </c>
      <c r="E131" s="3" t="s">
        <v>67</v>
      </c>
      <c r="F131" s="3" t="s">
        <v>68</v>
      </c>
      <c r="G131" s="4">
        <v>6847</v>
      </c>
      <c r="H131" s="4">
        <v>5064</v>
      </c>
      <c r="I131" s="6">
        <v>3083</v>
      </c>
      <c r="J131" s="6">
        <v>107804</v>
      </c>
      <c r="K131" s="78">
        <v>0</v>
      </c>
      <c r="L131" s="78">
        <v>0</v>
      </c>
      <c r="M131" s="6">
        <v>110887</v>
      </c>
      <c r="N131" s="6">
        <v>22503</v>
      </c>
      <c r="O131" s="77">
        <v>1783</v>
      </c>
      <c r="P131" s="6">
        <v>1085</v>
      </c>
      <c r="Q131" s="2">
        <v>0</v>
      </c>
      <c r="R131" s="2">
        <v>0</v>
      </c>
      <c r="S131" s="2">
        <v>0</v>
      </c>
      <c r="T131" s="6">
        <v>1085</v>
      </c>
      <c r="U131" s="2">
        <v>0</v>
      </c>
      <c r="V131" s="6">
        <v>111972</v>
      </c>
      <c r="W131" s="6">
        <v>22503</v>
      </c>
      <c r="X131" s="6">
        <v>134475</v>
      </c>
      <c r="Y131" s="6">
        <v>4747</v>
      </c>
      <c r="Z131" s="6">
        <v>0</v>
      </c>
      <c r="AA131" s="6">
        <v>139222</v>
      </c>
      <c r="AB131" s="142">
        <f>Table6[[#This Row],[Total Operating Income]]/Table6[[#This Row],[Total Population Served]]</f>
        <v>20.333284650211773</v>
      </c>
    </row>
    <row r="132" spans="1:28" ht="13.5" thickBot="1" x14ac:dyDescent="0.25">
      <c r="A132" s="2" t="s">
        <v>628</v>
      </c>
      <c r="B132" s="1" t="s">
        <v>627</v>
      </c>
      <c r="C132" s="2" t="s">
        <v>24</v>
      </c>
      <c r="D132" s="2" t="s">
        <v>1164</v>
      </c>
      <c r="E132" s="3" t="s">
        <v>67</v>
      </c>
      <c r="F132" s="3" t="s">
        <v>68</v>
      </c>
      <c r="G132" s="4">
        <v>6240</v>
      </c>
      <c r="H132" s="4">
        <v>4144</v>
      </c>
      <c r="I132" s="6">
        <v>14726</v>
      </c>
      <c r="J132" s="6">
        <v>111267</v>
      </c>
      <c r="K132" s="6">
        <v>0</v>
      </c>
      <c r="L132" s="6">
        <v>0</v>
      </c>
      <c r="M132" s="6">
        <v>125993</v>
      </c>
      <c r="N132" s="6">
        <v>44527</v>
      </c>
      <c r="O132" s="77">
        <v>2096</v>
      </c>
      <c r="P132" s="6">
        <v>7448</v>
      </c>
      <c r="Q132" s="6">
        <v>0</v>
      </c>
      <c r="R132" s="6">
        <v>0</v>
      </c>
      <c r="S132" s="6">
        <v>4500</v>
      </c>
      <c r="T132" s="6">
        <v>11948</v>
      </c>
      <c r="U132" s="6">
        <v>0</v>
      </c>
      <c r="V132" s="6">
        <v>137941</v>
      </c>
      <c r="W132" s="6">
        <v>44527</v>
      </c>
      <c r="X132" s="6">
        <v>182468</v>
      </c>
      <c r="Y132" s="6">
        <v>2054</v>
      </c>
      <c r="Z132" s="6">
        <v>0</v>
      </c>
      <c r="AA132" s="6">
        <v>184522</v>
      </c>
      <c r="AB132" s="142">
        <f>Table6[[#This Row],[Total Operating Income]]/Table6[[#This Row],[Total Population Served]]</f>
        <v>29.570833333333333</v>
      </c>
    </row>
    <row r="133" spans="1:28" ht="13.5" thickBot="1" x14ac:dyDescent="0.25">
      <c r="A133" s="2" t="s">
        <v>634</v>
      </c>
      <c r="B133" s="1" t="s">
        <v>633</v>
      </c>
      <c r="C133" s="2" t="s">
        <v>24</v>
      </c>
      <c r="D133" s="2" t="s">
        <v>1173</v>
      </c>
      <c r="E133" s="3" t="s">
        <v>27</v>
      </c>
      <c r="F133" s="3" t="s">
        <v>28</v>
      </c>
      <c r="G133" s="4">
        <v>5376</v>
      </c>
      <c r="H133" s="4">
        <v>2843</v>
      </c>
      <c r="I133" s="6">
        <v>9479</v>
      </c>
      <c r="J133" s="6">
        <v>82845</v>
      </c>
      <c r="K133" s="6">
        <v>0</v>
      </c>
      <c r="L133" s="6">
        <v>0</v>
      </c>
      <c r="M133" s="6">
        <v>92324</v>
      </c>
      <c r="N133" s="6">
        <v>7481</v>
      </c>
      <c r="O133" s="77">
        <v>2533</v>
      </c>
      <c r="P133" s="6">
        <v>8445</v>
      </c>
      <c r="Q133" s="6">
        <v>0</v>
      </c>
      <c r="R133" s="6">
        <v>0</v>
      </c>
      <c r="S133" s="6">
        <v>3000</v>
      </c>
      <c r="T133" s="6">
        <v>11445</v>
      </c>
      <c r="U133" s="6">
        <v>0</v>
      </c>
      <c r="V133" s="6">
        <v>103769</v>
      </c>
      <c r="W133" s="6">
        <v>7481</v>
      </c>
      <c r="X133" s="6">
        <v>111250</v>
      </c>
      <c r="Y133" s="6">
        <v>3727</v>
      </c>
      <c r="Z133" s="6">
        <v>0</v>
      </c>
      <c r="AA133" s="6">
        <v>114977</v>
      </c>
      <c r="AB133" s="142">
        <f>Table6[[#This Row],[Total Operating Income]]/Table6[[#This Row],[Total Population Served]]</f>
        <v>21.387090773809526</v>
      </c>
    </row>
    <row r="134" spans="1:28" ht="13.5" thickBot="1" x14ac:dyDescent="0.25">
      <c r="A134" s="2" t="s">
        <v>640</v>
      </c>
      <c r="B134" s="1" t="s">
        <v>639</v>
      </c>
      <c r="C134" s="2" t="s">
        <v>24</v>
      </c>
      <c r="D134" s="2" t="s">
        <v>1166</v>
      </c>
      <c r="E134" s="3" t="s">
        <v>22</v>
      </c>
      <c r="F134" s="3" t="s">
        <v>23</v>
      </c>
      <c r="G134" s="4">
        <v>5523</v>
      </c>
      <c r="H134" s="4">
        <v>5523</v>
      </c>
      <c r="I134" s="6">
        <v>23543</v>
      </c>
      <c r="J134" s="6">
        <v>233434</v>
      </c>
      <c r="K134" s="78">
        <v>0</v>
      </c>
      <c r="L134" s="78">
        <v>0</v>
      </c>
      <c r="M134" s="6">
        <v>256977</v>
      </c>
      <c r="N134" s="6">
        <v>4372</v>
      </c>
      <c r="O134" s="2">
        <v>0</v>
      </c>
      <c r="P134" s="78">
        <v>0</v>
      </c>
      <c r="Q134" s="78">
        <v>0</v>
      </c>
      <c r="R134" s="78">
        <v>0</v>
      </c>
      <c r="S134" s="78">
        <v>0</v>
      </c>
      <c r="T134" s="78">
        <v>0</v>
      </c>
      <c r="U134" s="78">
        <v>0</v>
      </c>
      <c r="V134" s="6">
        <v>256977</v>
      </c>
      <c r="W134" s="6">
        <v>4372</v>
      </c>
      <c r="X134" s="6">
        <v>261349</v>
      </c>
      <c r="Y134" s="6">
        <v>3613</v>
      </c>
      <c r="Z134" s="6">
        <v>0</v>
      </c>
      <c r="AA134" s="6">
        <v>264962</v>
      </c>
      <c r="AB134" s="142">
        <f>Table6[[#This Row],[Total Operating Income]]/Table6[[#This Row],[Total Population Served]]</f>
        <v>47.974289335506064</v>
      </c>
    </row>
    <row r="135" spans="1:28" ht="13.5" thickBot="1" x14ac:dyDescent="0.25">
      <c r="A135" s="2" t="s">
        <v>654</v>
      </c>
      <c r="B135" s="1" t="s">
        <v>653</v>
      </c>
      <c r="C135" s="2" t="s">
        <v>24</v>
      </c>
      <c r="D135" s="2" t="s">
        <v>1164</v>
      </c>
      <c r="E135" s="3" t="s">
        <v>17</v>
      </c>
      <c r="F135" s="3" t="s">
        <v>18</v>
      </c>
      <c r="G135" s="4">
        <v>4659</v>
      </c>
      <c r="H135" s="4">
        <v>4659</v>
      </c>
      <c r="I135" s="6">
        <v>13357</v>
      </c>
      <c r="J135" s="6">
        <v>117884</v>
      </c>
      <c r="K135" s="6">
        <v>0</v>
      </c>
      <c r="L135" s="6">
        <v>0</v>
      </c>
      <c r="M135" s="6">
        <v>131241</v>
      </c>
      <c r="N135" s="6">
        <v>192714</v>
      </c>
      <c r="O135" s="78">
        <v>0</v>
      </c>
      <c r="P135" s="78">
        <v>0</v>
      </c>
      <c r="Q135" s="78">
        <v>0</v>
      </c>
      <c r="R135" s="78">
        <v>0</v>
      </c>
      <c r="S135" s="78">
        <v>0</v>
      </c>
      <c r="T135" s="78">
        <v>0</v>
      </c>
      <c r="U135" s="78">
        <v>0</v>
      </c>
      <c r="V135" s="6">
        <v>131241</v>
      </c>
      <c r="W135" s="6">
        <v>192714</v>
      </c>
      <c r="X135" s="6">
        <v>323955</v>
      </c>
      <c r="Y135" s="6">
        <v>3417</v>
      </c>
      <c r="Z135" s="6">
        <v>0</v>
      </c>
      <c r="AA135" s="6">
        <v>327372</v>
      </c>
      <c r="AB135" s="142">
        <f>Table6[[#This Row],[Total Operating Income]]/Table6[[#This Row],[Total Population Served]]</f>
        <v>70.266580811332901</v>
      </c>
    </row>
    <row r="136" spans="1:28" ht="13.5" thickBot="1" x14ac:dyDescent="0.25">
      <c r="A136" s="2" t="s">
        <v>666</v>
      </c>
      <c r="B136" s="1" t="s">
        <v>665</v>
      </c>
      <c r="C136" s="2" t="s">
        <v>24</v>
      </c>
      <c r="D136" s="2" t="s">
        <v>1234</v>
      </c>
      <c r="E136" s="3" t="s">
        <v>17</v>
      </c>
      <c r="F136" s="3" t="s">
        <v>18</v>
      </c>
      <c r="G136" s="4">
        <v>6295</v>
      </c>
      <c r="H136" s="4">
        <v>6295</v>
      </c>
      <c r="I136" s="6">
        <v>49899</v>
      </c>
      <c r="J136" s="6">
        <v>360370</v>
      </c>
      <c r="K136" s="2">
        <v>0</v>
      </c>
      <c r="L136" s="78">
        <v>0</v>
      </c>
      <c r="M136" s="6">
        <v>410269</v>
      </c>
      <c r="N136" s="6">
        <v>10523</v>
      </c>
      <c r="O136" s="78">
        <v>0</v>
      </c>
      <c r="P136" s="6">
        <v>0</v>
      </c>
      <c r="Q136" s="78">
        <v>0</v>
      </c>
      <c r="R136" s="6">
        <v>0</v>
      </c>
      <c r="S136" s="78">
        <v>0</v>
      </c>
      <c r="T136" s="6">
        <v>0</v>
      </c>
      <c r="U136" s="78">
        <v>0</v>
      </c>
      <c r="V136" s="6">
        <v>410269</v>
      </c>
      <c r="W136" s="6">
        <v>10523</v>
      </c>
      <c r="X136" s="6">
        <v>420792</v>
      </c>
      <c r="Y136" s="6">
        <v>7599</v>
      </c>
      <c r="Z136" s="6">
        <v>0</v>
      </c>
      <c r="AA136" s="6">
        <v>428391</v>
      </c>
      <c r="AB136" s="142">
        <f>Table6[[#This Row],[Total Operating Income]]/Table6[[#This Row],[Total Population Served]]</f>
        <v>68.052581413820491</v>
      </c>
    </row>
    <row r="137" spans="1:28" ht="13.5" thickBot="1" x14ac:dyDescent="0.25">
      <c r="A137" s="2" t="s">
        <v>682</v>
      </c>
      <c r="B137" s="1" t="s">
        <v>681</v>
      </c>
      <c r="C137" s="2" t="s">
        <v>24</v>
      </c>
      <c r="D137" s="2" t="s">
        <v>1251</v>
      </c>
      <c r="E137" s="3" t="s">
        <v>22</v>
      </c>
      <c r="F137" s="3" t="s">
        <v>23</v>
      </c>
      <c r="G137" s="4">
        <v>4434</v>
      </c>
      <c r="H137" s="4">
        <v>2452</v>
      </c>
      <c r="I137" s="6">
        <v>77857</v>
      </c>
      <c r="J137" s="6">
        <v>73000</v>
      </c>
      <c r="K137" s="6">
        <v>0</v>
      </c>
      <c r="L137" s="6">
        <v>0</v>
      </c>
      <c r="M137" s="6">
        <v>150857</v>
      </c>
      <c r="N137" s="6">
        <v>0</v>
      </c>
      <c r="O137" s="77">
        <v>1982</v>
      </c>
      <c r="P137" s="6">
        <v>34982</v>
      </c>
      <c r="Q137" s="6">
        <v>57202</v>
      </c>
      <c r="R137" s="6">
        <v>0</v>
      </c>
      <c r="S137" s="6">
        <v>0</v>
      </c>
      <c r="T137" s="6">
        <v>92184</v>
      </c>
      <c r="U137" s="6">
        <v>0</v>
      </c>
      <c r="V137" s="6">
        <v>243041</v>
      </c>
      <c r="W137" s="6">
        <v>0</v>
      </c>
      <c r="X137" s="6">
        <v>243041</v>
      </c>
      <c r="Y137" s="6">
        <v>2900</v>
      </c>
      <c r="Z137" s="6">
        <v>0</v>
      </c>
      <c r="AA137" s="6">
        <v>245941</v>
      </c>
      <c r="AB137" s="142">
        <f>Table6[[#This Row],[Total Operating Income]]/Table6[[#This Row],[Total Population Served]]</f>
        <v>55.467072620658548</v>
      </c>
    </row>
    <row r="138" spans="1:28" ht="13.5" thickBot="1" x14ac:dyDescent="0.25">
      <c r="A138" s="2" t="s">
        <v>692</v>
      </c>
      <c r="B138" s="1" t="s">
        <v>691</v>
      </c>
      <c r="C138" s="2" t="s">
        <v>24</v>
      </c>
      <c r="D138" s="2" t="s">
        <v>1127</v>
      </c>
      <c r="E138" s="3" t="s">
        <v>22</v>
      </c>
      <c r="F138" s="3" t="s">
        <v>23</v>
      </c>
      <c r="G138" s="4">
        <v>4375</v>
      </c>
      <c r="H138" s="4">
        <v>4122</v>
      </c>
      <c r="I138" s="6">
        <v>13088</v>
      </c>
      <c r="J138" s="6">
        <v>135550</v>
      </c>
      <c r="K138" s="6">
        <v>0</v>
      </c>
      <c r="L138" s="6">
        <v>0</v>
      </c>
      <c r="M138" s="6">
        <v>148638</v>
      </c>
      <c r="N138" s="6">
        <v>17687</v>
      </c>
      <c r="O138" s="4">
        <v>253</v>
      </c>
      <c r="P138" s="6">
        <v>803</v>
      </c>
      <c r="Q138" s="6">
        <v>3664</v>
      </c>
      <c r="R138" s="6">
        <v>0</v>
      </c>
      <c r="S138" s="6">
        <v>0</v>
      </c>
      <c r="T138" s="6">
        <v>4467</v>
      </c>
      <c r="U138" s="6">
        <v>0</v>
      </c>
      <c r="V138" s="6">
        <v>153105</v>
      </c>
      <c r="W138" s="6">
        <v>17687</v>
      </c>
      <c r="X138" s="6">
        <v>170792</v>
      </c>
      <c r="Y138" s="6">
        <v>2862</v>
      </c>
      <c r="Z138" s="6">
        <v>1440</v>
      </c>
      <c r="AA138" s="6">
        <v>175094</v>
      </c>
      <c r="AB138" s="142">
        <f>Table6[[#This Row],[Total Operating Income]]/Table6[[#This Row],[Total Population Served]]</f>
        <v>40.021485714285717</v>
      </c>
    </row>
    <row r="139" spans="1:28" ht="13.5" thickBot="1" x14ac:dyDescent="0.25">
      <c r="A139" s="2" t="s">
        <v>696</v>
      </c>
      <c r="B139" s="1" t="s">
        <v>695</v>
      </c>
      <c r="C139" s="2" t="s">
        <v>24</v>
      </c>
      <c r="D139" s="2" t="s">
        <v>1133</v>
      </c>
      <c r="E139" s="3" t="s">
        <v>27</v>
      </c>
      <c r="F139" s="3" t="s">
        <v>28</v>
      </c>
      <c r="G139" s="4">
        <v>5101</v>
      </c>
      <c r="H139" s="4">
        <v>5101</v>
      </c>
      <c r="I139" s="6">
        <v>38827</v>
      </c>
      <c r="J139" s="6">
        <v>241286</v>
      </c>
      <c r="K139" s="78">
        <v>0</v>
      </c>
      <c r="L139" s="6">
        <v>14044</v>
      </c>
      <c r="M139" s="6">
        <v>294157</v>
      </c>
      <c r="N139" s="6">
        <v>33149</v>
      </c>
      <c r="O139" s="78">
        <v>0</v>
      </c>
      <c r="P139" s="78">
        <v>0</v>
      </c>
      <c r="Q139" s="78">
        <v>0</v>
      </c>
      <c r="R139" s="78">
        <v>0</v>
      </c>
      <c r="S139" s="78">
        <v>0</v>
      </c>
      <c r="T139" s="78">
        <v>0</v>
      </c>
      <c r="U139" s="78">
        <v>0</v>
      </c>
      <c r="V139" s="6">
        <v>294157</v>
      </c>
      <c r="W139" s="6">
        <v>33149</v>
      </c>
      <c r="X139" s="6">
        <v>327306</v>
      </c>
      <c r="Y139" s="6">
        <v>7111</v>
      </c>
      <c r="Z139" s="6">
        <v>0</v>
      </c>
      <c r="AA139" s="6">
        <v>334417</v>
      </c>
      <c r="AB139" s="142">
        <f>Table6[[#This Row],[Total Operating Income]]/Table6[[#This Row],[Total Population Served]]</f>
        <v>65.559106057635759</v>
      </c>
    </row>
    <row r="140" spans="1:28" ht="13.5" thickBot="1" x14ac:dyDescent="0.25">
      <c r="A140" s="2" t="s">
        <v>702</v>
      </c>
      <c r="B140" s="1" t="s">
        <v>701</v>
      </c>
      <c r="C140" s="2" t="s">
        <v>24</v>
      </c>
      <c r="D140" s="2" t="s">
        <v>1150</v>
      </c>
      <c r="E140" s="3" t="s">
        <v>67</v>
      </c>
      <c r="F140" s="3" t="s">
        <v>68</v>
      </c>
      <c r="G140" s="4">
        <v>4038</v>
      </c>
      <c r="H140" s="4">
        <v>2724</v>
      </c>
      <c r="I140" s="6">
        <v>12804</v>
      </c>
      <c r="J140" s="6">
        <v>86399</v>
      </c>
      <c r="K140" s="6">
        <v>0</v>
      </c>
      <c r="L140" s="6">
        <v>0</v>
      </c>
      <c r="M140" s="6">
        <v>99203</v>
      </c>
      <c r="N140" s="6">
        <v>42135</v>
      </c>
      <c r="O140" s="77">
        <v>1314</v>
      </c>
      <c r="P140" s="6">
        <v>0</v>
      </c>
      <c r="Q140" s="6">
        <v>3815</v>
      </c>
      <c r="R140" s="78">
        <v>0</v>
      </c>
      <c r="S140" s="78">
        <v>0</v>
      </c>
      <c r="T140" s="6">
        <v>3815</v>
      </c>
      <c r="U140" s="78">
        <v>0</v>
      </c>
      <c r="V140" s="6">
        <v>103018</v>
      </c>
      <c r="W140" s="6">
        <v>42135</v>
      </c>
      <c r="X140" s="6">
        <v>145153</v>
      </c>
      <c r="Y140" s="6">
        <v>2641</v>
      </c>
      <c r="Z140" s="6">
        <v>0</v>
      </c>
      <c r="AA140" s="6">
        <v>147794</v>
      </c>
      <c r="AB140" s="142">
        <f>Table6[[#This Row],[Total Operating Income]]/Table6[[#This Row],[Total Population Served]]</f>
        <v>36.600792471520556</v>
      </c>
    </row>
    <row r="141" spans="1:28" ht="13.5" thickBot="1" x14ac:dyDescent="0.25">
      <c r="A141" s="2" t="s">
        <v>710</v>
      </c>
      <c r="B141" s="1" t="s">
        <v>709</v>
      </c>
      <c r="C141" s="2" t="s">
        <v>24</v>
      </c>
      <c r="D141" s="2" t="s">
        <v>1186</v>
      </c>
      <c r="E141" s="3" t="s">
        <v>67</v>
      </c>
      <c r="F141" s="3" t="s">
        <v>68</v>
      </c>
      <c r="G141" s="4">
        <v>5635</v>
      </c>
      <c r="H141" s="4">
        <v>2991</v>
      </c>
      <c r="I141" s="6">
        <v>12821</v>
      </c>
      <c r="J141" s="6">
        <v>70310</v>
      </c>
      <c r="K141" s="78">
        <v>0</v>
      </c>
      <c r="L141" s="78">
        <v>0</v>
      </c>
      <c r="M141" s="6">
        <v>83131</v>
      </c>
      <c r="N141" s="6">
        <v>3120</v>
      </c>
      <c r="O141" s="77">
        <v>2644</v>
      </c>
      <c r="P141" s="6">
        <v>23837</v>
      </c>
      <c r="Q141" s="2">
        <v>0</v>
      </c>
      <c r="R141" s="2">
        <v>0</v>
      </c>
      <c r="S141" s="2">
        <v>0</v>
      </c>
      <c r="T141" s="6">
        <v>23837</v>
      </c>
      <c r="U141" s="2">
        <v>0</v>
      </c>
      <c r="V141" s="6">
        <v>106968</v>
      </c>
      <c r="W141" s="6">
        <v>3120</v>
      </c>
      <c r="X141" s="6">
        <v>110088</v>
      </c>
      <c r="Y141" s="6">
        <v>3431</v>
      </c>
      <c r="Z141" s="6">
        <v>0</v>
      </c>
      <c r="AA141" s="6">
        <v>113519</v>
      </c>
      <c r="AB141" s="142">
        <f>Table6[[#This Row],[Total Operating Income]]/Table6[[#This Row],[Total Population Served]]</f>
        <v>20.145341614906833</v>
      </c>
    </row>
    <row r="142" spans="1:28" ht="13.5" thickBot="1" x14ac:dyDescent="0.25">
      <c r="A142" s="2" t="s">
        <v>732</v>
      </c>
      <c r="B142" s="1" t="s">
        <v>731</v>
      </c>
      <c r="C142" s="2" t="s">
        <v>24</v>
      </c>
      <c r="D142" s="2" t="s">
        <v>1126</v>
      </c>
      <c r="E142" s="3" t="s">
        <v>27</v>
      </c>
      <c r="F142" s="3" t="s">
        <v>28</v>
      </c>
      <c r="G142" s="4">
        <v>4046</v>
      </c>
      <c r="H142" s="4">
        <v>4046</v>
      </c>
      <c r="I142" s="6">
        <v>11067</v>
      </c>
      <c r="J142" s="6">
        <v>133325</v>
      </c>
      <c r="K142" s="6">
        <v>0</v>
      </c>
      <c r="L142" s="6">
        <v>0</v>
      </c>
      <c r="M142" s="6">
        <v>144392</v>
      </c>
      <c r="N142" s="6">
        <v>19752</v>
      </c>
      <c r="O142" s="78">
        <v>0</v>
      </c>
      <c r="P142" s="78">
        <v>0</v>
      </c>
      <c r="Q142" s="2">
        <v>0</v>
      </c>
      <c r="R142" s="78">
        <v>0</v>
      </c>
      <c r="S142" s="2">
        <v>0</v>
      </c>
      <c r="T142" s="78">
        <v>0</v>
      </c>
      <c r="U142" s="78">
        <v>0</v>
      </c>
      <c r="V142" s="6">
        <v>144392</v>
      </c>
      <c r="W142" s="6">
        <v>19752</v>
      </c>
      <c r="X142" s="6">
        <v>164144</v>
      </c>
      <c r="Y142" s="6">
        <v>2805</v>
      </c>
      <c r="Z142" s="6">
        <v>0</v>
      </c>
      <c r="AA142" s="6">
        <v>166949</v>
      </c>
      <c r="AB142" s="142">
        <f>Table6[[#This Row],[Total Operating Income]]/Table6[[#This Row],[Total Population Served]]</f>
        <v>41.262728620860109</v>
      </c>
    </row>
    <row r="143" spans="1:28" ht="13.5" thickBot="1" x14ac:dyDescent="0.25">
      <c r="A143" s="2" t="s">
        <v>744</v>
      </c>
      <c r="B143" s="1" t="s">
        <v>743</v>
      </c>
      <c r="C143" s="2" t="s">
        <v>24</v>
      </c>
      <c r="D143" s="2" t="s">
        <v>1222</v>
      </c>
      <c r="E143" s="3" t="s">
        <v>745</v>
      </c>
      <c r="F143" s="3" t="s">
        <v>15</v>
      </c>
      <c r="G143" s="4">
        <v>5479</v>
      </c>
      <c r="H143" s="4">
        <v>5479</v>
      </c>
      <c r="I143" s="6">
        <v>10423</v>
      </c>
      <c r="J143" s="6">
        <v>203302</v>
      </c>
      <c r="K143" s="2">
        <v>0</v>
      </c>
      <c r="L143" s="6">
        <v>5097</v>
      </c>
      <c r="M143" s="6">
        <v>218822</v>
      </c>
      <c r="N143" s="6">
        <v>2341</v>
      </c>
      <c r="O143" s="2">
        <v>0</v>
      </c>
      <c r="P143" s="6">
        <v>0</v>
      </c>
      <c r="Q143" s="6">
        <v>0</v>
      </c>
      <c r="R143" s="6">
        <v>0</v>
      </c>
      <c r="S143" s="6">
        <v>0</v>
      </c>
      <c r="T143" s="6">
        <v>0</v>
      </c>
      <c r="U143" s="6">
        <v>0</v>
      </c>
      <c r="V143" s="6">
        <v>218822</v>
      </c>
      <c r="W143" s="6">
        <v>2341</v>
      </c>
      <c r="X143" s="6">
        <v>221163</v>
      </c>
      <c r="Y143" s="6">
        <v>5151</v>
      </c>
      <c r="Z143" s="6">
        <v>0</v>
      </c>
      <c r="AA143" s="6">
        <v>226314</v>
      </c>
      <c r="AB143" s="142">
        <f>Table6[[#This Row],[Total Operating Income]]/Table6[[#This Row],[Total Population Served]]</f>
        <v>41.305712721299507</v>
      </c>
    </row>
    <row r="144" spans="1:28" ht="13.5" thickBot="1" x14ac:dyDescent="0.25">
      <c r="A144" s="2" t="s">
        <v>753</v>
      </c>
      <c r="B144" s="1" t="s">
        <v>752</v>
      </c>
      <c r="C144" s="2" t="s">
        <v>24</v>
      </c>
      <c r="D144" s="2" t="s">
        <v>1164</v>
      </c>
      <c r="E144" s="3" t="s">
        <v>27</v>
      </c>
      <c r="F144" s="3" t="s">
        <v>28</v>
      </c>
      <c r="G144" s="4">
        <v>6680</v>
      </c>
      <c r="H144" s="4">
        <v>4520</v>
      </c>
      <c r="I144" s="6">
        <v>13407</v>
      </c>
      <c r="J144" s="6">
        <v>0</v>
      </c>
      <c r="K144" s="6">
        <v>42127</v>
      </c>
      <c r="L144" s="6">
        <v>0</v>
      </c>
      <c r="M144" s="6">
        <v>55534</v>
      </c>
      <c r="N144" s="6">
        <v>2271</v>
      </c>
      <c r="O144" s="77">
        <v>2160</v>
      </c>
      <c r="P144" s="6">
        <v>5745</v>
      </c>
      <c r="Q144" s="2">
        <v>0</v>
      </c>
      <c r="R144" s="2">
        <v>0</v>
      </c>
      <c r="S144" s="2">
        <v>0</v>
      </c>
      <c r="T144" s="6">
        <v>5745</v>
      </c>
      <c r="U144" s="2">
        <v>0</v>
      </c>
      <c r="V144" s="6">
        <v>61279</v>
      </c>
      <c r="W144" s="6">
        <v>2271</v>
      </c>
      <c r="X144" s="6">
        <v>63550</v>
      </c>
      <c r="Y144" s="6">
        <v>2467</v>
      </c>
      <c r="Z144" s="6">
        <v>0</v>
      </c>
      <c r="AA144" s="6">
        <v>66017</v>
      </c>
      <c r="AB144" s="142">
        <f>Table6[[#This Row],[Total Operating Income]]/Table6[[#This Row],[Total Population Served]]</f>
        <v>9.8827844311377238</v>
      </c>
    </row>
    <row r="145" spans="1:28" ht="13.5" thickBot="1" x14ac:dyDescent="0.25">
      <c r="A145" s="2" t="s">
        <v>761</v>
      </c>
      <c r="B145" s="1" t="s">
        <v>760</v>
      </c>
      <c r="C145" s="2" t="s">
        <v>24</v>
      </c>
      <c r="D145" s="2" t="s">
        <v>1164</v>
      </c>
      <c r="E145" s="3" t="s">
        <v>67</v>
      </c>
      <c r="F145" s="3" t="s">
        <v>68</v>
      </c>
      <c r="G145" s="4">
        <v>6033</v>
      </c>
      <c r="H145" s="4">
        <v>6033</v>
      </c>
      <c r="I145" s="6">
        <v>21439</v>
      </c>
      <c r="J145" s="78">
        <v>0</v>
      </c>
      <c r="K145" s="6">
        <v>86000</v>
      </c>
      <c r="L145" s="6">
        <v>0</v>
      </c>
      <c r="M145" s="6">
        <v>107439</v>
      </c>
      <c r="N145" s="6">
        <v>2769</v>
      </c>
      <c r="O145" s="2">
        <v>0</v>
      </c>
      <c r="P145" s="78">
        <v>0</v>
      </c>
      <c r="Q145" s="78">
        <v>0</v>
      </c>
      <c r="R145" s="78">
        <v>0</v>
      </c>
      <c r="S145" s="78">
        <v>0</v>
      </c>
      <c r="T145" s="78">
        <v>0</v>
      </c>
      <c r="U145" s="78">
        <v>0</v>
      </c>
      <c r="V145" s="6">
        <v>107439</v>
      </c>
      <c r="W145" s="6">
        <v>2769</v>
      </c>
      <c r="X145" s="6">
        <v>110208</v>
      </c>
      <c r="Y145" s="6">
        <v>3946</v>
      </c>
      <c r="Z145" s="6">
        <v>0</v>
      </c>
      <c r="AA145" s="6">
        <v>114154</v>
      </c>
      <c r="AB145" s="142">
        <f>Table6[[#This Row],[Total Operating Income]]/Table6[[#This Row],[Total Population Served]]</f>
        <v>18.92159787833582</v>
      </c>
    </row>
    <row r="146" spans="1:28" ht="13.5" thickBot="1" x14ac:dyDescent="0.25">
      <c r="A146" s="2" t="s">
        <v>769</v>
      </c>
      <c r="B146" s="1" t="s">
        <v>768</v>
      </c>
      <c r="C146" s="2" t="s">
        <v>24</v>
      </c>
      <c r="D146" s="2" t="s">
        <v>1157</v>
      </c>
      <c r="E146" s="3" t="s">
        <v>67</v>
      </c>
      <c r="F146" s="3" t="s">
        <v>68</v>
      </c>
      <c r="G146" s="4">
        <v>4576</v>
      </c>
      <c r="H146" s="4">
        <v>2574</v>
      </c>
      <c r="I146" s="6">
        <v>20978</v>
      </c>
      <c r="J146" s="6">
        <v>132653</v>
      </c>
      <c r="K146" s="6">
        <v>0</v>
      </c>
      <c r="L146" s="6">
        <v>0</v>
      </c>
      <c r="M146" s="6">
        <v>153631</v>
      </c>
      <c r="N146" s="6">
        <v>4570</v>
      </c>
      <c r="O146" s="4">
        <v>2002</v>
      </c>
      <c r="P146" s="6">
        <v>16318</v>
      </c>
      <c r="Q146" s="6">
        <v>0</v>
      </c>
      <c r="R146" s="6">
        <v>0</v>
      </c>
      <c r="S146" s="6">
        <v>10000</v>
      </c>
      <c r="T146" s="6">
        <v>26318</v>
      </c>
      <c r="U146" s="6">
        <v>0</v>
      </c>
      <c r="V146" s="6">
        <v>179949</v>
      </c>
      <c r="W146" s="6">
        <v>4570</v>
      </c>
      <c r="X146" s="6">
        <v>184519</v>
      </c>
      <c r="Y146" s="6">
        <v>3127</v>
      </c>
      <c r="Z146" s="6">
        <v>0</v>
      </c>
      <c r="AA146" s="6">
        <v>187646</v>
      </c>
      <c r="AB146" s="142">
        <f>Table6[[#This Row],[Total Operating Income]]/Table6[[#This Row],[Total Population Served]]</f>
        <v>41.006555944055947</v>
      </c>
    </row>
    <row r="147" spans="1:28" ht="13.5" thickBot="1" x14ac:dyDescent="0.25">
      <c r="A147" s="2" t="s">
        <v>783</v>
      </c>
      <c r="B147" s="1" t="s">
        <v>782</v>
      </c>
      <c r="C147" s="2" t="s">
        <v>24</v>
      </c>
      <c r="D147" s="2" t="s">
        <v>1146</v>
      </c>
      <c r="E147" s="3" t="s">
        <v>27</v>
      </c>
      <c r="F147" s="3" t="s">
        <v>28</v>
      </c>
      <c r="G147" s="4">
        <v>4757</v>
      </c>
      <c r="H147" s="4">
        <v>4757</v>
      </c>
      <c r="I147" s="6">
        <v>3905</v>
      </c>
      <c r="J147" s="6">
        <v>227824</v>
      </c>
      <c r="K147" s="6">
        <v>0</v>
      </c>
      <c r="L147" s="6">
        <v>0</v>
      </c>
      <c r="M147" s="6">
        <v>231729</v>
      </c>
      <c r="N147" s="6">
        <v>10611</v>
      </c>
      <c r="O147" s="2">
        <v>0</v>
      </c>
      <c r="P147" s="6">
        <v>0</v>
      </c>
      <c r="Q147" s="6">
        <v>0</v>
      </c>
      <c r="R147" s="6">
        <v>0</v>
      </c>
      <c r="S147" s="6">
        <v>0</v>
      </c>
      <c r="T147" s="6">
        <v>0</v>
      </c>
      <c r="U147" s="6">
        <v>0</v>
      </c>
      <c r="V147" s="6">
        <v>231729</v>
      </c>
      <c r="W147" s="6">
        <v>10611</v>
      </c>
      <c r="X147" s="6">
        <v>242340</v>
      </c>
      <c r="Y147" s="6">
        <v>4992</v>
      </c>
      <c r="Z147" s="6">
        <v>0</v>
      </c>
      <c r="AA147" s="6">
        <v>247332</v>
      </c>
      <c r="AB147" s="142">
        <f>Table6[[#This Row],[Total Operating Income]]/Table6[[#This Row],[Total Population Served]]</f>
        <v>51.993273071263403</v>
      </c>
    </row>
    <row r="148" spans="1:28" ht="13.5" thickBot="1" x14ac:dyDescent="0.25">
      <c r="A148" s="2" t="s">
        <v>789</v>
      </c>
      <c r="B148" s="1" t="s">
        <v>788</v>
      </c>
      <c r="C148" s="2" t="s">
        <v>24</v>
      </c>
      <c r="D148" s="2" t="s">
        <v>1190</v>
      </c>
      <c r="E148" s="3" t="s">
        <v>22</v>
      </c>
      <c r="F148" s="3" t="s">
        <v>23</v>
      </c>
      <c r="G148" s="4">
        <v>4614</v>
      </c>
      <c r="H148" s="4">
        <v>4614</v>
      </c>
      <c r="I148" s="6">
        <v>10510</v>
      </c>
      <c r="J148" s="6">
        <v>55595</v>
      </c>
      <c r="K148" s="6">
        <v>0</v>
      </c>
      <c r="L148" s="6">
        <v>0</v>
      </c>
      <c r="M148" s="6">
        <v>66105</v>
      </c>
      <c r="N148" s="6">
        <v>9341</v>
      </c>
      <c r="O148" s="2">
        <v>0</v>
      </c>
      <c r="P148" s="78">
        <v>0</v>
      </c>
      <c r="Q148" s="2">
        <v>0</v>
      </c>
      <c r="R148" s="2">
        <v>0</v>
      </c>
      <c r="S148" s="2">
        <v>0</v>
      </c>
      <c r="T148" s="78">
        <v>0</v>
      </c>
      <c r="U148" s="2">
        <v>0</v>
      </c>
      <c r="V148" s="6">
        <v>66105</v>
      </c>
      <c r="W148" s="6">
        <v>9341</v>
      </c>
      <c r="X148" s="6">
        <v>75446</v>
      </c>
      <c r="Y148" s="6">
        <v>3018</v>
      </c>
      <c r="Z148" s="6">
        <v>0</v>
      </c>
      <c r="AA148" s="6">
        <v>78464</v>
      </c>
      <c r="AB148" s="142">
        <f>Table6[[#This Row],[Total Operating Income]]/Table6[[#This Row],[Total Population Served]]</f>
        <v>17.005635023840487</v>
      </c>
    </row>
    <row r="149" spans="1:28" ht="13.5" thickBot="1" x14ac:dyDescent="0.25">
      <c r="A149" s="2" t="s">
        <v>801</v>
      </c>
      <c r="B149" s="1" t="s">
        <v>800</v>
      </c>
      <c r="C149" s="2" t="s">
        <v>24</v>
      </c>
      <c r="D149" s="2" t="s">
        <v>1125</v>
      </c>
      <c r="E149" s="3" t="s">
        <v>27</v>
      </c>
      <c r="F149" s="3" t="s">
        <v>28</v>
      </c>
      <c r="G149" s="4">
        <v>6999</v>
      </c>
      <c r="H149" s="4">
        <v>6999</v>
      </c>
      <c r="I149" s="6">
        <v>14635</v>
      </c>
      <c r="J149" s="6">
        <v>326149</v>
      </c>
      <c r="K149" s="2">
        <v>0</v>
      </c>
      <c r="L149" s="78">
        <v>0</v>
      </c>
      <c r="M149" s="6">
        <v>340784</v>
      </c>
      <c r="N149" s="6">
        <v>11638</v>
      </c>
      <c r="O149" s="2">
        <v>0</v>
      </c>
      <c r="P149" s="2">
        <v>0</v>
      </c>
      <c r="Q149" s="2">
        <v>0</v>
      </c>
      <c r="R149" s="2">
        <v>0</v>
      </c>
      <c r="S149" s="2">
        <v>0</v>
      </c>
      <c r="T149" s="2">
        <v>0</v>
      </c>
      <c r="U149" s="2">
        <v>0</v>
      </c>
      <c r="V149" s="6">
        <v>340784</v>
      </c>
      <c r="W149" s="6">
        <v>11638</v>
      </c>
      <c r="X149" s="6">
        <v>352422</v>
      </c>
      <c r="Y149" s="6">
        <v>4852</v>
      </c>
      <c r="Z149" s="6">
        <v>2436</v>
      </c>
      <c r="AA149" s="6">
        <v>359710</v>
      </c>
      <c r="AB149" s="142">
        <f>Table6[[#This Row],[Total Operating Income]]/Table6[[#This Row],[Total Population Served]]</f>
        <v>51.394484926418059</v>
      </c>
    </row>
    <row r="150" spans="1:28" ht="13.5" thickBot="1" x14ac:dyDescent="0.25">
      <c r="A150" s="2" t="s">
        <v>811</v>
      </c>
      <c r="B150" s="1" t="s">
        <v>810</v>
      </c>
      <c r="C150" s="2" t="s">
        <v>24</v>
      </c>
      <c r="D150" s="2" t="s">
        <v>1157</v>
      </c>
      <c r="E150" s="3" t="s">
        <v>14</v>
      </c>
      <c r="F150" s="3" t="s">
        <v>15</v>
      </c>
      <c r="G150" s="4">
        <v>4837</v>
      </c>
      <c r="H150" s="4">
        <v>4837</v>
      </c>
      <c r="I150" s="6">
        <v>39437</v>
      </c>
      <c r="J150" s="6">
        <v>191874</v>
      </c>
      <c r="K150" s="78">
        <v>0</v>
      </c>
      <c r="L150" s="78">
        <v>0</v>
      </c>
      <c r="M150" s="6">
        <v>231311</v>
      </c>
      <c r="N150" s="6">
        <v>12382</v>
      </c>
      <c r="O150" s="2">
        <v>0</v>
      </c>
      <c r="P150" s="78">
        <v>0</v>
      </c>
      <c r="Q150" s="78">
        <v>0</v>
      </c>
      <c r="R150" s="78">
        <v>0</v>
      </c>
      <c r="S150" s="78">
        <v>0</v>
      </c>
      <c r="T150" s="78">
        <v>0</v>
      </c>
      <c r="U150" s="78">
        <v>0</v>
      </c>
      <c r="V150" s="6">
        <v>231311</v>
      </c>
      <c r="W150" s="6">
        <v>12382</v>
      </c>
      <c r="X150" s="6">
        <v>243693</v>
      </c>
      <c r="Y150" s="6">
        <v>3353</v>
      </c>
      <c r="Z150" s="6">
        <v>0</v>
      </c>
      <c r="AA150" s="6">
        <v>247046</v>
      </c>
      <c r="AB150" s="142">
        <f>Table6[[#This Row],[Total Operating Income]]/Table6[[#This Row],[Total Population Served]]</f>
        <v>51.07421955757701</v>
      </c>
    </row>
    <row r="151" spans="1:28" ht="13.5" thickBot="1" x14ac:dyDescent="0.25">
      <c r="A151" s="2" t="s">
        <v>829</v>
      </c>
      <c r="B151" s="1" t="s">
        <v>828</v>
      </c>
      <c r="C151" s="2" t="s">
        <v>24</v>
      </c>
      <c r="D151" s="2" t="s">
        <v>1167</v>
      </c>
      <c r="E151" s="3" t="s">
        <v>27</v>
      </c>
      <c r="F151" s="3" t="s">
        <v>28</v>
      </c>
      <c r="G151" s="4">
        <v>5240</v>
      </c>
      <c r="H151" s="4">
        <v>3753</v>
      </c>
      <c r="I151" s="6">
        <v>14920</v>
      </c>
      <c r="J151" s="6">
        <v>183324</v>
      </c>
      <c r="K151" s="6">
        <v>0</v>
      </c>
      <c r="L151" s="6">
        <v>0</v>
      </c>
      <c r="M151" s="6">
        <v>198244</v>
      </c>
      <c r="N151" s="6">
        <v>26779</v>
      </c>
      <c r="O151" s="77">
        <v>1487</v>
      </c>
      <c r="P151" s="6">
        <v>5907</v>
      </c>
      <c r="Q151" s="6">
        <v>0</v>
      </c>
      <c r="R151" s="6">
        <v>0</v>
      </c>
      <c r="S151" s="6">
        <v>1750</v>
      </c>
      <c r="T151" s="6">
        <v>7657</v>
      </c>
      <c r="U151" s="6">
        <v>0</v>
      </c>
      <c r="V151" s="6">
        <v>205901</v>
      </c>
      <c r="W151" s="6">
        <v>26779</v>
      </c>
      <c r="X151" s="6">
        <v>232680</v>
      </c>
      <c r="Y151" s="6">
        <v>3632</v>
      </c>
      <c r="Z151" s="6">
        <v>0</v>
      </c>
      <c r="AA151" s="6">
        <v>236312</v>
      </c>
      <c r="AB151" s="142">
        <f>Table6[[#This Row],[Total Operating Income]]/Table6[[#This Row],[Total Population Served]]</f>
        <v>45.097709923664119</v>
      </c>
    </row>
    <row r="152" spans="1:28" ht="13.5" thickBot="1" x14ac:dyDescent="0.25">
      <c r="A152" s="2" t="s">
        <v>31</v>
      </c>
      <c r="B152" s="1" t="s">
        <v>30</v>
      </c>
      <c r="C152" s="2" t="s">
        <v>32</v>
      </c>
      <c r="D152" s="2" t="s">
        <v>1127</v>
      </c>
      <c r="E152" s="3" t="s">
        <v>27</v>
      </c>
      <c r="F152" s="3" t="s">
        <v>28</v>
      </c>
      <c r="G152" s="4">
        <v>7410</v>
      </c>
      <c r="H152" s="4">
        <v>7410</v>
      </c>
      <c r="I152" s="6">
        <v>23528</v>
      </c>
      <c r="J152" s="6">
        <v>218350</v>
      </c>
      <c r="K152" s="6">
        <v>0</v>
      </c>
      <c r="L152" s="6">
        <v>0</v>
      </c>
      <c r="M152" s="6">
        <v>241878</v>
      </c>
      <c r="N152" s="6">
        <v>18045</v>
      </c>
      <c r="O152" s="2">
        <v>0</v>
      </c>
      <c r="P152" s="78">
        <v>0</v>
      </c>
      <c r="Q152" s="78">
        <v>0</v>
      </c>
      <c r="R152" s="78">
        <v>0</v>
      </c>
      <c r="S152" s="78">
        <v>0</v>
      </c>
      <c r="T152" s="78">
        <v>0</v>
      </c>
      <c r="U152" s="78">
        <v>0</v>
      </c>
      <c r="V152" s="6">
        <v>241878</v>
      </c>
      <c r="W152" s="6">
        <v>18045</v>
      </c>
      <c r="X152" s="6">
        <v>259923</v>
      </c>
      <c r="Y152" s="6">
        <v>5137</v>
      </c>
      <c r="Z152" s="6">
        <v>0</v>
      </c>
      <c r="AA152" s="6">
        <v>265060</v>
      </c>
      <c r="AB152" s="142">
        <f>Table6[[#This Row],[Total Operating Income]]/Table6[[#This Row],[Total Population Served]]</f>
        <v>35.770580296896085</v>
      </c>
    </row>
    <row r="153" spans="1:28" ht="13.5" thickBot="1" x14ac:dyDescent="0.25">
      <c r="A153" s="2" t="s">
        <v>34</v>
      </c>
      <c r="B153" s="1" t="s">
        <v>33</v>
      </c>
      <c r="C153" s="2" t="s">
        <v>32</v>
      </c>
      <c r="D153" s="2" t="s">
        <v>1128</v>
      </c>
      <c r="E153" s="3" t="s">
        <v>27</v>
      </c>
      <c r="F153" s="3" t="s">
        <v>28</v>
      </c>
      <c r="G153" s="4">
        <v>11600</v>
      </c>
      <c r="H153" s="4">
        <v>2978</v>
      </c>
      <c r="I153" s="6">
        <v>14493</v>
      </c>
      <c r="J153" s="78">
        <v>0</v>
      </c>
      <c r="K153" s="78">
        <v>0</v>
      </c>
      <c r="L153" s="6">
        <v>2337</v>
      </c>
      <c r="M153" s="6">
        <v>16830</v>
      </c>
      <c r="N153" s="6">
        <v>23237</v>
      </c>
      <c r="O153" s="77">
        <v>8622</v>
      </c>
      <c r="P153" s="6">
        <v>41959</v>
      </c>
      <c r="Q153" s="2">
        <v>0</v>
      </c>
      <c r="R153" s="2">
        <v>0</v>
      </c>
      <c r="S153" s="6">
        <v>25866</v>
      </c>
      <c r="T153" s="6">
        <v>67825</v>
      </c>
      <c r="U153" s="2">
        <v>0</v>
      </c>
      <c r="V153" s="6">
        <v>84655</v>
      </c>
      <c r="W153" s="6">
        <v>23237</v>
      </c>
      <c r="X153" s="6">
        <v>107892</v>
      </c>
      <c r="Y153" s="6">
        <v>4694</v>
      </c>
      <c r="Z153" s="6">
        <v>0</v>
      </c>
      <c r="AA153" s="6">
        <v>112586</v>
      </c>
      <c r="AB153" s="142">
        <f>Table6[[#This Row],[Total Operating Income]]/Table6[[#This Row],[Total Population Served]]</f>
        <v>9.7056896551724137</v>
      </c>
    </row>
    <row r="154" spans="1:28" ht="13.5" thickBot="1" x14ac:dyDescent="0.25">
      <c r="A154" s="2" t="s">
        <v>36</v>
      </c>
      <c r="B154" s="1" t="s">
        <v>35</v>
      </c>
      <c r="C154" s="2" t="s">
        <v>32</v>
      </c>
      <c r="D154" s="2" t="s">
        <v>1129</v>
      </c>
      <c r="E154" s="3" t="s">
        <v>22</v>
      </c>
      <c r="F154" s="3" t="s">
        <v>23</v>
      </c>
      <c r="G154" s="4">
        <v>11569</v>
      </c>
      <c r="H154" s="4">
        <v>11569</v>
      </c>
      <c r="I154" s="6">
        <v>25085</v>
      </c>
      <c r="J154" s="6">
        <v>450637</v>
      </c>
      <c r="K154" s="78">
        <v>0</v>
      </c>
      <c r="L154" s="6">
        <v>219207</v>
      </c>
      <c r="M154" s="6">
        <v>694929</v>
      </c>
      <c r="N154" s="6">
        <v>49828</v>
      </c>
      <c r="O154" s="2">
        <v>0</v>
      </c>
      <c r="P154" s="2">
        <v>0</v>
      </c>
      <c r="Q154" s="2">
        <v>0</v>
      </c>
      <c r="R154" s="2">
        <v>0</v>
      </c>
      <c r="S154" s="2">
        <v>0</v>
      </c>
      <c r="T154" s="2">
        <v>0</v>
      </c>
      <c r="U154" s="2">
        <v>0</v>
      </c>
      <c r="V154" s="6">
        <v>694929</v>
      </c>
      <c r="W154" s="6">
        <v>49828</v>
      </c>
      <c r="X154" s="6">
        <v>744757</v>
      </c>
      <c r="Y154" s="6">
        <v>44534</v>
      </c>
      <c r="Z154" s="6">
        <v>0</v>
      </c>
      <c r="AA154" s="6">
        <v>789291</v>
      </c>
      <c r="AB154" s="142">
        <f>Table6[[#This Row],[Total Operating Income]]/Table6[[#This Row],[Total Population Served]]</f>
        <v>68.22465208747515</v>
      </c>
    </row>
    <row r="155" spans="1:28" ht="13.5" thickBot="1" x14ac:dyDescent="0.25">
      <c r="A155" s="2" t="s">
        <v>38</v>
      </c>
      <c r="B155" s="1" t="s">
        <v>37</v>
      </c>
      <c r="C155" s="2" t="s">
        <v>32</v>
      </c>
      <c r="D155" s="2" t="s">
        <v>1130</v>
      </c>
      <c r="E155" s="3" t="s">
        <v>22</v>
      </c>
      <c r="F155" s="3" t="s">
        <v>23</v>
      </c>
      <c r="G155" s="4">
        <v>9706</v>
      </c>
      <c r="H155" s="4">
        <v>9706</v>
      </c>
      <c r="I155" s="6">
        <v>62455</v>
      </c>
      <c r="J155" s="6">
        <v>368093</v>
      </c>
      <c r="K155" s="6">
        <v>4255</v>
      </c>
      <c r="L155" s="6">
        <v>4300</v>
      </c>
      <c r="M155" s="6">
        <v>439103</v>
      </c>
      <c r="N155" s="6">
        <v>33436</v>
      </c>
      <c r="O155" s="78">
        <v>0</v>
      </c>
      <c r="P155" s="78">
        <v>0</v>
      </c>
      <c r="Q155" s="2">
        <v>0</v>
      </c>
      <c r="R155" s="2">
        <v>0</v>
      </c>
      <c r="S155" s="2">
        <v>0</v>
      </c>
      <c r="T155" s="78">
        <v>0</v>
      </c>
      <c r="U155" s="2">
        <v>0</v>
      </c>
      <c r="V155" s="6">
        <v>439103</v>
      </c>
      <c r="W155" s="6">
        <v>33436</v>
      </c>
      <c r="X155" s="6">
        <v>472539</v>
      </c>
      <c r="Y155" s="6">
        <v>6349</v>
      </c>
      <c r="Z155" s="6">
        <v>0</v>
      </c>
      <c r="AA155" s="6">
        <v>478888</v>
      </c>
      <c r="AB155" s="142">
        <f>Table6[[#This Row],[Total Operating Income]]/Table6[[#This Row],[Total Population Served]]</f>
        <v>49.339377704512671</v>
      </c>
    </row>
    <row r="156" spans="1:28" ht="13.5" thickBot="1" x14ac:dyDescent="0.25">
      <c r="A156" s="2" t="s">
        <v>49</v>
      </c>
      <c r="B156" s="1" t="s">
        <v>48</v>
      </c>
      <c r="C156" s="2" t="s">
        <v>32</v>
      </c>
      <c r="D156" s="2" t="s">
        <v>1138</v>
      </c>
      <c r="E156" s="3" t="s">
        <v>27</v>
      </c>
      <c r="F156" s="3" t="s">
        <v>28</v>
      </c>
      <c r="G156" s="4">
        <v>11902</v>
      </c>
      <c r="H156" s="4">
        <v>9383</v>
      </c>
      <c r="I156" s="6">
        <v>69023</v>
      </c>
      <c r="J156" s="6">
        <v>271518</v>
      </c>
      <c r="K156" s="6">
        <v>175000</v>
      </c>
      <c r="L156" s="6">
        <v>1479</v>
      </c>
      <c r="M156" s="6">
        <v>517020</v>
      </c>
      <c r="N156" s="6">
        <v>31380</v>
      </c>
      <c r="O156" s="77">
        <v>2519</v>
      </c>
      <c r="P156" s="6">
        <v>18530</v>
      </c>
      <c r="Q156" s="6">
        <v>0</v>
      </c>
      <c r="R156" s="6">
        <v>0</v>
      </c>
      <c r="S156" s="6">
        <v>0</v>
      </c>
      <c r="T156" s="6">
        <v>18530</v>
      </c>
      <c r="U156" s="6">
        <v>0</v>
      </c>
      <c r="V156" s="6">
        <v>535550</v>
      </c>
      <c r="W156" s="6">
        <v>31380</v>
      </c>
      <c r="X156" s="6">
        <v>566930</v>
      </c>
      <c r="Y156" s="6">
        <v>8251</v>
      </c>
      <c r="Z156" s="6">
        <v>0</v>
      </c>
      <c r="AA156" s="6">
        <v>575181</v>
      </c>
      <c r="AB156" s="142">
        <f>Table6[[#This Row],[Total Operating Income]]/Table6[[#This Row],[Total Population Served]]</f>
        <v>48.326415728449</v>
      </c>
    </row>
    <row r="157" spans="1:28" ht="13.5" thickBot="1" x14ac:dyDescent="0.25">
      <c r="A157" s="2" t="s">
        <v>57</v>
      </c>
      <c r="B157" s="1" t="s">
        <v>56</v>
      </c>
      <c r="C157" s="2" t="s">
        <v>32</v>
      </c>
      <c r="D157" s="2" t="s">
        <v>1143</v>
      </c>
      <c r="E157" s="3" t="s">
        <v>27</v>
      </c>
      <c r="F157" s="3" t="s">
        <v>28</v>
      </c>
      <c r="G157" s="4">
        <v>11000</v>
      </c>
      <c r="H157" s="4">
        <v>5757</v>
      </c>
      <c r="I157" s="6">
        <v>7267</v>
      </c>
      <c r="J157" s="6">
        <v>74042</v>
      </c>
      <c r="K157" s="6">
        <v>0</v>
      </c>
      <c r="L157" s="6">
        <v>0</v>
      </c>
      <c r="M157" s="6">
        <v>81309</v>
      </c>
      <c r="N157" s="6">
        <v>0</v>
      </c>
      <c r="O157" s="4">
        <v>5243</v>
      </c>
      <c r="P157" s="6">
        <v>830</v>
      </c>
      <c r="Q157" s="6">
        <v>160411</v>
      </c>
      <c r="R157" s="6">
        <v>0</v>
      </c>
      <c r="S157" s="6">
        <v>0</v>
      </c>
      <c r="T157" s="6">
        <v>161241</v>
      </c>
      <c r="U157" s="6">
        <v>0</v>
      </c>
      <c r="V157" s="6">
        <v>242550</v>
      </c>
      <c r="W157" s="6">
        <v>0</v>
      </c>
      <c r="X157" s="6">
        <v>242550</v>
      </c>
      <c r="Y157" s="6">
        <v>7626</v>
      </c>
      <c r="Z157" s="6">
        <v>0</v>
      </c>
      <c r="AA157" s="6">
        <v>250176</v>
      </c>
      <c r="AB157" s="142">
        <f>Table6[[#This Row],[Total Operating Income]]/Table6[[#This Row],[Total Population Served]]</f>
        <v>22.743272727272728</v>
      </c>
    </row>
    <row r="158" spans="1:28" ht="13.5" thickBot="1" x14ac:dyDescent="0.25">
      <c r="A158" s="2" t="s">
        <v>74</v>
      </c>
      <c r="B158" s="1" t="s">
        <v>73</v>
      </c>
      <c r="C158" s="2" t="s">
        <v>32</v>
      </c>
      <c r="D158" s="2" t="s">
        <v>1149</v>
      </c>
      <c r="E158" s="3" t="s">
        <v>22</v>
      </c>
      <c r="F158" s="3" t="s">
        <v>23</v>
      </c>
      <c r="G158" s="4">
        <v>7172</v>
      </c>
      <c r="H158" s="4">
        <v>4697</v>
      </c>
      <c r="I158" s="6">
        <v>6357</v>
      </c>
      <c r="J158" s="6">
        <v>154410</v>
      </c>
      <c r="K158" s="78">
        <v>0</v>
      </c>
      <c r="L158" s="78">
        <v>0</v>
      </c>
      <c r="M158" s="6">
        <v>160767</v>
      </c>
      <c r="N158" s="6">
        <v>12973</v>
      </c>
      <c r="O158" s="77">
        <v>2475</v>
      </c>
      <c r="P158" s="6">
        <v>6285</v>
      </c>
      <c r="Q158" s="2">
        <v>0</v>
      </c>
      <c r="R158" s="2">
        <v>0</v>
      </c>
      <c r="S158" s="2">
        <v>0</v>
      </c>
      <c r="T158" s="6">
        <v>6285</v>
      </c>
      <c r="U158" s="2">
        <v>0</v>
      </c>
      <c r="V158" s="6">
        <v>167052</v>
      </c>
      <c r="W158" s="6">
        <v>12973</v>
      </c>
      <c r="X158" s="6">
        <v>180025</v>
      </c>
      <c r="Y158" s="6">
        <v>6236</v>
      </c>
      <c r="Z158" s="6">
        <v>0</v>
      </c>
      <c r="AA158" s="6">
        <v>186261</v>
      </c>
      <c r="AB158" s="142">
        <f>Table6[[#This Row],[Total Operating Income]]/Table6[[#This Row],[Total Population Served]]</f>
        <v>25.97058003346347</v>
      </c>
    </row>
    <row r="159" spans="1:28" ht="13.5" thickBot="1" x14ac:dyDescent="0.25">
      <c r="A159" s="2" t="s">
        <v>84</v>
      </c>
      <c r="B159" s="1" t="s">
        <v>83</v>
      </c>
      <c r="C159" s="2" t="s">
        <v>32</v>
      </c>
      <c r="D159" s="2" t="s">
        <v>1152</v>
      </c>
      <c r="E159" s="3" t="s">
        <v>22</v>
      </c>
      <c r="F159" s="3" t="s">
        <v>23</v>
      </c>
      <c r="G159" s="4">
        <v>11598</v>
      </c>
      <c r="H159" s="4">
        <v>11598</v>
      </c>
      <c r="I159" s="6">
        <v>0</v>
      </c>
      <c r="J159" s="6">
        <v>0</v>
      </c>
      <c r="K159" s="6">
        <v>0</v>
      </c>
      <c r="L159" s="6">
        <v>74000</v>
      </c>
      <c r="M159" s="6">
        <v>74000</v>
      </c>
      <c r="N159" s="6">
        <v>1401</v>
      </c>
      <c r="O159" s="78">
        <v>0</v>
      </c>
      <c r="P159" s="6">
        <v>0</v>
      </c>
      <c r="Q159" s="6">
        <v>0</v>
      </c>
      <c r="R159" s="6">
        <v>0</v>
      </c>
      <c r="S159" s="6">
        <v>0</v>
      </c>
      <c r="T159" s="6">
        <v>0</v>
      </c>
      <c r="U159" s="6">
        <v>0</v>
      </c>
      <c r="V159" s="6">
        <v>74000</v>
      </c>
      <c r="W159" s="6">
        <v>1401</v>
      </c>
      <c r="X159" s="6">
        <v>75401</v>
      </c>
      <c r="Y159" s="6">
        <v>0</v>
      </c>
      <c r="Z159" s="6">
        <v>0</v>
      </c>
      <c r="AA159" s="6">
        <v>75401</v>
      </c>
      <c r="AB159" s="142">
        <f>Table6[[#This Row],[Total Operating Income]]/Table6[[#This Row],[Total Population Served]]</f>
        <v>6.5012071046732194</v>
      </c>
    </row>
    <row r="160" spans="1:28" ht="13.5" thickBot="1" x14ac:dyDescent="0.25">
      <c r="A160" s="2" t="s">
        <v>104</v>
      </c>
      <c r="B160" s="1" t="s">
        <v>103</v>
      </c>
      <c r="C160" s="2" t="s">
        <v>32</v>
      </c>
      <c r="D160" s="2" t="s">
        <v>1157</v>
      </c>
      <c r="E160" s="3" t="s">
        <v>67</v>
      </c>
      <c r="F160" s="3" t="s">
        <v>68</v>
      </c>
      <c r="G160" s="4">
        <v>9197</v>
      </c>
      <c r="H160" s="4">
        <v>9197</v>
      </c>
      <c r="I160" s="6">
        <v>74986</v>
      </c>
      <c r="J160" s="6">
        <v>234559</v>
      </c>
      <c r="K160" s="78">
        <v>0</v>
      </c>
      <c r="L160" s="78">
        <v>0</v>
      </c>
      <c r="M160" s="6">
        <v>309545</v>
      </c>
      <c r="N160" s="6">
        <v>31158</v>
      </c>
      <c r="O160" s="78">
        <v>0</v>
      </c>
      <c r="P160" s="6">
        <v>0</v>
      </c>
      <c r="Q160" s="6">
        <v>0</v>
      </c>
      <c r="R160" s="78">
        <v>0</v>
      </c>
      <c r="S160" s="78">
        <v>0</v>
      </c>
      <c r="T160" s="6">
        <v>0</v>
      </c>
      <c r="U160" s="78">
        <v>0</v>
      </c>
      <c r="V160" s="6">
        <v>309545</v>
      </c>
      <c r="W160" s="6">
        <v>31158</v>
      </c>
      <c r="X160" s="6">
        <v>340703</v>
      </c>
      <c r="Y160" s="6">
        <v>6016</v>
      </c>
      <c r="Z160" s="6">
        <v>0</v>
      </c>
      <c r="AA160" s="6">
        <v>346719</v>
      </c>
      <c r="AB160" s="142">
        <f>Table6[[#This Row],[Total Operating Income]]/Table6[[#This Row],[Total Population Served]]</f>
        <v>37.699141024247034</v>
      </c>
    </row>
    <row r="161" spans="1:28" ht="13.5" thickBot="1" x14ac:dyDescent="0.25">
      <c r="A161" s="2" t="s">
        <v>112</v>
      </c>
      <c r="B161" s="1" t="s">
        <v>111</v>
      </c>
      <c r="C161" s="2" t="s">
        <v>32</v>
      </c>
      <c r="D161" s="2" t="s">
        <v>1125</v>
      </c>
      <c r="E161" s="3" t="s">
        <v>27</v>
      </c>
      <c r="F161" s="3" t="s">
        <v>28</v>
      </c>
      <c r="G161" s="4">
        <v>11825</v>
      </c>
      <c r="H161" s="4">
        <v>11825</v>
      </c>
      <c r="I161" s="6">
        <v>23948</v>
      </c>
      <c r="J161" s="6">
        <v>440858</v>
      </c>
      <c r="K161" s="6">
        <v>0</v>
      </c>
      <c r="L161" s="6">
        <v>0</v>
      </c>
      <c r="M161" s="6">
        <v>464806</v>
      </c>
      <c r="N161" s="6">
        <v>17187</v>
      </c>
      <c r="O161" s="78">
        <v>0</v>
      </c>
      <c r="P161" s="78">
        <v>0</v>
      </c>
      <c r="Q161" s="78">
        <v>0</v>
      </c>
      <c r="R161" s="2">
        <v>0</v>
      </c>
      <c r="S161" s="2">
        <v>0</v>
      </c>
      <c r="T161" s="78">
        <v>0</v>
      </c>
      <c r="U161" s="2">
        <v>0</v>
      </c>
      <c r="V161" s="6">
        <v>464806</v>
      </c>
      <c r="W161" s="6">
        <v>17187</v>
      </c>
      <c r="X161" s="6">
        <v>481993</v>
      </c>
      <c r="Y161" s="6">
        <v>8198</v>
      </c>
      <c r="Z161" s="6">
        <v>2924</v>
      </c>
      <c r="AA161" s="6">
        <v>493115</v>
      </c>
      <c r="AB161" s="142">
        <f>Table6[[#This Row],[Total Operating Income]]/Table6[[#This Row],[Total Population Served]]</f>
        <v>41.701057082452429</v>
      </c>
    </row>
    <row r="162" spans="1:28" ht="13.5" thickBot="1" x14ac:dyDescent="0.25">
      <c r="A162" s="2" t="s">
        <v>116</v>
      </c>
      <c r="B162" s="1" t="s">
        <v>115</v>
      </c>
      <c r="C162" s="2" t="s">
        <v>32</v>
      </c>
      <c r="D162" s="2" t="s">
        <v>1154</v>
      </c>
      <c r="E162" s="3" t="s">
        <v>117</v>
      </c>
      <c r="F162" s="3" t="s">
        <v>118</v>
      </c>
      <c r="G162" s="4">
        <v>7226</v>
      </c>
      <c r="H162" s="4">
        <v>7226</v>
      </c>
      <c r="I162" s="6">
        <v>24690</v>
      </c>
      <c r="J162" s="6">
        <v>478010</v>
      </c>
      <c r="K162" s="78">
        <v>0</v>
      </c>
      <c r="L162" s="6">
        <v>19185</v>
      </c>
      <c r="M162" s="6">
        <v>521885</v>
      </c>
      <c r="N162" s="6">
        <v>52970</v>
      </c>
      <c r="O162" s="2">
        <v>0</v>
      </c>
      <c r="P162" s="78">
        <v>0</v>
      </c>
      <c r="Q162" s="78">
        <v>0</v>
      </c>
      <c r="R162" s="78">
        <v>0</v>
      </c>
      <c r="S162" s="78">
        <v>0</v>
      </c>
      <c r="T162" s="78">
        <v>0</v>
      </c>
      <c r="U162" s="78">
        <v>0</v>
      </c>
      <c r="V162" s="6">
        <v>521885</v>
      </c>
      <c r="W162" s="6">
        <v>52970</v>
      </c>
      <c r="X162" s="6">
        <v>574855</v>
      </c>
      <c r="Y162" s="6">
        <v>4727</v>
      </c>
      <c r="Z162" s="6">
        <v>0</v>
      </c>
      <c r="AA162" s="6">
        <v>579582</v>
      </c>
      <c r="AB162" s="142">
        <f>Table6[[#This Row],[Total Operating Income]]/Table6[[#This Row],[Total Population Served]]</f>
        <v>80.207860503736512</v>
      </c>
    </row>
    <row r="163" spans="1:28" ht="13.5" thickBot="1" x14ac:dyDescent="0.25">
      <c r="A163" s="2" t="s">
        <v>134</v>
      </c>
      <c r="B163" s="1" t="s">
        <v>133</v>
      </c>
      <c r="C163" s="2" t="s">
        <v>32</v>
      </c>
      <c r="D163" s="2" t="s">
        <v>1157</v>
      </c>
      <c r="E163" s="3" t="s">
        <v>27</v>
      </c>
      <c r="F163" s="3" t="s">
        <v>28</v>
      </c>
      <c r="G163" s="4">
        <v>10090</v>
      </c>
      <c r="H163" s="4">
        <v>9878</v>
      </c>
      <c r="I163" s="6">
        <v>82385</v>
      </c>
      <c r="J163" s="6">
        <v>367659</v>
      </c>
      <c r="K163" s="78">
        <v>0</v>
      </c>
      <c r="L163" s="6">
        <v>12032</v>
      </c>
      <c r="M163" s="6">
        <v>462076</v>
      </c>
      <c r="N163" s="6">
        <v>11376</v>
      </c>
      <c r="O163" s="77">
        <v>212</v>
      </c>
      <c r="P163" s="2">
        <v>0</v>
      </c>
      <c r="Q163" s="2">
        <v>0</v>
      </c>
      <c r="R163" s="2">
        <v>0</v>
      </c>
      <c r="S163" s="2">
        <v>0</v>
      </c>
      <c r="T163" s="2">
        <v>0</v>
      </c>
      <c r="U163" s="2">
        <v>0</v>
      </c>
      <c r="V163" s="6">
        <v>462076</v>
      </c>
      <c r="W163" s="6">
        <v>11376</v>
      </c>
      <c r="X163" s="6">
        <v>473452</v>
      </c>
      <c r="Y163" s="6">
        <v>6995</v>
      </c>
      <c r="Z163" s="6">
        <v>0</v>
      </c>
      <c r="AA163" s="6">
        <v>480447</v>
      </c>
      <c r="AB163" s="142">
        <f>Table6[[#This Row],[Total Operating Income]]/Table6[[#This Row],[Total Population Served]]</f>
        <v>47.616154608523289</v>
      </c>
    </row>
    <row r="164" spans="1:28" ht="13.5" thickBot="1" x14ac:dyDescent="0.25">
      <c r="A164" s="2" t="s">
        <v>136</v>
      </c>
      <c r="B164" s="1" t="s">
        <v>135</v>
      </c>
      <c r="C164" s="2" t="s">
        <v>32</v>
      </c>
      <c r="D164" s="2" t="s">
        <v>1166</v>
      </c>
      <c r="E164" s="3" t="s">
        <v>27</v>
      </c>
      <c r="F164" s="3" t="s">
        <v>28</v>
      </c>
      <c r="G164" s="4">
        <v>9705</v>
      </c>
      <c r="H164" s="4">
        <v>9705</v>
      </c>
      <c r="I164" s="6">
        <v>45398</v>
      </c>
      <c r="J164" s="6">
        <v>270296</v>
      </c>
      <c r="K164" s="2">
        <v>0</v>
      </c>
      <c r="L164" s="2">
        <v>0</v>
      </c>
      <c r="M164" s="6">
        <v>315694</v>
      </c>
      <c r="N164" s="6">
        <v>22145</v>
      </c>
      <c r="O164" s="78">
        <v>0</v>
      </c>
      <c r="P164" s="78">
        <v>0</v>
      </c>
      <c r="Q164" s="2">
        <v>0</v>
      </c>
      <c r="R164" s="2">
        <v>0</v>
      </c>
      <c r="S164" s="78">
        <v>0</v>
      </c>
      <c r="T164" s="78">
        <v>0</v>
      </c>
      <c r="U164" s="2">
        <v>0</v>
      </c>
      <c r="V164" s="6">
        <v>315694</v>
      </c>
      <c r="W164" s="6">
        <v>22145</v>
      </c>
      <c r="X164" s="6">
        <v>337839</v>
      </c>
      <c r="Y164" s="6">
        <v>15096</v>
      </c>
      <c r="Z164" s="6">
        <v>1400</v>
      </c>
      <c r="AA164" s="6">
        <v>354335</v>
      </c>
      <c r="AB164" s="142">
        <f>Table6[[#This Row],[Total Operating Income]]/Table6[[#This Row],[Total Population Served]]</f>
        <v>36.510561566202988</v>
      </c>
    </row>
    <row r="165" spans="1:28" ht="13.5" thickBot="1" x14ac:dyDescent="0.25">
      <c r="A165" s="2" t="s">
        <v>144</v>
      </c>
      <c r="B165" s="1" t="s">
        <v>143</v>
      </c>
      <c r="C165" s="2" t="s">
        <v>32</v>
      </c>
      <c r="D165" s="2" t="s">
        <v>1171</v>
      </c>
      <c r="E165" s="3" t="s">
        <v>27</v>
      </c>
      <c r="F165" s="3" t="s">
        <v>28</v>
      </c>
      <c r="G165" s="4">
        <v>8692</v>
      </c>
      <c r="H165" s="4">
        <v>8473</v>
      </c>
      <c r="I165" s="6">
        <v>7457</v>
      </c>
      <c r="J165" s="78">
        <v>0</v>
      </c>
      <c r="K165" s="6">
        <v>2043</v>
      </c>
      <c r="L165" s="2">
        <v>0</v>
      </c>
      <c r="M165" s="6">
        <v>9500</v>
      </c>
      <c r="N165" s="6">
        <v>100659</v>
      </c>
      <c r="O165" s="77">
        <v>219</v>
      </c>
      <c r="P165" s="6">
        <v>2776</v>
      </c>
      <c r="Q165" s="2">
        <v>0</v>
      </c>
      <c r="R165" s="2">
        <v>0</v>
      </c>
      <c r="S165" s="2">
        <v>0</v>
      </c>
      <c r="T165" s="6">
        <v>2776</v>
      </c>
      <c r="U165" s="2">
        <v>0</v>
      </c>
      <c r="V165" s="6">
        <v>12276</v>
      </c>
      <c r="W165" s="6">
        <v>100659</v>
      </c>
      <c r="X165" s="6">
        <v>112935</v>
      </c>
      <c r="Y165" s="6">
        <v>6374</v>
      </c>
      <c r="Z165" s="6">
        <v>0</v>
      </c>
      <c r="AA165" s="6">
        <v>119309</v>
      </c>
      <c r="AB165" s="142">
        <f>Table6[[#This Row],[Total Operating Income]]/Table6[[#This Row],[Total Population Served]]</f>
        <v>13.726300046019329</v>
      </c>
    </row>
    <row r="166" spans="1:28" ht="13.5" thickBot="1" x14ac:dyDescent="0.25">
      <c r="A166" s="2" t="s">
        <v>152</v>
      </c>
      <c r="B166" s="1" t="s">
        <v>151</v>
      </c>
      <c r="C166" s="2" t="s">
        <v>32</v>
      </c>
      <c r="D166" s="2" t="s">
        <v>1166</v>
      </c>
      <c r="E166" s="3" t="s">
        <v>22</v>
      </c>
      <c r="F166" s="3" t="s">
        <v>23</v>
      </c>
      <c r="G166" s="4">
        <v>11833</v>
      </c>
      <c r="H166" s="4">
        <v>11747</v>
      </c>
      <c r="I166" s="6">
        <v>59440</v>
      </c>
      <c r="J166" s="6">
        <v>385400</v>
      </c>
      <c r="K166" s="78">
        <v>0</v>
      </c>
      <c r="L166" s="6">
        <v>12449</v>
      </c>
      <c r="M166" s="6">
        <v>457289</v>
      </c>
      <c r="N166" s="6">
        <v>37223</v>
      </c>
      <c r="O166" s="77">
        <v>86</v>
      </c>
      <c r="P166" s="6">
        <v>435</v>
      </c>
      <c r="Q166" s="2">
        <v>0</v>
      </c>
      <c r="R166" s="2">
        <v>0</v>
      </c>
      <c r="S166" s="2">
        <v>0</v>
      </c>
      <c r="T166" s="6">
        <v>435</v>
      </c>
      <c r="U166" s="2">
        <v>0</v>
      </c>
      <c r="V166" s="6">
        <v>457724</v>
      </c>
      <c r="W166" s="6">
        <v>37223</v>
      </c>
      <c r="X166" s="6">
        <v>494947</v>
      </c>
      <c r="Y166" s="6">
        <v>12113</v>
      </c>
      <c r="Z166" s="6">
        <v>1690</v>
      </c>
      <c r="AA166" s="6">
        <v>508750</v>
      </c>
      <c r="AB166" s="142">
        <f>Table6[[#This Row],[Total Operating Income]]/Table6[[#This Row],[Total Population Served]]</f>
        <v>42.994168849826757</v>
      </c>
    </row>
    <row r="167" spans="1:28" ht="13.5" thickBot="1" x14ac:dyDescent="0.25">
      <c r="A167" s="2" t="s">
        <v>156</v>
      </c>
      <c r="B167" s="1" t="s">
        <v>155</v>
      </c>
      <c r="C167" s="2" t="s">
        <v>32</v>
      </c>
      <c r="D167" s="2" t="s">
        <v>1178</v>
      </c>
      <c r="E167" s="3" t="s">
        <v>27</v>
      </c>
      <c r="F167" s="3" t="s">
        <v>28</v>
      </c>
      <c r="G167" s="4">
        <v>10857</v>
      </c>
      <c r="H167" s="4">
        <v>1093</v>
      </c>
      <c r="I167" s="6">
        <v>5252</v>
      </c>
      <c r="J167" s="6">
        <v>120269</v>
      </c>
      <c r="K167" s="78">
        <v>0</v>
      </c>
      <c r="L167" s="78">
        <v>0</v>
      </c>
      <c r="M167" s="6">
        <v>125521</v>
      </c>
      <c r="N167" s="6">
        <v>18223</v>
      </c>
      <c r="O167" s="4">
        <v>9764</v>
      </c>
      <c r="P167" s="6">
        <v>52624</v>
      </c>
      <c r="Q167" s="2">
        <v>0</v>
      </c>
      <c r="R167" s="2">
        <v>0</v>
      </c>
      <c r="S167" s="78">
        <v>0</v>
      </c>
      <c r="T167" s="6">
        <v>52624</v>
      </c>
      <c r="U167" s="2">
        <v>0</v>
      </c>
      <c r="V167" s="6">
        <v>178145</v>
      </c>
      <c r="W167" s="6">
        <v>18223</v>
      </c>
      <c r="X167" s="6">
        <v>196368</v>
      </c>
      <c r="Y167" s="6">
        <v>9051</v>
      </c>
      <c r="Z167" s="6">
        <v>0</v>
      </c>
      <c r="AA167" s="6">
        <v>205419</v>
      </c>
      <c r="AB167" s="142">
        <f>Table6[[#This Row],[Total Operating Income]]/Table6[[#This Row],[Total Population Served]]</f>
        <v>18.920420005526388</v>
      </c>
    </row>
    <row r="168" spans="1:28" ht="13.5" thickBot="1" x14ac:dyDescent="0.25">
      <c r="A168" s="2" t="s">
        <v>160</v>
      </c>
      <c r="B168" s="1" t="s">
        <v>159</v>
      </c>
      <c r="C168" s="2" t="s">
        <v>32</v>
      </c>
      <c r="D168" s="2" t="s">
        <v>1180</v>
      </c>
      <c r="E168" s="3" t="s">
        <v>27</v>
      </c>
      <c r="F168" s="3" t="s">
        <v>28</v>
      </c>
      <c r="G168" s="4">
        <v>9483</v>
      </c>
      <c r="H168" s="4">
        <v>3509</v>
      </c>
      <c r="I168" s="6">
        <v>14281</v>
      </c>
      <c r="J168" s="6">
        <v>0</v>
      </c>
      <c r="K168" s="6">
        <v>66039</v>
      </c>
      <c r="L168" s="6">
        <v>948</v>
      </c>
      <c r="M168" s="6">
        <v>81268</v>
      </c>
      <c r="N168" s="6">
        <v>65802</v>
      </c>
      <c r="O168" s="4">
        <v>5974</v>
      </c>
      <c r="P168" s="6">
        <v>24283</v>
      </c>
      <c r="Q168" s="6">
        <v>0</v>
      </c>
      <c r="R168" s="6">
        <v>0</v>
      </c>
      <c r="S168" s="6">
        <v>67162</v>
      </c>
      <c r="T168" s="6">
        <v>91445</v>
      </c>
      <c r="U168" s="2">
        <v>0</v>
      </c>
      <c r="V168" s="6">
        <v>172713</v>
      </c>
      <c r="W168" s="6">
        <v>65802</v>
      </c>
      <c r="X168" s="6">
        <v>238515</v>
      </c>
      <c r="Y168" s="6">
        <v>6569</v>
      </c>
      <c r="Z168" s="6">
        <v>0</v>
      </c>
      <c r="AA168" s="6">
        <v>245084</v>
      </c>
      <c r="AB168" s="142">
        <f>Table6[[#This Row],[Total Operating Income]]/Table6[[#This Row],[Total Population Served]]</f>
        <v>25.844563956553834</v>
      </c>
    </row>
    <row r="169" spans="1:28" ht="13.5" thickBot="1" x14ac:dyDescent="0.25">
      <c r="A169" s="2" t="s">
        <v>162</v>
      </c>
      <c r="B169" s="1" t="s">
        <v>161</v>
      </c>
      <c r="C169" s="2" t="s">
        <v>32</v>
      </c>
      <c r="D169" s="2" t="s">
        <v>1146</v>
      </c>
      <c r="E169" s="3" t="s">
        <v>27</v>
      </c>
      <c r="F169" s="3" t="s">
        <v>28</v>
      </c>
      <c r="G169" s="4">
        <v>8257</v>
      </c>
      <c r="H169" s="4">
        <v>8257</v>
      </c>
      <c r="I169" s="6">
        <v>6636</v>
      </c>
      <c r="J169" s="6">
        <v>0</v>
      </c>
      <c r="K169" s="6">
        <v>261570</v>
      </c>
      <c r="L169" s="6">
        <v>0</v>
      </c>
      <c r="M169" s="6">
        <v>268206</v>
      </c>
      <c r="N169" s="6">
        <v>16665</v>
      </c>
      <c r="O169" s="78">
        <v>0</v>
      </c>
      <c r="P169" s="6">
        <v>0</v>
      </c>
      <c r="Q169" s="6">
        <v>0</v>
      </c>
      <c r="R169" s="6">
        <v>0</v>
      </c>
      <c r="S169" s="6">
        <v>0</v>
      </c>
      <c r="T169" s="6">
        <v>0</v>
      </c>
      <c r="U169" s="6">
        <v>0</v>
      </c>
      <c r="V169" s="6">
        <v>268206</v>
      </c>
      <c r="W169" s="6">
        <v>16665</v>
      </c>
      <c r="X169" s="6">
        <v>284871</v>
      </c>
      <c r="Y169" s="6">
        <v>5724</v>
      </c>
      <c r="Z169" s="6">
        <v>0</v>
      </c>
      <c r="AA169" s="6">
        <v>290595</v>
      </c>
      <c r="AB169" s="142">
        <f>Table6[[#This Row],[Total Operating Income]]/Table6[[#This Row],[Total Population Served]]</f>
        <v>35.193774978805862</v>
      </c>
    </row>
    <row r="170" spans="1:28" ht="13.5" thickBot="1" x14ac:dyDescent="0.25">
      <c r="A170" s="2" t="s">
        <v>168</v>
      </c>
      <c r="B170" s="1" t="s">
        <v>167</v>
      </c>
      <c r="C170" s="2" t="s">
        <v>32</v>
      </c>
      <c r="D170" s="2" t="s">
        <v>1154</v>
      </c>
      <c r="E170" s="3" t="s">
        <v>27</v>
      </c>
      <c r="F170" s="3" t="s">
        <v>28</v>
      </c>
      <c r="G170" s="4">
        <v>9810</v>
      </c>
      <c r="H170" s="4">
        <v>8917</v>
      </c>
      <c r="I170" s="6">
        <v>37526</v>
      </c>
      <c r="J170" s="6">
        <v>799808</v>
      </c>
      <c r="K170" s="6">
        <v>0</v>
      </c>
      <c r="L170" s="6">
        <v>75714</v>
      </c>
      <c r="M170" s="6">
        <v>913048</v>
      </c>
      <c r="N170" s="6">
        <v>168669</v>
      </c>
      <c r="O170" s="4">
        <v>893</v>
      </c>
      <c r="P170" s="6">
        <v>0</v>
      </c>
      <c r="Q170" s="6">
        <v>0</v>
      </c>
      <c r="R170" s="6">
        <v>0</v>
      </c>
      <c r="S170" s="6">
        <v>4000</v>
      </c>
      <c r="T170" s="6">
        <v>4000</v>
      </c>
      <c r="U170" s="6">
        <v>0</v>
      </c>
      <c r="V170" s="6">
        <v>917048</v>
      </c>
      <c r="W170" s="6">
        <v>168669</v>
      </c>
      <c r="X170" s="6">
        <v>1085717</v>
      </c>
      <c r="Y170" s="6">
        <v>6672</v>
      </c>
      <c r="Z170" s="6">
        <v>0</v>
      </c>
      <c r="AA170" s="6">
        <v>1092389</v>
      </c>
      <c r="AB170" s="142">
        <f>Table6[[#This Row],[Total Operating Income]]/Table6[[#This Row],[Total Population Served]]</f>
        <v>111.35463812436289</v>
      </c>
    </row>
    <row r="171" spans="1:28" ht="13.5" thickBot="1" x14ac:dyDescent="0.25">
      <c r="A171" s="2" t="s">
        <v>204</v>
      </c>
      <c r="B171" s="1" t="s">
        <v>203</v>
      </c>
      <c r="C171" s="2" t="s">
        <v>32</v>
      </c>
      <c r="D171" s="2" t="s">
        <v>1136</v>
      </c>
      <c r="E171" s="3" t="s">
        <v>27</v>
      </c>
      <c r="F171" s="3" t="s">
        <v>28</v>
      </c>
      <c r="G171" s="4">
        <v>11862</v>
      </c>
      <c r="H171" s="4">
        <v>11862</v>
      </c>
      <c r="I171" s="6">
        <v>33549</v>
      </c>
      <c r="J171" s="6">
        <v>277114</v>
      </c>
      <c r="K171" s="78">
        <v>0</v>
      </c>
      <c r="L171" s="6">
        <v>32050</v>
      </c>
      <c r="M171" s="6">
        <v>342713</v>
      </c>
      <c r="N171" s="6">
        <v>49650</v>
      </c>
      <c r="O171" s="2">
        <v>0</v>
      </c>
      <c r="P171" s="2">
        <v>0</v>
      </c>
      <c r="Q171" s="2">
        <v>0</v>
      </c>
      <c r="R171" s="2">
        <v>0</v>
      </c>
      <c r="S171" s="2">
        <v>0</v>
      </c>
      <c r="T171" s="2">
        <v>0</v>
      </c>
      <c r="U171" s="2">
        <v>0</v>
      </c>
      <c r="V171" s="6">
        <v>342713</v>
      </c>
      <c r="W171" s="6">
        <v>49650</v>
      </c>
      <c r="X171" s="6">
        <v>392363</v>
      </c>
      <c r="Y171" s="6">
        <v>8698</v>
      </c>
      <c r="Z171" s="6">
        <v>0</v>
      </c>
      <c r="AA171" s="6">
        <v>401061</v>
      </c>
      <c r="AB171" s="142">
        <f>Table6[[#This Row],[Total Operating Income]]/Table6[[#This Row],[Total Population Served]]</f>
        <v>33.810571573090542</v>
      </c>
    </row>
    <row r="172" spans="1:28" ht="13.5" thickBot="1" x14ac:dyDescent="0.25">
      <c r="A172" s="2" t="s">
        <v>229</v>
      </c>
      <c r="B172" s="1" t="s">
        <v>228</v>
      </c>
      <c r="C172" s="2" t="s">
        <v>32</v>
      </c>
      <c r="D172" s="2" t="s">
        <v>1200</v>
      </c>
      <c r="E172" s="3" t="s">
        <v>67</v>
      </c>
      <c r="F172" s="3" t="s">
        <v>68</v>
      </c>
      <c r="G172" s="4">
        <v>10021</v>
      </c>
      <c r="H172" s="4">
        <v>10021</v>
      </c>
      <c r="I172" s="6">
        <v>6913</v>
      </c>
      <c r="J172" s="6">
        <v>0</v>
      </c>
      <c r="K172" s="6">
        <v>0</v>
      </c>
      <c r="L172" s="6">
        <v>120176</v>
      </c>
      <c r="M172" s="6">
        <v>127089</v>
      </c>
      <c r="N172" s="6">
        <v>0</v>
      </c>
      <c r="O172" s="2">
        <v>0</v>
      </c>
      <c r="P172" s="2">
        <v>0</v>
      </c>
      <c r="Q172" s="2">
        <v>0</v>
      </c>
      <c r="R172" s="2">
        <v>0</v>
      </c>
      <c r="S172" s="2">
        <v>0</v>
      </c>
      <c r="T172" s="2">
        <v>0</v>
      </c>
      <c r="U172" s="2">
        <v>0</v>
      </c>
      <c r="V172" s="6">
        <v>127089</v>
      </c>
      <c r="W172" s="6">
        <v>0</v>
      </c>
      <c r="X172" s="6">
        <v>127089</v>
      </c>
      <c r="Y172" s="6">
        <v>6555</v>
      </c>
      <c r="Z172" s="6">
        <v>0</v>
      </c>
      <c r="AA172" s="6">
        <v>133644</v>
      </c>
      <c r="AB172" s="142">
        <f>Table6[[#This Row],[Total Operating Income]]/Table6[[#This Row],[Total Population Served]]</f>
        <v>13.336393573495659</v>
      </c>
    </row>
    <row r="173" spans="1:28" ht="13.5" thickBot="1" x14ac:dyDescent="0.25">
      <c r="A173" s="2" t="s">
        <v>243</v>
      </c>
      <c r="B173" s="1" t="s">
        <v>242</v>
      </c>
      <c r="C173" s="2" t="s">
        <v>32</v>
      </c>
      <c r="D173" s="2" t="s">
        <v>1133</v>
      </c>
      <c r="E173" s="3" t="s">
        <v>67</v>
      </c>
      <c r="F173" s="3" t="s">
        <v>68</v>
      </c>
      <c r="G173" s="4">
        <v>7439</v>
      </c>
      <c r="H173" s="4">
        <v>7439</v>
      </c>
      <c r="I173" s="6">
        <v>52517</v>
      </c>
      <c r="J173" s="6">
        <v>69088</v>
      </c>
      <c r="K173" s="6">
        <v>0</v>
      </c>
      <c r="L173" s="6">
        <v>47000</v>
      </c>
      <c r="M173" s="6">
        <v>168605</v>
      </c>
      <c r="N173" s="6">
        <v>17045</v>
      </c>
      <c r="O173" s="78">
        <v>0</v>
      </c>
      <c r="P173" s="6">
        <v>0</v>
      </c>
      <c r="Q173" s="6">
        <v>0</v>
      </c>
      <c r="R173" s="78">
        <v>0</v>
      </c>
      <c r="S173" s="78">
        <v>0</v>
      </c>
      <c r="T173" s="6">
        <v>0</v>
      </c>
      <c r="U173" s="2">
        <v>0</v>
      </c>
      <c r="V173" s="6">
        <v>168605</v>
      </c>
      <c r="W173" s="6">
        <v>17045</v>
      </c>
      <c r="X173" s="6">
        <v>185650</v>
      </c>
      <c r="Y173" s="6">
        <v>7957</v>
      </c>
      <c r="Z173" s="6">
        <v>0</v>
      </c>
      <c r="AA173" s="6">
        <v>193607</v>
      </c>
      <c r="AB173" s="142">
        <f>Table6[[#This Row],[Total Operating Income]]/Table6[[#This Row],[Total Population Served]]</f>
        <v>26.025944347358514</v>
      </c>
    </row>
    <row r="174" spans="1:28" ht="13.5" thickBot="1" x14ac:dyDescent="0.25">
      <c r="A174" s="2" t="s">
        <v>257</v>
      </c>
      <c r="B174" s="1" t="s">
        <v>256</v>
      </c>
      <c r="C174" s="2" t="s">
        <v>32</v>
      </c>
      <c r="D174" s="2" t="s">
        <v>1157</v>
      </c>
      <c r="E174" s="3" t="s">
        <v>258</v>
      </c>
      <c r="F174" s="3" t="s">
        <v>259</v>
      </c>
      <c r="G174" s="4">
        <v>7392</v>
      </c>
      <c r="H174" s="4">
        <v>7392</v>
      </c>
      <c r="I174" s="6">
        <v>60269</v>
      </c>
      <c r="J174" s="6">
        <v>168894</v>
      </c>
      <c r="K174" s="6">
        <v>0</v>
      </c>
      <c r="L174" s="6">
        <v>1611</v>
      </c>
      <c r="M174" s="6">
        <v>230774</v>
      </c>
      <c r="N174" s="6">
        <v>10078</v>
      </c>
      <c r="O174" s="78">
        <v>0</v>
      </c>
      <c r="P174" s="78">
        <v>0</v>
      </c>
      <c r="Q174" s="78">
        <v>0</v>
      </c>
      <c r="R174" s="2">
        <v>0</v>
      </c>
      <c r="S174" s="78">
        <v>0</v>
      </c>
      <c r="T174" s="78">
        <v>0</v>
      </c>
      <c r="U174" s="2">
        <v>0</v>
      </c>
      <c r="V174" s="6">
        <v>230774</v>
      </c>
      <c r="W174" s="6">
        <v>10078</v>
      </c>
      <c r="X174" s="6">
        <v>240852</v>
      </c>
      <c r="Y174" s="6">
        <v>5125</v>
      </c>
      <c r="Z174" s="6">
        <v>0</v>
      </c>
      <c r="AA174" s="6">
        <v>245977</v>
      </c>
      <c r="AB174" s="142">
        <f>Table6[[#This Row],[Total Operating Income]]/Table6[[#This Row],[Total Population Served]]</f>
        <v>33.276109307359306</v>
      </c>
    </row>
    <row r="175" spans="1:28" ht="13.5" thickBot="1" x14ac:dyDescent="0.25">
      <c r="A175" s="2" t="s">
        <v>261</v>
      </c>
      <c r="B175" s="1" t="s">
        <v>260</v>
      </c>
      <c r="C175" s="2" t="s">
        <v>32</v>
      </c>
      <c r="D175" s="2" t="s">
        <v>1134</v>
      </c>
      <c r="E175" s="3" t="s">
        <v>27</v>
      </c>
      <c r="F175" s="3" t="s">
        <v>28</v>
      </c>
      <c r="G175" s="4">
        <v>9512</v>
      </c>
      <c r="H175" s="4">
        <v>9512</v>
      </c>
      <c r="I175" s="6">
        <v>8864</v>
      </c>
      <c r="J175" s="6">
        <v>0</v>
      </c>
      <c r="K175" s="6">
        <v>190081</v>
      </c>
      <c r="L175" s="6">
        <v>0</v>
      </c>
      <c r="M175" s="6">
        <v>198945</v>
      </c>
      <c r="N175" s="6">
        <v>6800</v>
      </c>
      <c r="O175" s="2">
        <v>0</v>
      </c>
      <c r="P175" s="6">
        <v>0</v>
      </c>
      <c r="Q175" s="6">
        <v>0</v>
      </c>
      <c r="R175" s="6">
        <v>0</v>
      </c>
      <c r="S175" s="6">
        <v>0</v>
      </c>
      <c r="T175" s="6">
        <v>0</v>
      </c>
      <c r="U175" s="6">
        <v>0</v>
      </c>
      <c r="V175" s="6">
        <v>198945</v>
      </c>
      <c r="W175" s="6">
        <v>6800</v>
      </c>
      <c r="X175" s="6">
        <v>205745</v>
      </c>
      <c r="Y175" s="6">
        <v>6000</v>
      </c>
      <c r="Z175" s="6">
        <v>0</v>
      </c>
      <c r="AA175" s="6">
        <v>211745</v>
      </c>
      <c r="AB175" s="142">
        <f>Table6[[#This Row],[Total Operating Income]]/Table6[[#This Row],[Total Population Served]]</f>
        <v>22.260828427249791</v>
      </c>
    </row>
    <row r="176" spans="1:28" ht="13.5" thickBot="1" x14ac:dyDescent="0.25">
      <c r="A176" s="2" t="s">
        <v>273</v>
      </c>
      <c r="B176" s="1" t="s">
        <v>272</v>
      </c>
      <c r="C176" s="2" t="s">
        <v>32</v>
      </c>
      <c r="D176" s="2" t="s">
        <v>1207</v>
      </c>
      <c r="E176" s="3" t="s">
        <v>27</v>
      </c>
      <c r="F176" s="3" t="s">
        <v>28</v>
      </c>
      <c r="G176" s="4">
        <v>7717</v>
      </c>
      <c r="H176" s="4">
        <v>4462</v>
      </c>
      <c r="I176" s="6">
        <v>28193</v>
      </c>
      <c r="J176" s="6">
        <v>73601</v>
      </c>
      <c r="K176" s="2">
        <v>0</v>
      </c>
      <c r="L176" s="6">
        <v>13104</v>
      </c>
      <c r="M176" s="6">
        <v>114898</v>
      </c>
      <c r="N176" s="78">
        <v>0</v>
      </c>
      <c r="O176" s="4">
        <v>3255</v>
      </c>
      <c r="P176" s="6">
        <v>20085</v>
      </c>
      <c r="Q176" s="2">
        <v>0</v>
      </c>
      <c r="R176" s="2">
        <v>0</v>
      </c>
      <c r="S176" s="6">
        <v>2050</v>
      </c>
      <c r="T176" s="6">
        <v>22135</v>
      </c>
      <c r="U176" s="2">
        <v>0</v>
      </c>
      <c r="V176" s="6">
        <v>137033</v>
      </c>
      <c r="W176" s="78">
        <v>0</v>
      </c>
      <c r="X176" s="6">
        <v>137033</v>
      </c>
      <c r="Y176" s="6">
        <v>2675</v>
      </c>
      <c r="Z176" s="6">
        <v>0</v>
      </c>
      <c r="AA176" s="6">
        <v>139708</v>
      </c>
      <c r="AB176" s="142">
        <f>Table6[[#This Row],[Total Operating Income]]/Table6[[#This Row],[Total Population Served]]</f>
        <v>18.10392639626798</v>
      </c>
    </row>
    <row r="177" spans="1:28" ht="13.5" thickBot="1" x14ac:dyDescent="0.25">
      <c r="A177" s="2" t="s">
        <v>297</v>
      </c>
      <c r="B177" s="1" t="s">
        <v>296</v>
      </c>
      <c r="C177" s="2" t="s">
        <v>32</v>
      </c>
      <c r="D177" s="2" t="s">
        <v>1164</v>
      </c>
      <c r="E177" s="3" t="s">
        <v>27</v>
      </c>
      <c r="F177" s="3" t="s">
        <v>28</v>
      </c>
      <c r="G177" s="4">
        <v>7824</v>
      </c>
      <c r="H177" s="4">
        <v>7824</v>
      </c>
      <c r="I177" s="6">
        <v>22432</v>
      </c>
      <c r="J177" s="6">
        <v>309836</v>
      </c>
      <c r="K177" s="78">
        <v>0</v>
      </c>
      <c r="L177" s="6">
        <v>0</v>
      </c>
      <c r="M177" s="6">
        <v>332268</v>
      </c>
      <c r="N177" s="6">
        <v>45004</v>
      </c>
      <c r="O177" s="78">
        <v>0</v>
      </c>
      <c r="P177" s="2">
        <v>0</v>
      </c>
      <c r="Q177" s="2">
        <v>0</v>
      </c>
      <c r="R177" s="2">
        <v>0</v>
      </c>
      <c r="S177" s="78">
        <v>0</v>
      </c>
      <c r="T177" s="78">
        <v>0</v>
      </c>
      <c r="U177" s="2">
        <v>0</v>
      </c>
      <c r="V177" s="6">
        <v>332268</v>
      </c>
      <c r="W177" s="6">
        <v>45004</v>
      </c>
      <c r="X177" s="6">
        <v>377272</v>
      </c>
      <c r="Y177" s="6">
        <v>5738</v>
      </c>
      <c r="Z177" s="6">
        <v>0</v>
      </c>
      <c r="AA177" s="6">
        <v>383010</v>
      </c>
      <c r="AB177" s="142">
        <f>Table6[[#This Row],[Total Operating Income]]/Table6[[#This Row],[Total Population Served]]</f>
        <v>48.953220858895705</v>
      </c>
    </row>
    <row r="178" spans="1:28" ht="13.5" thickBot="1" x14ac:dyDescent="0.25">
      <c r="A178" s="2" t="s">
        <v>309</v>
      </c>
      <c r="B178" s="1" t="s">
        <v>308</v>
      </c>
      <c r="C178" s="2" t="s">
        <v>32</v>
      </c>
      <c r="D178" s="2" t="s">
        <v>1149</v>
      </c>
      <c r="E178" s="3" t="s">
        <v>27</v>
      </c>
      <c r="F178" s="3" t="s">
        <v>28</v>
      </c>
      <c r="G178" s="4">
        <v>9476</v>
      </c>
      <c r="H178" s="4">
        <v>3951</v>
      </c>
      <c r="I178" s="6">
        <v>4741</v>
      </c>
      <c r="J178" s="6">
        <v>124100</v>
      </c>
      <c r="K178" s="6">
        <v>0</v>
      </c>
      <c r="L178" s="6">
        <v>0</v>
      </c>
      <c r="M178" s="6">
        <v>128841</v>
      </c>
      <c r="N178" s="6">
        <v>0</v>
      </c>
      <c r="O178" s="77">
        <v>5525</v>
      </c>
      <c r="P178" s="6">
        <v>6630</v>
      </c>
      <c r="Q178" s="6">
        <v>0</v>
      </c>
      <c r="R178" s="6">
        <v>0</v>
      </c>
      <c r="S178" s="6">
        <v>0</v>
      </c>
      <c r="T178" s="6">
        <v>6630</v>
      </c>
      <c r="U178" s="6">
        <v>0</v>
      </c>
      <c r="V178" s="6">
        <v>135471</v>
      </c>
      <c r="W178" s="6">
        <v>0</v>
      </c>
      <c r="X178" s="6">
        <v>135471</v>
      </c>
      <c r="Y178" s="6">
        <v>6570</v>
      </c>
      <c r="Z178" s="6">
        <v>0</v>
      </c>
      <c r="AA178" s="6">
        <v>142041</v>
      </c>
      <c r="AB178" s="142">
        <f>Table6[[#This Row],[Total Operating Income]]/Table6[[#This Row],[Total Population Served]]</f>
        <v>14.989552553820177</v>
      </c>
    </row>
    <row r="179" spans="1:28" ht="13.5" thickBot="1" x14ac:dyDescent="0.25">
      <c r="A179" s="2" t="s">
        <v>315</v>
      </c>
      <c r="B179" s="1" t="s">
        <v>314</v>
      </c>
      <c r="C179" s="2" t="s">
        <v>32</v>
      </c>
      <c r="D179" s="2" t="s">
        <v>1136</v>
      </c>
      <c r="E179" s="3" t="s">
        <v>27</v>
      </c>
      <c r="F179" s="3" t="s">
        <v>28</v>
      </c>
      <c r="G179" s="4">
        <v>10983</v>
      </c>
      <c r="H179" s="4">
        <v>7116</v>
      </c>
      <c r="I179" s="6">
        <v>19692</v>
      </c>
      <c r="J179" s="6">
        <v>0</v>
      </c>
      <c r="K179" s="6">
        <v>296000</v>
      </c>
      <c r="L179" s="6">
        <v>0</v>
      </c>
      <c r="M179" s="6">
        <v>315692</v>
      </c>
      <c r="N179" s="6">
        <v>24221</v>
      </c>
      <c r="O179" s="77">
        <v>3867</v>
      </c>
      <c r="P179" s="6">
        <v>10604</v>
      </c>
      <c r="Q179" s="6">
        <v>44748</v>
      </c>
      <c r="R179" s="6">
        <v>0</v>
      </c>
      <c r="S179" s="6">
        <v>0</v>
      </c>
      <c r="T179" s="6">
        <v>55352</v>
      </c>
      <c r="U179" s="6">
        <v>0</v>
      </c>
      <c r="V179" s="6">
        <v>371044</v>
      </c>
      <c r="W179" s="6">
        <v>24221</v>
      </c>
      <c r="X179" s="6">
        <v>395265</v>
      </c>
      <c r="Y179" s="6">
        <v>8054</v>
      </c>
      <c r="Z179" s="6">
        <v>0</v>
      </c>
      <c r="AA179" s="6">
        <v>403319</v>
      </c>
      <c r="AB179" s="142">
        <f>Table6[[#This Row],[Total Operating Income]]/Table6[[#This Row],[Total Population Served]]</f>
        <v>36.722115997450608</v>
      </c>
    </row>
    <row r="180" spans="1:28" ht="13.5" thickBot="1" x14ac:dyDescent="0.25">
      <c r="A180" s="2" t="s">
        <v>323</v>
      </c>
      <c r="B180" s="1" t="s">
        <v>322</v>
      </c>
      <c r="C180" s="2" t="s">
        <v>32</v>
      </c>
      <c r="D180" s="2" t="s">
        <v>1199</v>
      </c>
      <c r="E180" s="3" t="s">
        <v>27</v>
      </c>
      <c r="F180" s="3" t="s">
        <v>28</v>
      </c>
      <c r="G180" s="4">
        <v>11239</v>
      </c>
      <c r="H180" s="4">
        <v>9505</v>
      </c>
      <c r="I180" s="6">
        <v>40681</v>
      </c>
      <c r="J180" s="78">
        <v>0</v>
      </c>
      <c r="K180" s="6">
        <v>11345</v>
      </c>
      <c r="L180" s="78">
        <v>0</v>
      </c>
      <c r="M180" s="6">
        <v>52026</v>
      </c>
      <c r="N180" s="6">
        <v>30993</v>
      </c>
      <c r="O180" s="4">
        <v>1734</v>
      </c>
      <c r="P180" s="6">
        <v>7749</v>
      </c>
      <c r="Q180" s="2">
        <v>0</v>
      </c>
      <c r="R180" s="6">
        <v>0</v>
      </c>
      <c r="S180" s="2">
        <v>0</v>
      </c>
      <c r="T180" s="6">
        <v>7749</v>
      </c>
      <c r="U180" s="6">
        <v>5469</v>
      </c>
      <c r="V180" s="6">
        <v>59775</v>
      </c>
      <c r="W180" s="6">
        <v>36462</v>
      </c>
      <c r="X180" s="6">
        <v>96237</v>
      </c>
      <c r="Y180" s="6">
        <v>7792</v>
      </c>
      <c r="Z180" s="6">
        <v>0</v>
      </c>
      <c r="AA180" s="6">
        <v>104029</v>
      </c>
      <c r="AB180" s="142">
        <f>Table6[[#This Row],[Total Operating Income]]/Table6[[#This Row],[Total Population Served]]</f>
        <v>9.2560726043242276</v>
      </c>
    </row>
    <row r="181" spans="1:28" ht="13.5" thickBot="1" x14ac:dyDescent="0.25">
      <c r="A181" s="2" t="s">
        <v>337</v>
      </c>
      <c r="B181" s="1" t="s">
        <v>336</v>
      </c>
      <c r="C181" s="2" t="s">
        <v>32</v>
      </c>
      <c r="D181" s="2" t="s">
        <v>1195</v>
      </c>
      <c r="E181" s="3" t="s">
        <v>27</v>
      </c>
      <c r="F181" s="3" t="s">
        <v>28</v>
      </c>
      <c r="G181" s="4">
        <v>8875</v>
      </c>
      <c r="H181" s="4">
        <v>8875</v>
      </c>
      <c r="I181" s="6">
        <v>29664</v>
      </c>
      <c r="J181" s="6">
        <v>318215</v>
      </c>
      <c r="K181" s="2">
        <v>0</v>
      </c>
      <c r="L181" s="6">
        <v>22986</v>
      </c>
      <c r="M181" s="6">
        <v>370865</v>
      </c>
      <c r="N181" s="6">
        <v>25473</v>
      </c>
      <c r="O181" s="2">
        <v>0</v>
      </c>
      <c r="P181" s="2">
        <v>0</v>
      </c>
      <c r="Q181" s="2">
        <v>0</v>
      </c>
      <c r="R181" s="2">
        <v>0</v>
      </c>
      <c r="S181" s="2">
        <v>0</v>
      </c>
      <c r="T181" s="2">
        <v>0</v>
      </c>
      <c r="U181" s="2">
        <v>0</v>
      </c>
      <c r="V181" s="6">
        <v>370865</v>
      </c>
      <c r="W181" s="6">
        <v>25473</v>
      </c>
      <c r="X181" s="6">
        <v>396338</v>
      </c>
      <c r="Y181" s="6">
        <v>6508</v>
      </c>
      <c r="Z181" s="6">
        <v>0</v>
      </c>
      <c r="AA181" s="6">
        <v>402846</v>
      </c>
      <c r="AB181" s="142">
        <f>Table6[[#This Row],[Total Operating Income]]/Table6[[#This Row],[Total Population Served]]</f>
        <v>45.391098591549294</v>
      </c>
    </row>
    <row r="182" spans="1:28" ht="13.5" thickBot="1" x14ac:dyDescent="0.25">
      <c r="A182" s="2" t="s">
        <v>357</v>
      </c>
      <c r="B182" s="1" t="s">
        <v>356</v>
      </c>
      <c r="C182" s="2" t="s">
        <v>32</v>
      </c>
      <c r="D182" s="2" t="s">
        <v>1228</v>
      </c>
      <c r="E182" s="3" t="s">
        <v>67</v>
      </c>
      <c r="F182" s="3" t="s">
        <v>68</v>
      </c>
      <c r="G182" s="4">
        <v>8133</v>
      </c>
      <c r="H182" s="4">
        <v>3979</v>
      </c>
      <c r="I182" s="6">
        <v>22119</v>
      </c>
      <c r="J182" s="6">
        <v>235679</v>
      </c>
      <c r="K182" s="6">
        <v>21000</v>
      </c>
      <c r="L182" s="6">
        <v>0</v>
      </c>
      <c r="M182" s="6">
        <v>278798</v>
      </c>
      <c r="N182" s="6">
        <v>22656</v>
      </c>
      <c r="O182" s="4">
        <v>4154</v>
      </c>
      <c r="P182" s="6">
        <v>23091</v>
      </c>
      <c r="Q182" s="6">
        <v>0</v>
      </c>
      <c r="R182" s="6">
        <v>0</v>
      </c>
      <c r="S182" s="6">
        <v>19737</v>
      </c>
      <c r="T182" s="6">
        <v>42828</v>
      </c>
      <c r="U182" s="6">
        <v>1450</v>
      </c>
      <c r="V182" s="6">
        <v>321626</v>
      </c>
      <c r="W182" s="6">
        <v>24106</v>
      </c>
      <c r="X182" s="6">
        <v>345732</v>
      </c>
      <c r="Y182" s="6">
        <v>5319</v>
      </c>
      <c r="Z182" s="6">
        <v>0</v>
      </c>
      <c r="AA182" s="6">
        <v>351051</v>
      </c>
      <c r="AB182" s="142">
        <f>Table6[[#This Row],[Total Operating Income]]/Table6[[#This Row],[Total Population Served]]</f>
        <v>43.16377720398377</v>
      </c>
    </row>
    <row r="183" spans="1:28" ht="13.5" thickBot="1" x14ac:dyDescent="0.25">
      <c r="A183" s="2" t="s">
        <v>365</v>
      </c>
      <c r="B183" s="1" t="s">
        <v>364</v>
      </c>
      <c r="C183" s="2" t="s">
        <v>32</v>
      </c>
      <c r="D183" s="2" t="s">
        <v>1133</v>
      </c>
      <c r="E183" s="3" t="s">
        <v>22</v>
      </c>
      <c r="F183" s="3" t="s">
        <v>23</v>
      </c>
      <c r="G183" s="4">
        <v>7135</v>
      </c>
      <c r="H183" s="4">
        <v>7135</v>
      </c>
      <c r="I183" s="6">
        <v>48012</v>
      </c>
      <c r="J183" s="6">
        <v>285224</v>
      </c>
      <c r="K183" s="6">
        <v>0</v>
      </c>
      <c r="L183" s="6">
        <v>0</v>
      </c>
      <c r="M183" s="6">
        <v>333236</v>
      </c>
      <c r="N183" s="6">
        <v>11576</v>
      </c>
      <c r="O183" s="78">
        <v>0</v>
      </c>
      <c r="P183" s="78">
        <v>0</v>
      </c>
      <c r="Q183" s="2">
        <v>0</v>
      </c>
      <c r="R183" s="2">
        <v>0</v>
      </c>
      <c r="S183" s="78">
        <v>0</v>
      </c>
      <c r="T183" s="78">
        <v>0</v>
      </c>
      <c r="U183" s="2">
        <v>0</v>
      </c>
      <c r="V183" s="6">
        <v>333236</v>
      </c>
      <c r="W183" s="6">
        <v>11576</v>
      </c>
      <c r="X183" s="6">
        <v>344812</v>
      </c>
      <c r="Y183" s="6">
        <v>12915</v>
      </c>
      <c r="Z183" s="6">
        <v>0</v>
      </c>
      <c r="AA183" s="6">
        <v>357727</v>
      </c>
      <c r="AB183" s="142">
        <f>Table6[[#This Row],[Total Operating Income]]/Table6[[#This Row],[Total Population Served]]</f>
        <v>50.136930623686055</v>
      </c>
    </row>
    <row r="184" spans="1:28" ht="13.5" thickBot="1" x14ac:dyDescent="0.25">
      <c r="A184" s="2" t="s">
        <v>373</v>
      </c>
      <c r="B184" s="1" t="s">
        <v>372</v>
      </c>
      <c r="C184" s="2" t="s">
        <v>32</v>
      </c>
      <c r="D184" s="2" t="s">
        <v>1173</v>
      </c>
      <c r="E184" s="3" t="s">
        <v>27</v>
      </c>
      <c r="F184" s="3" t="s">
        <v>28</v>
      </c>
      <c r="G184" s="4">
        <v>11870</v>
      </c>
      <c r="H184" s="4">
        <v>8305</v>
      </c>
      <c r="I184" s="6">
        <v>27420</v>
      </c>
      <c r="J184" s="6">
        <v>121747</v>
      </c>
      <c r="K184" s="6">
        <v>7631</v>
      </c>
      <c r="L184" s="6">
        <v>3479</v>
      </c>
      <c r="M184" s="6">
        <v>160277</v>
      </c>
      <c r="N184" s="6">
        <v>59320</v>
      </c>
      <c r="O184" s="4">
        <v>3565</v>
      </c>
      <c r="P184" s="6">
        <v>11770</v>
      </c>
      <c r="Q184" s="78">
        <v>0</v>
      </c>
      <c r="R184" s="78">
        <v>0</v>
      </c>
      <c r="S184" s="6">
        <v>13800</v>
      </c>
      <c r="T184" s="6">
        <v>25570</v>
      </c>
      <c r="U184" s="78">
        <v>0</v>
      </c>
      <c r="V184" s="6">
        <v>185847</v>
      </c>
      <c r="W184" s="6">
        <v>59320</v>
      </c>
      <c r="X184" s="6">
        <v>245167</v>
      </c>
      <c r="Y184" s="6">
        <v>8229</v>
      </c>
      <c r="Z184" s="6">
        <v>2000</v>
      </c>
      <c r="AA184" s="6">
        <v>255396</v>
      </c>
      <c r="AB184" s="142">
        <f>Table6[[#This Row],[Total Operating Income]]/Table6[[#This Row],[Total Population Served]]</f>
        <v>21.516090985678179</v>
      </c>
    </row>
    <row r="185" spans="1:28" ht="13.5" thickBot="1" x14ac:dyDescent="0.25">
      <c r="A185" s="2" t="s">
        <v>393</v>
      </c>
      <c r="B185" s="1" t="s">
        <v>392</v>
      </c>
      <c r="C185" s="2" t="s">
        <v>32</v>
      </c>
      <c r="D185" s="2" t="s">
        <v>1125</v>
      </c>
      <c r="E185" s="3" t="s">
        <v>17</v>
      </c>
      <c r="F185" s="3" t="s">
        <v>18</v>
      </c>
      <c r="G185" s="4">
        <v>8764</v>
      </c>
      <c r="H185" s="4">
        <v>6238</v>
      </c>
      <c r="I185" s="6">
        <v>18326</v>
      </c>
      <c r="J185" s="78">
        <v>0</v>
      </c>
      <c r="K185" s="6">
        <v>519316</v>
      </c>
      <c r="L185" s="6">
        <v>0</v>
      </c>
      <c r="M185" s="6">
        <v>537642</v>
      </c>
      <c r="N185" s="78">
        <v>0</v>
      </c>
      <c r="O185" s="77">
        <v>2526</v>
      </c>
      <c r="P185" s="2">
        <v>0</v>
      </c>
      <c r="Q185" s="2">
        <v>0</v>
      </c>
      <c r="R185" s="2">
        <v>0</v>
      </c>
      <c r="S185" s="6">
        <v>41409</v>
      </c>
      <c r="T185" s="6">
        <v>41409</v>
      </c>
      <c r="U185" s="2">
        <v>0</v>
      </c>
      <c r="V185" s="6">
        <v>579051</v>
      </c>
      <c r="W185" s="78">
        <v>0</v>
      </c>
      <c r="X185" s="6">
        <v>579051</v>
      </c>
      <c r="Y185" s="6">
        <v>0</v>
      </c>
      <c r="Z185" s="6">
        <v>0</v>
      </c>
      <c r="AA185" s="6">
        <v>579051</v>
      </c>
      <c r="AB185" s="142">
        <f>Table6[[#This Row],[Total Operating Income]]/Table6[[#This Row],[Total Population Served]]</f>
        <v>66.071542674577813</v>
      </c>
    </row>
    <row r="186" spans="1:28" ht="13.5" thickBot="1" x14ac:dyDescent="0.25">
      <c r="A186" s="2" t="s">
        <v>425</v>
      </c>
      <c r="B186" s="1" t="s">
        <v>424</v>
      </c>
      <c r="C186" s="2" t="s">
        <v>32</v>
      </c>
      <c r="D186" s="2" t="s">
        <v>1190</v>
      </c>
      <c r="E186" s="3" t="s">
        <v>27</v>
      </c>
      <c r="F186" s="3" t="s">
        <v>28</v>
      </c>
      <c r="G186" s="4">
        <v>9555</v>
      </c>
      <c r="H186" s="4">
        <v>1283</v>
      </c>
      <c r="I186" s="6">
        <v>3000</v>
      </c>
      <c r="J186" s="78">
        <v>0</v>
      </c>
      <c r="K186" s="6">
        <v>24249</v>
      </c>
      <c r="L186" s="6">
        <v>2000</v>
      </c>
      <c r="M186" s="6">
        <v>29249</v>
      </c>
      <c r="N186" s="78">
        <v>0</v>
      </c>
      <c r="O186" s="4">
        <v>8272</v>
      </c>
      <c r="P186" s="6">
        <v>25698</v>
      </c>
      <c r="Q186" s="78">
        <v>0</v>
      </c>
      <c r="R186" s="6">
        <v>16500</v>
      </c>
      <c r="S186" s="6">
        <v>0</v>
      </c>
      <c r="T186" s="6">
        <v>42198</v>
      </c>
      <c r="U186" s="6">
        <v>8726</v>
      </c>
      <c r="V186" s="6">
        <v>71447</v>
      </c>
      <c r="W186" s="6">
        <v>8726</v>
      </c>
      <c r="X186" s="6">
        <v>80173</v>
      </c>
      <c r="Y186" s="6">
        <v>6624</v>
      </c>
      <c r="Z186" s="6">
        <v>0</v>
      </c>
      <c r="AA186" s="6">
        <v>86797</v>
      </c>
      <c r="AB186" s="142">
        <f>Table6[[#This Row],[Total Operating Income]]/Table6[[#This Row],[Total Population Served]]</f>
        <v>9.0839351125065413</v>
      </c>
    </row>
    <row r="187" spans="1:28" ht="13.5" thickBot="1" x14ac:dyDescent="0.25">
      <c r="A187" s="2" t="s">
        <v>423</v>
      </c>
      <c r="B187" s="1" t="s">
        <v>422</v>
      </c>
      <c r="C187" s="2" t="s">
        <v>32</v>
      </c>
      <c r="D187" s="2" t="s">
        <v>1242</v>
      </c>
      <c r="E187" s="3" t="s">
        <v>27</v>
      </c>
      <c r="F187" s="3" t="s">
        <v>28</v>
      </c>
      <c r="G187" s="4">
        <v>9533</v>
      </c>
      <c r="H187" s="4">
        <v>4992</v>
      </c>
      <c r="I187" s="6">
        <v>16432</v>
      </c>
      <c r="J187" s="78">
        <v>0</v>
      </c>
      <c r="K187" s="6">
        <v>23115</v>
      </c>
      <c r="L187" s="78">
        <v>0</v>
      </c>
      <c r="M187" s="6">
        <v>39547</v>
      </c>
      <c r="N187" s="6">
        <v>1129</v>
      </c>
      <c r="O187" s="4">
        <v>4541</v>
      </c>
      <c r="P187" s="6">
        <v>16470</v>
      </c>
      <c r="Q187" s="78">
        <v>0</v>
      </c>
      <c r="R187" s="78">
        <v>0</v>
      </c>
      <c r="S187" s="78">
        <v>0</v>
      </c>
      <c r="T187" s="6">
        <v>16470</v>
      </c>
      <c r="U187" s="6">
        <v>1027</v>
      </c>
      <c r="V187" s="6">
        <v>56017</v>
      </c>
      <c r="W187" s="6">
        <v>2156</v>
      </c>
      <c r="X187" s="6">
        <v>58173</v>
      </c>
      <c r="Y187" s="6">
        <v>2531</v>
      </c>
      <c r="Z187" s="6">
        <v>0</v>
      </c>
      <c r="AA187" s="6">
        <v>60704</v>
      </c>
      <c r="AB187" s="142">
        <f>Table6[[#This Row],[Total Operating Income]]/Table6[[#This Row],[Total Population Served]]</f>
        <v>6.3677750970313651</v>
      </c>
    </row>
    <row r="188" spans="1:28" ht="13.5" thickBot="1" x14ac:dyDescent="0.25">
      <c r="A188" s="2" t="s">
        <v>447</v>
      </c>
      <c r="B188" s="1" t="s">
        <v>446</v>
      </c>
      <c r="C188" s="2" t="s">
        <v>32</v>
      </c>
      <c r="D188" s="2" t="s">
        <v>1146</v>
      </c>
      <c r="E188" s="3" t="s">
        <v>27</v>
      </c>
      <c r="F188" s="3" t="s">
        <v>28</v>
      </c>
      <c r="G188" s="4">
        <v>10470</v>
      </c>
      <c r="H188" s="4">
        <v>10470</v>
      </c>
      <c r="I188" s="6">
        <v>8414</v>
      </c>
      <c r="J188" s="6">
        <v>323004</v>
      </c>
      <c r="K188" s="78">
        <v>0</v>
      </c>
      <c r="L188" s="2">
        <v>0</v>
      </c>
      <c r="M188" s="6">
        <v>331418</v>
      </c>
      <c r="N188" s="6">
        <v>7503</v>
      </c>
      <c r="O188" s="78">
        <v>0</v>
      </c>
      <c r="P188" s="6">
        <v>0</v>
      </c>
      <c r="Q188" s="6">
        <v>0</v>
      </c>
      <c r="R188" s="6">
        <v>0</v>
      </c>
      <c r="S188" s="6">
        <v>0</v>
      </c>
      <c r="T188" s="6">
        <v>0</v>
      </c>
      <c r="U188" s="6">
        <v>0</v>
      </c>
      <c r="V188" s="6">
        <v>331418</v>
      </c>
      <c r="W188" s="6">
        <v>7503</v>
      </c>
      <c r="X188" s="6">
        <v>338921</v>
      </c>
      <c r="Y188" s="6">
        <v>6884</v>
      </c>
      <c r="Z188" s="6">
        <v>0</v>
      </c>
      <c r="AA188" s="6">
        <v>345805</v>
      </c>
      <c r="AB188" s="142">
        <f>Table6[[#This Row],[Total Operating Income]]/Table6[[#This Row],[Total Population Served]]</f>
        <v>33.028175740210123</v>
      </c>
    </row>
    <row r="189" spans="1:28" ht="13.5" thickBot="1" x14ac:dyDescent="0.25">
      <c r="A189" s="2" t="s">
        <v>461</v>
      </c>
      <c r="B189" s="1" t="s">
        <v>460</v>
      </c>
      <c r="C189" s="2" t="s">
        <v>32</v>
      </c>
      <c r="D189" s="2" t="s">
        <v>1146</v>
      </c>
      <c r="E189" s="3" t="s">
        <v>27</v>
      </c>
      <c r="F189" s="3" t="s">
        <v>28</v>
      </c>
      <c r="G189" s="4">
        <v>11581</v>
      </c>
      <c r="H189" s="4">
        <v>5735</v>
      </c>
      <c r="I189" s="6">
        <v>5581</v>
      </c>
      <c r="J189" s="78">
        <v>0</v>
      </c>
      <c r="K189" s="6">
        <v>252652</v>
      </c>
      <c r="L189" s="78">
        <v>0</v>
      </c>
      <c r="M189" s="6">
        <v>258233</v>
      </c>
      <c r="N189" s="6">
        <v>13458</v>
      </c>
      <c r="O189" s="77">
        <v>5846</v>
      </c>
      <c r="P189" s="6">
        <v>10684</v>
      </c>
      <c r="Q189" s="2">
        <v>0</v>
      </c>
      <c r="R189" s="2">
        <v>0</v>
      </c>
      <c r="S189" s="2">
        <v>0</v>
      </c>
      <c r="T189" s="6">
        <v>10684</v>
      </c>
      <c r="U189" s="2">
        <v>0</v>
      </c>
      <c r="V189" s="6">
        <v>268917</v>
      </c>
      <c r="W189" s="6">
        <v>13458</v>
      </c>
      <c r="X189" s="6">
        <v>282375</v>
      </c>
      <c r="Y189" s="6">
        <v>8029</v>
      </c>
      <c r="Z189" s="6">
        <v>0</v>
      </c>
      <c r="AA189" s="6">
        <v>290404</v>
      </c>
      <c r="AB189" s="142">
        <f>Table6[[#This Row],[Total Operating Income]]/Table6[[#This Row],[Total Population Served]]</f>
        <v>25.075900181331491</v>
      </c>
    </row>
    <row r="190" spans="1:28" ht="13.5" thickBot="1" x14ac:dyDescent="0.25">
      <c r="A190" s="2" t="s">
        <v>484</v>
      </c>
      <c r="B190" s="1" t="s">
        <v>483</v>
      </c>
      <c r="C190" s="2" t="s">
        <v>32</v>
      </c>
      <c r="D190" s="2" t="s">
        <v>1144</v>
      </c>
      <c r="E190" s="3" t="s">
        <v>485</v>
      </c>
      <c r="F190" s="3" t="s">
        <v>486</v>
      </c>
      <c r="G190" s="4">
        <v>7312</v>
      </c>
      <c r="H190" s="4">
        <v>7312</v>
      </c>
      <c r="I190" s="6">
        <v>10945</v>
      </c>
      <c r="J190" s="6">
        <v>387615</v>
      </c>
      <c r="K190" s="78">
        <v>0</v>
      </c>
      <c r="L190" s="78">
        <v>0</v>
      </c>
      <c r="M190" s="6">
        <v>398560</v>
      </c>
      <c r="N190" s="6">
        <v>14053</v>
      </c>
      <c r="O190" s="2">
        <v>0</v>
      </c>
      <c r="P190" s="78">
        <v>0</v>
      </c>
      <c r="Q190" s="78">
        <v>0</v>
      </c>
      <c r="R190" s="78">
        <v>0</v>
      </c>
      <c r="S190" s="78">
        <v>0</v>
      </c>
      <c r="T190" s="78">
        <v>0</v>
      </c>
      <c r="U190" s="78">
        <v>0</v>
      </c>
      <c r="V190" s="6">
        <v>398560</v>
      </c>
      <c r="W190" s="6">
        <v>14053</v>
      </c>
      <c r="X190" s="6">
        <v>412613</v>
      </c>
      <c r="Y190" s="6">
        <v>4783</v>
      </c>
      <c r="Z190" s="6">
        <v>0</v>
      </c>
      <c r="AA190" s="6">
        <v>417396</v>
      </c>
      <c r="AB190" s="142">
        <f>Table6[[#This Row],[Total Operating Income]]/Table6[[#This Row],[Total Population Served]]</f>
        <v>57.083698030634572</v>
      </c>
    </row>
    <row r="191" spans="1:28" ht="13.5" thickBot="1" x14ac:dyDescent="0.25">
      <c r="A191" s="2" t="s">
        <v>490</v>
      </c>
      <c r="B191" s="1" t="s">
        <v>489</v>
      </c>
      <c r="C191" s="2" t="s">
        <v>32</v>
      </c>
      <c r="D191" s="2" t="s">
        <v>1255</v>
      </c>
      <c r="E191" s="3" t="s">
        <v>27</v>
      </c>
      <c r="F191" s="3" t="s">
        <v>28</v>
      </c>
      <c r="G191" s="4">
        <v>8344</v>
      </c>
      <c r="H191" s="4">
        <v>7611</v>
      </c>
      <c r="I191" s="6">
        <v>43978</v>
      </c>
      <c r="J191" s="78">
        <v>0</v>
      </c>
      <c r="K191" s="2">
        <v>0</v>
      </c>
      <c r="L191" s="6">
        <v>0</v>
      </c>
      <c r="M191" s="6">
        <v>43978</v>
      </c>
      <c r="N191" s="6">
        <v>122065</v>
      </c>
      <c r="O191" s="77">
        <v>733</v>
      </c>
      <c r="P191" s="6">
        <v>4229</v>
      </c>
      <c r="Q191" s="2">
        <v>0</v>
      </c>
      <c r="R191" s="2">
        <v>0</v>
      </c>
      <c r="S191" s="2">
        <v>0</v>
      </c>
      <c r="T191" s="6">
        <v>4229</v>
      </c>
      <c r="U191" s="2">
        <v>0</v>
      </c>
      <c r="V191" s="6">
        <v>48207</v>
      </c>
      <c r="W191" s="6">
        <v>122065</v>
      </c>
      <c r="X191" s="6">
        <v>170272</v>
      </c>
      <c r="Y191" s="6">
        <v>5785</v>
      </c>
      <c r="Z191" s="6">
        <v>0</v>
      </c>
      <c r="AA191" s="6">
        <v>176057</v>
      </c>
      <c r="AB191" s="142">
        <f>Table6[[#This Row],[Total Operating Income]]/Table6[[#This Row],[Total Population Served]]</f>
        <v>21.099832214765101</v>
      </c>
    </row>
    <row r="192" spans="1:28" ht="13.5" thickBot="1" x14ac:dyDescent="0.25">
      <c r="A192" s="2" t="s">
        <v>510</v>
      </c>
      <c r="B192" s="1" t="s">
        <v>509</v>
      </c>
      <c r="C192" s="2" t="s">
        <v>32</v>
      </c>
      <c r="D192" s="2" t="s">
        <v>1134</v>
      </c>
      <c r="E192" s="3" t="s">
        <v>17</v>
      </c>
      <c r="F192" s="3" t="s">
        <v>18</v>
      </c>
      <c r="G192" s="4">
        <v>10715</v>
      </c>
      <c r="H192" s="4">
        <v>10715</v>
      </c>
      <c r="I192" s="6">
        <v>9984</v>
      </c>
      <c r="J192" s="6">
        <v>188000</v>
      </c>
      <c r="K192" s="78">
        <v>0</v>
      </c>
      <c r="L192" s="2">
        <v>0</v>
      </c>
      <c r="M192" s="6">
        <v>197984</v>
      </c>
      <c r="N192" s="6">
        <v>11249</v>
      </c>
      <c r="O192" s="78">
        <v>0</v>
      </c>
      <c r="P192" s="78">
        <v>0</v>
      </c>
      <c r="Q192" s="2">
        <v>0</v>
      </c>
      <c r="R192" s="2">
        <v>0</v>
      </c>
      <c r="S192" s="2">
        <v>0</v>
      </c>
      <c r="T192" s="78">
        <v>0</v>
      </c>
      <c r="U192" s="78">
        <v>0</v>
      </c>
      <c r="V192" s="6">
        <v>197984</v>
      </c>
      <c r="W192" s="6">
        <v>11249</v>
      </c>
      <c r="X192" s="6">
        <v>209233</v>
      </c>
      <c r="Y192" s="6">
        <v>7857</v>
      </c>
      <c r="Z192" s="6">
        <v>0</v>
      </c>
      <c r="AA192" s="6">
        <v>217090</v>
      </c>
      <c r="AB192" s="142">
        <f>Table6[[#This Row],[Total Operating Income]]/Table6[[#This Row],[Total Population Served]]</f>
        <v>20.260382641157257</v>
      </c>
    </row>
    <row r="193" spans="1:28" ht="13.5" thickBot="1" x14ac:dyDescent="0.25">
      <c r="A193" s="2" t="s">
        <v>522</v>
      </c>
      <c r="B193" s="1" t="s">
        <v>521</v>
      </c>
      <c r="C193" s="2" t="s">
        <v>32</v>
      </c>
      <c r="D193" s="2" t="s">
        <v>1166</v>
      </c>
      <c r="E193" s="3" t="s">
        <v>67</v>
      </c>
      <c r="F193" s="3" t="s">
        <v>68</v>
      </c>
      <c r="G193" s="4">
        <v>7424</v>
      </c>
      <c r="H193" s="4">
        <v>7424</v>
      </c>
      <c r="I193" s="6">
        <v>39381</v>
      </c>
      <c r="J193" s="6">
        <v>167701</v>
      </c>
      <c r="K193" s="6">
        <v>0</v>
      </c>
      <c r="L193" s="6">
        <v>0</v>
      </c>
      <c r="M193" s="6">
        <v>207082</v>
      </c>
      <c r="N193" s="6">
        <v>9129</v>
      </c>
      <c r="O193" s="78">
        <v>0</v>
      </c>
      <c r="P193" s="78">
        <v>0</v>
      </c>
      <c r="Q193" s="2">
        <v>0</v>
      </c>
      <c r="R193" s="78">
        <v>0</v>
      </c>
      <c r="S193" s="78">
        <v>0</v>
      </c>
      <c r="T193" s="78">
        <v>0</v>
      </c>
      <c r="U193" s="78">
        <v>0</v>
      </c>
      <c r="V193" s="6">
        <v>207082</v>
      </c>
      <c r="W193" s="6">
        <v>9129</v>
      </c>
      <c r="X193" s="6">
        <v>216211</v>
      </c>
      <c r="Y193" s="6">
        <v>7300</v>
      </c>
      <c r="Z193" s="6">
        <v>0</v>
      </c>
      <c r="AA193" s="6">
        <v>223511</v>
      </c>
      <c r="AB193" s="142">
        <f>Table6[[#This Row],[Total Operating Income]]/Table6[[#This Row],[Total Population Served]]</f>
        <v>30.106546336206897</v>
      </c>
    </row>
    <row r="194" spans="1:28" ht="13.5" thickBot="1" x14ac:dyDescent="0.25">
      <c r="A194" s="2" t="s">
        <v>528</v>
      </c>
      <c r="B194" s="1" t="s">
        <v>527</v>
      </c>
      <c r="C194" s="2" t="s">
        <v>32</v>
      </c>
      <c r="D194" s="2" t="s">
        <v>1266</v>
      </c>
      <c r="E194" s="3" t="s">
        <v>22</v>
      </c>
      <c r="F194" s="3" t="s">
        <v>23</v>
      </c>
      <c r="G194" s="4">
        <v>9765</v>
      </c>
      <c r="H194" s="4">
        <v>9765</v>
      </c>
      <c r="I194" s="6">
        <v>74963</v>
      </c>
      <c r="J194" s="6">
        <v>294944</v>
      </c>
      <c r="K194" s="78">
        <v>0</v>
      </c>
      <c r="L194" s="2">
        <v>0</v>
      </c>
      <c r="M194" s="6">
        <v>369907</v>
      </c>
      <c r="N194" s="6">
        <v>8271</v>
      </c>
      <c r="O194" s="2">
        <v>0</v>
      </c>
      <c r="P194" s="2">
        <v>0</v>
      </c>
      <c r="Q194" s="2">
        <v>0</v>
      </c>
      <c r="R194" s="2">
        <v>0</v>
      </c>
      <c r="S194" s="2">
        <v>0</v>
      </c>
      <c r="T194" s="2">
        <v>0</v>
      </c>
      <c r="U194" s="2">
        <v>0</v>
      </c>
      <c r="V194" s="6">
        <v>369907</v>
      </c>
      <c r="W194" s="6">
        <v>8271</v>
      </c>
      <c r="X194" s="6">
        <v>378178</v>
      </c>
      <c r="Y194" s="6">
        <v>6387</v>
      </c>
      <c r="Z194" s="6">
        <v>0</v>
      </c>
      <c r="AA194" s="6">
        <v>384565</v>
      </c>
      <c r="AB194" s="142">
        <f>Table6[[#This Row],[Total Operating Income]]/Table6[[#This Row],[Total Population Served]]</f>
        <v>39.381976446492573</v>
      </c>
    </row>
    <row r="195" spans="1:28" ht="13.5" thickBot="1" x14ac:dyDescent="0.25">
      <c r="A195" s="2" t="s">
        <v>538</v>
      </c>
      <c r="B195" s="1" t="s">
        <v>537</v>
      </c>
      <c r="C195" s="2" t="s">
        <v>32</v>
      </c>
      <c r="D195" s="2" t="s">
        <v>1268</v>
      </c>
      <c r="E195" s="3" t="s">
        <v>27</v>
      </c>
      <c r="F195" s="3" t="s">
        <v>28</v>
      </c>
      <c r="G195" s="4">
        <v>9623</v>
      </c>
      <c r="H195" s="4">
        <v>6030</v>
      </c>
      <c r="I195" s="6">
        <v>41937</v>
      </c>
      <c r="J195" s="78">
        <v>0</v>
      </c>
      <c r="K195" s="2">
        <v>0</v>
      </c>
      <c r="L195" s="6">
        <v>54450</v>
      </c>
      <c r="M195" s="6">
        <v>96387</v>
      </c>
      <c r="N195" s="6">
        <v>14608</v>
      </c>
      <c r="O195" s="4">
        <v>3593</v>
      </c>
      <c r="P195" s="6">
        <v>24970</v>
      </c>
      <c r="Q195" s="78">
        <v>0</v>
      </c>
      <c r="R195" s="2">
        <v>0</v>
      </c>
      <c r="S195" s="6">
        <v>64707</v>
      </c>
      <c r="T195" s="6">
        <v>89677</v>
      </c>
      <c r="U195" s="6">
        <v>10797</v>
      </c>
      <c r="V195" s="6">
        <v>186064</v>
      </c>
      <c r="W195" s="6">
        <v>25405</v>
      </c>
      <c r="X195" s="6">
        <v>211469</v>
      </c>
      <c r="Y195" s="6">
        <v>7057</v>
      </c>
      <c r="Z195" s="6">
        <v>0</v>
      </c>
      <c r="AA195" s="6">
        <v>218526</v>
      </c>
      <c r="AB195" s="142">
        <f>Table6[[#This Row],[Total Operating Income]]/Table6[[#This Row],[Total Population Served]]</f>
        <v>22.708718694793724</v>
      </c>
    </row>
    <row r="196" spans="1:28" ht="13.5" thickBot="1" x14ac:dyDescent="0.25">
      <c r="A196" s="2" t="s">
        <v>542</v>
      </c>
      <c r="B196" s="1" t="s">
        <v>541</v>
      </c>
      <c r="C196" s="2" t="s">
        <v>32</v>
      </c>
      <c r="D196" s="2" t="s">
        <v>1213</v>
      </c>
      <c r="E196" s="3" t="s">
        <v>22</v>
      </c>
      <c r="F196" s="3" t="s">
        <v>23</v>
      </c>
      <c r="G196" s="4">
        <v>7656</v>
      </c>
      <c r="H196" s="4">
        <v>4568</v>
      </c>
      <c r="I196" s="6">
        <v>12105</v>
      </c>
      <c r="J196" s="6">
        <v>0</v>
      </c>
      <c r="K196" s="6">
        <v>47534</v>
      </c>
      <c r="L196" s="78">
        <v>0</v>
      </c>
      <c r="M196" s="6">
        <v>59639</v>
      </c>
      <c r="N196" s="6">
        <v>4105</v>
      </c>
      <c r="O196" s="77">
        <v>3088</v>
      </c>
      <c r="P196" s="6">
        <v>8183</v>
      </c>
      <c r="Q196" s="6">
        <v>0</v>
      </c>
      <c r="R196" s="6">
        <v>0</v>
      </c>
      <c r="S196" s="6">
        <v>0</v>
      </c>
      <c r="T196" s="6">
        <v>8183</v>
      </c>
      <c r="U196" s="6">
        <v>0</v>
      </c>
      <c r="V196" s="6">
        <v>67822</v>
      </c>
      <c r="W196" s="6">
        <v>4105</v>
      </c>
      <c r="X196" s="6">
        <v>71927</v>
      </c>
      <c r="Y196" s="6">
        <v>5008</v>
      </c>
      <c r="Z196" s="6">
        <v>0</v>
      </c>
      <c r="AA196" s="6">
        <v>76935</v>
      </c>
      <c r="AB196" s="142">
        <f>Table6[[#This Row],[Total Operating Income]]/Table6[[#This Row],[Total Population Served]]</f>
        <v>10.04898119122257</v>
      </c>
    </row>
    <row r="197" spans="1:28" ht="13.5" thickBot="1" x14ac:dyDescent="0.25">
      <c r="A197" s="2" t="s">
        <v>554</v>
      </c>
      <c r="B197" s="1" t="s">
        <v>553</v>
      </c>
      <c r="C197" s="2" t="s">
        <v>32</v>
      </c>
      <c r="D197" s="2" t="s">
        <v>1144</v>
      </c>
      <c r="E197" s="3" t="s">
        <v>27</v>
      </c>
      <c r="F197" s="3" t="s">
        <v>28</v>
      </c>
      <c r="G197" s="4">
        <v>8354</v>
      </c>
      <c r="H197" s="4">
        <v>8245</v>
      </c>
      <c r="I197" s="6">
        <v>17377</v>
      </c>
      <c r="J197" s="6">
        <v>507752</v>
      </c>
      <c r="K197" s="78">
        <v>0</v>
      </c>
      <c r="L197" s="6">
        <v>12467</v>
      </c>
      <c r="M197" s="6">
        <v>537596</v>
      </c>
      <c r="N197" s="6">
        <v>14967</v>
      </c>
      <c r="O197" s="4">
        <v>109</v>
      </c>
      <c r="P197" s="6">
        <v>0</v>
      </c>
      <c r="Q197" s="6">
        <v>0</v>
      </c>
      <c r="R197" s="6">
        <v>0</v>
      </c>
      <c r="S197" s="6">
        <v>0</v>
      </c>
      <c r="T197" s="6">
        <v>0</v>
      </c>
      <c r="U197" s="6">
        <v>0</v>
      </c>
      <c r="V197" s="6">
        <v>537596</v>
      </c>
      <c r="W197" s="6">
        <v>14967</v>
      </c>
      <c r="X197" s="6">
        <v>552563</v>
      </c>
      <c r="Y197" s="6">
        <v>7500</v>
      </c>
      <c r="Z197" s="6">
        <v>0</v>
      </c>
      <c r="AA197" s="6">
        <v>560063</v>
      </c>
      <c r="AB197" s="142">
        <f>Table6[[#This Row],[Total Operating Income]]/Table6[[#This Row],[Total Population Served]]</f>
        <v>67.041297581996645</v>
      </c>
    </row>
    <row r="198" spans="1:28" ht="13.5" thickBot="1" x14ac:dyDescent="0.25">
      <c r="A198" s="2" t="s">
        <v>572</v>
      </c>
      <c r="B198" s="1" t="s">
        <v>571</v>
      </c>
      <c r="C198" s="2" t="s">
        <v>32</v>
      </c>
      <c r="D198" s="2" t="s">
        <v>1273</v>
      </c>
      <c r="E198" s="3" t="s">
        <v>22</v>
      </c>
      <c r="F198" s="3" t="s">
        <v>23</v>
      </c>
      <c r="G198" s="4">
        <v>8640</v>
      </c>
      <c r="H198" s="4">
        <v>8640</v>
      </c>
      <c r="I198" s="6">
        <v>76957</v>
      </c>
      <c r="J198" s="6">
        <v>190934</v>
      </c>
      <c r="K198" s="78">
        <v>0</v>
      </c>
      <c r="L198" s="6">
        <v>7971</v>
      </c>
      <c r="M198" s="6">
        <v>275862</v>
      </c>
      <c r="N198" s="6">
        <v>9416</v>
      </c>
      <c r="O198" s="2">
        <v>0</v>
      </c>
      <c r="P198" s="6">
        <v>0</v>
      </c>
      <c r="Q198" s="6">
        <v>0</v>
      </c>
      <c r="R198" s="6">
        <v>0</v>
      </c>
      <c r="S198" s="6">
        <v>0</v>
      </c>
      <c r="T198" s="6">
        <v>0</v>
      </c>
      <c r="U198" s="2">
        <v>0</v>
      </c>
      <c r="V198" s="6">
        <v>275862</v>
      </c>
      <c r="W198" s="6">
        <v>9416</v>
      </c>
      <c r="X198" s="6">
        <v>285278</v>
      </c>
      <c r="Y198" s="6">
        <v>9672</v>
      </c>
      <c r="Z198" s="6">
        <v>0</v>
      </c>
      <c r="AA198" s="6">
        <v>294950</v>
      </c>
      <c r="AB198" s="142">
        <f>Table6[[#This Row],[Total Operating Income]]/Table6[[#This Row],[Total Population Served]]</f>
        <v>34.137731481481481</v>
      </c>
    </row>
    <row r="199" spans="1:28" ht="13.5" thickBot="1" x14ac:dyDescent="0.25">
      <c r="A199" s="2" t="s">
        <v>582</v>
      </c>
      <c r="B199" s="1" t="s">
        <v>581</v>
      </c>
      <c r="C199" s="2" t="s">
        <v>32</v>
      </c>
      <c r="D199" s="2" t="s">
        <v>1149</v>
      </c>
      <c r="E199" s="3" t="s">
        <v>17</v>
      </c>
      <c r="F199" s="3" t="s">
        <v>18</v>
      </c>
      <c r="G199" s="4">
        <v>9969</v>
      </c>
      <c r="H199" s="4">
        <v>9969</v>
      </c>
      <c r="I199" s="6">
        <v>11973</v>
      </c>
      <c r="J199" s="6">
        <v>407183</v>
      </c>
      <c r="K199" s="2">
        <v>0</v>
      </c>
      <c r="L199" s="6">
        <v>55449</v>
      </c>
      <c r="M199" s="6">
        <v>474605</v>
      </c>
      <c r="N199" s="6">
        <v>19641</v>
      </c>
      <c r="O199" s="2">
        <v>0</v>
      </c>
      <c r="P199" s="78">
        <v>0</v>
      </c>
      <c r="Q199" s="78">
        <v>0</v>
      </c>
      <c r="R199" s="2">
        <v>0</v>
      </c>
      <c r="S199" s="2">
        <v>0</v>
      </c>
      <c r="T199" s="78">
        <v>0</v>
      </c>
      <c r="U199" s="78">
        <v>0</v>
      </c>
      <c r="V199" s="6">
        <v>474605</v>
      </c>
      <c r="W199" s="6">
        <v>19641</v>
      </c>
      <c r="X199" s="6">
        <v>494246</v>
      </c>
      <c r="Y199" s="6">
        <v>7310</v>
      </c>
      <c r="Z199" s="6">
        <v>0</v>
      </c>
      <c r="AA199" s="6">
        <v>501556</v>
      </c>
      <c r="AB199" s="142">
        <f>Table6[[#This Row],[Total Operating Income]]/Table6[[#This Row],[Total Population Served]]</f>
        <v>50.311565854147858</v>
      </c>
    </row>
    <row r="200" spans="1:28" ht="13.5" thickBot="1" x14ac:dyDescent="0.25">
      <c r="A200" s="2" t="s">
        <v>586</v>
      </c>
      <c r="B200" s="1" t="s">
        <v>585</v>
      </c>
      <c r="C200" s="2" t="s">
        <v>32</v>
      </c>
      <c r="D200" s="2" t="s">
        <v>1136</v>
      </c>
      <c r="E200" s="3" t="s">
        <v>67</v>
      </c>
      <c r="F200" s="3" t="s">
        <v>68</v>
      </c>
      <c r="G200" s="4">
        <v>7034</v>
      </c>
      <c r="H200" s="4">
        <v>7034</v>
      </c>
      <c r="I200" s="6">
        <v>22041</v>
      </c>
      <c r="J200" s="6">
        <v>140384</v>
      </c>
      <c r="K200" s="78">
        <v>0</v>
      </c>
      <c r="L200" s="6">
        <v>0</v>
      </c>
      <c r="M200" s="6">
        <v>162425</v>
      </c>
      <c r="N200" s="6">
        <v>16670</v>
      </c>
      <c r="O200" s="2">
        <v>0</v>
      </c>
      <c r="P200" s="2">
        <v>0</v>
      </c>
      <c r="Q200" s="2">
        <v>0</v>
      </c>
      <c r="R200" s="2">
        <v>0</v>
      </c>
      <c r="S200" s="2">
        <v>0</v>
      </c>
      <c r="T200" s="2">
        <v>0</v>
      </c>
      <c r="U200" s="2">
        <v>0</v>
      </c>
      <c r="V200" s="6">
        <v>162425</v>
      </c>
      <c r="W200" s="6">
        <v>16670</v>
      </c>
      <c r="X200" s="6">
        <v>179095</v>
      </c>
      <c r="Y200" s="6">
        <v>7512</v>
      </c>
      <c r="Z200" s="6">
        <v>0</v>
      </c>
      <c r="AA200" s="6">
        <v>186607</v>
      </c>
      <c r="AB200" s="142">
        <f>Table6[[#This Row],[Total Operating Income]]/Table6[[#This Row],[Total Population Served]]</f>
        <v>26.529286323571224</v>
      </c>
    </row>
    <row r="201" spans="1:28" ht="13.5" thickBot="1" x14ac:dyDescent="0.25">
      <c r="A201" s="2" t="s">
        <v>596</v>
      </c>
      <c r="B201" s="1" t="s">
        <v>595</v>
      </c>
      <c r="C201" s="2" t="s">
        <v>32</v>
      </c>
      <c r="D201" s="2" t="s">
        <v>1226</v>
      </c>
      <c r="E201" s="3" t="s">
        <v>27</v>
      </c>
      <c r="F201" s="3" t="s">
        <v>28</v>
      </c>
      <c r="G201" s="4">
        <v>8833</v>
      </c>
      <c r="H201" s="4">
        <v>8833</v>
      </c>
      <c r="I201" s="6">
        <v>36735</v>
      </c>
      <c r="J201" s="6">
        <v>249000</v>
      </c>
      <c r="K201" s="6">
        <v>0</v>
      </c>
      <c r="L201" s="6">
        <v>35200</v>
      </c>
      <c r="M201" s="6">
        <v>320935</v>
      </c>
      <c r="N201" s="6">
        <v>49229</v>
      </c>
      <c r="O201" s="2">
        <v>0</v>
      </c>
      <c r="P201" s="2">
        <v>0</v>
      </c>
      <c r="Q201" s="2">
        <v>0</v>
      </c>
      <c r="R201" s="2">
        <v>0</v>
      </c>
      <c r="S201" s="2">
        <v>0</v>
      </c>
      <c r="T201" s="2">
        <v>0</v>
      </c>
      <c r="U201" s="2">
        <v>0</v>
      </c>
      <c r="V201" s="6">
        <v>320935</v>
      </c>
      <c r="W201" s="6">
        <v>49229</v>
      </c>
      <c r="X201" s="6">
        <v>370164</v>
      </c>
      <c r="Y201" s="6">
        <v>6123</v>
      </c>
      <c r="Z201" s="6">
        <v>0</v>
      </c>
      <c r="AA201" s="6">
        <v>376287</v>
      </c>
      <c r="AB201" s="142">
        <f>Table6[[#This Row],[Total Operating Income]]/Table6[[#This Row],[Total Population Served]]</f>
        <v>42.600135854183179</v>
      </c>
    </row>
    <row r="202" spans="1:28" ht="13.5" thickBot="1" x14ac:dyDescent="0.25">
      <c r="A202" s="2" t="s">
        <v>604</v>
      </c>
      <c r="B202" s="1" t="s">
        <v>603</v>
      </c>
      <c r="C202" s="2" t="s">
        <v>32</v>
      </c>
      <c r="D202" s="2" t="s">
        <v>1165</v>
      </c>
      <c r="E202" s="3" t="s">
        <v>22</v>
      </c>
      <c r="F202" s="3" t="s">
        <v>23</v>
      </c>
      <c r="G202" s="4">
        <v>11503</v>
      </c>
      <c r="H202" s="4">
        <v>8248</v>
      </c>
      <c r="I202" s="6">
        <v>31986</v>
      </c>
      <c r="J202" s="6">
        <v>677384</v>
      </c>
      <c r="K202" s="2">
        <v>0</v>
      </c>
      <c r="L202" s="2">
        <v>0</v>
      </c>
      <c r="M202" s="6">
        <v>709370</v>
      </c>
      <c r="N202" s="6">
        <v>38933</v>
      </c>
      <c r="O202" s="4">
        <v>3255</v>
      </c>
      <c r="P202" s="78">
        <v>0</v>
      </c>
      <c r="Q202" s="2">
        <v>0</v>
      </c>
      <c r="R202" s="2">
        <v>0</v>
      </c>
      <c r="S202" s="2">
        <v>0</v>
      </c>
      <c r="T202" s="78">
        <v>0</v>
      </c>
      <c r="U202" s="2">
        <v>0</v>
      </c>
      <c r="V202" s="6">
        <v>709370</v>
      </c>
      <c r="W202" s="6">
        <v>38933</v>
      </c>
      <c r="X202" s="6">
        <v>748303</v>
      </c>
      <c r="Y202" s="6">
        <v>8435</v>
      </c>
      <c r="Z202" s="6">
        <v>0</v>
      </c>
      <c r="AA202" s="6">
        <v>756738</v>
      </c>
      <c r="AB202" s="142">
        <f>Table6[[#This Row],[Total Operating Income]]/Table6[[#This Row],[Total Population Served]]</f>
        <v>65.786142745370768</v>
      </c>
    </row>
    <row r="203" spans="1:28" ht="13.5" thickBot="1" x14ac:dyDescent="0.25">
      <c r="A203" s="2" t="s">
        <v>630</v>
      </c>
      <c r="B203" s="1" t="s">
        <v>629</v>
      </c>
      <c r="C203" s="2" t="s">
        <v>32</v>
      </c>
      <c r="D203" s="2" t="s">
        <v>1166</v>
      </c>
      <c r="E203" s="3" t="s">
        <v>22</v>
      </c>
      <c r="F203" s="3" t="s">
        <v>23</v>
      </c>
      <c r="G203" s="4">
        <v>8891</v>
      </c>
      <c r="H203" s="4">
        <v>6226</v>
      </c>
      <c r="I203" s="6">
        <v>31722</v>
      </c>
      <c r="J203" s="6">
        <v>203680</v>
      </c>
      <c r="K203" s="2">
        <v>0</v>
      </c>
      <c r="L203" s="2">
        <v>0</v>
      </c>
      <c r="M203" s="6">
        <v>235402</v>
      </c>
      <c r="N203" s="78">
        <v>0</v>
      </c>
      <c r="O203" s="77">
        <v>2665</v>
      </c>
      <c r="P203" s="6">
        <v>9365</v>
      </c>
      <c r="Q203" s="6">
        <v>11749</v>
      </c>
      <c r="R203" s="2">
        <v>0</v>
      </c>
      <c r="S203" s="6">
        <v>1350</v>
      </c>
      <c r="T203" s="6">
        <v>22464</v>
      </c>
      <c r="U203" s="2">
        <v>0</v>
      </c>
      <c r="V203" s="6">
        <v>257866</v>
      </c>
      <c r="W203" s="78">
        <v>0</v>
      </c>
      <c r="X203" s="6">
        <v>257866</v>
      </c>
      <c r="Y203" s="6">
        <v>5816</v>
      </c>
      <c r="Z203" s="6">
        <v>0</v>
      </c>
      <c r="AA203" s="6">
        <v>263682</v>
      </c>
      <c r="AB203" s="142">
        <f>Table6[[#This Row],[Total Operating Income]]/Table6[[#This Row],[Total Population Served]]</f>
        <v>29.65718141941289</v>
      </c>
    </row>
    <row r="204" spans="1:28" ht="13.5" thickBot="1" x14ac:dyDescent="0.25">
      <c r="A204" s="2" t="s">
        <v>638</v>
      </c>
      <c r="B204" s="1" t="s">
        <v>637</v>
      </c>
      <c r="C204" s="2" t="s">
        <v>32</v>
      </c>
      <c r="D204" s="2" t="s">
        <v>1207</v>
      </c>
      <c r="E204" s="3" t="s">
        <v>27</v>
      </c>
      <c r="F204" s="3" t="s">
        <v>28</v>
      </c>
      <c r="G204" s="4">
        <v>8543</v>
      </c>
      <c r="H204" s="4">
        <v>5479</v>
      </c>
      <c r="I204" s="6">
        <v>60000</v>
      </c>
      <c r="J204" s="6">
        <v>125384</v>
      </c>
      <c r="K204" s="2">
        <v>0</v>
      </c>
      <c r="L204" s="2">
        <v>0</v>
      </c>
      <c r="M204" s="6">
        <v>185384</v>
      </c>
      <c r="N204" s="78">
        <v>0</v>
      </c>
      <c r="O204" s="77">
        <v>3064</v>
      </c>
      <c r="P204" s="6">
        <v>12000</v>
      </c>
      <c r="Q204" s="78">
        <v>0</v>
      </c>
      <c r="R204" s="78">
        <v>0</v>
      </c>
      <c r="S204" s="6">
        <v>2500</v>
      </c>
      <c r="T204" s="6">
        <v>14500</v>
      </c>
      <c r="U204" s="78">
        <v>0</v>
      </c>
      <c r="V204" s="6">
        <v>199884</v>
      </c>
      <c r="W204" s="78">
        <v>0</v>
      </c>
      <c r="X204" s="6">
        <v>199884</v>
      </c>
      <c r="Y204" s="6">
        <v>6775</v>
      </c>
      <c r="Z204" s="6">
        <v>0</v>
      </c>
      <c r="AA204" s="6">
        <v>206659</v>
      </c>
      <c r="AB204" s="142">
        <f>Table6[[#This Row],[Total Operating Income]]/Table6[[#This Row],[Total Population Served]]</f>
        <v>24.190448320262202</v>
      </c>
    </row>
    <row r="205" spans="1:28" ht="13.5" thickBot="1" x14ac:dyDescent="0.25">
      <c r="A205" s="2" t="s">
        <v>646</v>
      </c>
      <c r="B205" s="1" t="s">
        <v>645</v>
      </c>
      <c r="C205" s="2" t="s">
        <v>32</v>
      </c>
      <c r="D205" s="2" t="s">
        <v>1149</v>
      </c>
      <c r="E205" s="3" t="s">
        <v>647</v>
      </c>
      <c r="F205" s="3" t="s">
        <v>648</v>
      </c>
      <c r="G205" s="4">
        <v>7580</v>
      </c>
      <c r="H205" s="4">
        <v>7580</v>
      </c>
      <c r="I205" s="6">
        <v>9103</v>
      </c>
      <c r="J205" s="6">
        <v>328828</v>
      </c>
      <c r="K205" s="2">
        <v>0</v>
      </c>
      <c r="L205" s="78">
        <v>0</v>
      </c>
      <c r="M205" s="6">
        <v>337931</v>
      </c>
      <c r="N205" s="6">
        <v>7160</v>
      </c>
      <c r="O205" s="78">
        <v>0</v>
      </c>
      <c r="P205" s="78">
        <v>0</v>
      </c>
      <c r="Q205" s="2">
        <v>0</v>
      </c>
      <c r="R205" s="2">
        <v>0</v>
      </c>
      <c r="S205" s="2">
        <v>0</v>
      </c>
      <c r="T205" s="78">
        <v>0</v>
      </c>
      <c r="U205" s="2">
        <v>0</v>
      </c>
      <c r="V205" s="6">
        <v>337931</v>
      </c>
      <c r="W205" s="6">
        <v>7160</v>
      </c>
      <c r="X205" s="6">
        <v>345091</v>
      </c>
      <c r="Y205" s="6">
        <v>31284</v>
      </c>
      <c r="Z205" s="6">
        <v>0</v>
      </c>
      <c r="AA205" s="6">
        <v>376375</v>
      </c>
      <c r="AB205" s="142">
        <f>Table6[[#This Row],[Total Operating Income]]/Table6[[#This Row],[Total Population Served]]</f>
        <v>49.653693931398415</v>
      </c>
    </row>
    <row r="206" spans="1:28" ht="13.5" thickBot="1" x14ac:dyDescent="0.25">
      <c r="A206" s="2" t="s">
        <v>656</v>
      </c>
      <c r="B206" s="1" t="s">
        <v>655</v>
      </c>
      <c r="C206" s="2" t="s">
        <v>32</v>
      </c>
      <c r="D206" s="2" t="s">
        <v>1134</v>
      </c>
      <c r="E206" s="3" t="s">
        <v>27</v>
      </c>
      <c r="F206" s="3" t="s">
        <v>28</v>
      </c>
      <c r="G206" s="4">
        <v>7903</v>
      </c>
      <c r="H206" s="4">
        <v>7903</v>
      </c>
      <c r="I206" s="6">
        <v>10470</v>
      </c>
      <c r="J206" s="6">
        <v>147030</v>
      </c>
      <c r="K206" s="2">
        <v>0</v>
      </c>
      <c r="L206" s="6">
        <v>0</v>
      </c>
      <c r="M206" s="6">
        <v>157500</v>
      </c>
      <c r="N206" s="6">
        <v>164810</v>
      </c>
      <c r="O206" s="2">
        <v>0</v>
      </c>
      <c r="P206" s="2">
        <v>0</v>
      </c>
      <c r="Q206" s="2">
        <v>0</v>
      </c>
      <c r="R206" s="2">
        <v>0</v>
      </c>
      <c r="S206" s="2">
        <v>0</v>
      </c>
      <c r="T206" s="2">
        <v>0</v>
      </c>
      <c r="U206" s="2">
        <v>0</v>
      </c>
      <c r="V206" s="6">
        <v>157500</v>
      </c>
      <c r="W206" s="6">
        <v>164810</v>
      </c>
      <c r="X206" s="6">
        <v>322310</v>
      </c>
      <c r="Y206" s="6">
        <v>5479</v>
      </c>
      <c r="Z206" s="6">
        <v>0</v>
      </c>
      <c r="AA206" s="6">
        <v>327789</v>
      </c>
      <c r="AB206" s="142">
        <f>Table6[[#This Row],[Total Operating Income]]/Table6[[#This Row],[Total Population Served]]</f>
        <v>41.476527900797166</v>
      </c>
    </row>
    <row r="207" spans="1:28" ht="13.5" thickBot="1" x14ac:dyDescent="0.25">
      <c r="A207" s="2" t="s">
        <v>674</v>
      </c>
      <c r="B207" s="1" t="s">
        <v>673</v>
      </c>
      <c r="C207" s="2" t="s">
        <v>32</v>
      </c>
      <c r="D207" s="2" t="s">
        <v>1140</v>
      </c>
      <c r="E207" s="3" t="s">
        <v>22</v>
      </c>
      <c r="F207" s="3" t="s">
        <v>23</v>
      </c>
      <c r="G207" s="4">
        <v>11480</v>
      </c>
      <c r="H207" s="4">
        <v>11480</v>
      </c>
      <c r="I207" s="6">
        <v>29637</v>
      </c>
      <c r="J207" s="6">
        <v>302782</v>
      </c>
      <c r="K207" s="78">
        <v>0</v>
      </c>
      <c r="L207" s="6">
        <v>31453</v>
      </c>
      <c r="M207" s="6">
        <v>363872</v>
      </c>
      <c r="N207" s="6">
        <v>26651</v>
      </c>
      <c r="O207" s="78">
        <v>0</v>
      </c>
      <c r="P207" s="78">
        <v>0</v>
      </c>
      <c r="Q207" s="78">
        <v>0</v>
      </c>
      <c r="R207" s="78">
        <v>0</v>
      </c>
      <c r="S207" s="78">
        <v>0</v>
      </c>
      <c r="T207" s="78">
        <v>0</v>
      </c>
      <c r="U207" s="78">
        <v>0</v>
      </c>
      <c r="V207" s="6">
        <v>363872</v>
      </c>
      <c r="W207" s="6">
        <v>26651</v>
      </c>
      <c r="X207" s="6">
        <v>390523</v>
      </c>
      <c r="Y207" s="6">
        <v>7509</v>
      </c>
      <c r="Z207" s="6">
        <v>0</v>
      </c>
      <c r="AA207" s="6">
        <v>398032</v>
      </c>
      <c r="AB207" s="142">
        <f>Table6[[#This Row],[Total Operating Income]]/Table6[[#This Row],[Total Population Served]]</f>
        <v>34.671777003484323</v>
      </c>
    </row>
    <row r="208" spans="1:28" ht="13.5" thickBot="1" x14ac:dyDescent="0.25">
      <c r="A208" s="2" t="s">
        <v>676</v>
      </c>
      <c r="B208" s="1" t="s">
        <v>675</v>
      </c>
      <c r="C208" s="2" t="s">
        <v>32</v>
      </c>
      <c r="D208" s="2" t="s">
        <v>1164</v>
      </c>
      <c r="E208" s="3" t="s">
        <v>67</v>
      </c>
      <c r="F208" s="3" t="s">
        <v>68</v>
      </c>
      <c r="G208" s="4">
        <v>7798</v>
      </c>
      <c r="H208" s="4">
        <v>7798</v>
      </c>
      <c r="I208" s="6">
        <v>27710</v>
      </c>
      <c r="J208" s="6">
        <v>161462</v>
      </c>
      <c r="K208" s="2">
        <v>0</v>
      </c>
      <c r="L208" s="6">
        <v>8946</v>
      </c>
      <c r="M208" s="6">
        <v>198118</v>
      </c>
      <c r="N208" s="6">
        <v>28681</v>
      </c>
      <c r="O208" s="2">
        <v>0</v>
      </c>
      <c r="P208" s="2">
        <v>0</v>
      </c>
      <c r="Q208" s="2">
        <v>0</v>
      </c>
      <c r="R208" s="2">
        <v>0</v>
      </c>
      <c r="S208" s="2">
        <v>0</v>
      </c>
      <c r="T208" s="2">
        <v>0</v>
      </c>
      <c r="U208" s="2">
        <v>0</v>
      </c>
      <c r="V208" s="6">
        <v>198118</v>
      </c>
      <c r="W208" s="6">
        <v>28681</v>
      </c>
      <c r="X208" s="6">
        <v>226799</v>
      </c>
      <c r="Y208" s="6">
        <v>5100</v>
      </c>
      <c r="Z208" s="6">
        <v>0</v>
      </c>
      <c r="AA208" s="6">
        <v>231899</v>
      </c>
      <c r="AB208" s="142">
        <f>Table6[[#This Row],[Total Operating Income]]/Table6[[#This Row],[Total Population Served]]</f>
        <v>29.738266222108233</v>
      </c>
    </row>
    <row r="209" spans="1:28" ht="13.5" thickBot="1" x14ac:dyDescent="0.25">
      <c r="A209" s="2" t="s">
        <v>684</v>
      </c>
      <c r="B209" s="1" t="s">
        <v>683</v>
      </c>
      <c r="C209" s="2" t="s">
        <v>32</v>
      </c>
      <c r="D209" s="2" t="s">
        <v>1133</v>
      </c>
      <c r="E209" s="3" t="s">
        <v>27</v>
      </c>
      <c r="F209" s="3" t="s">
        <v>28</v>
      </c>
      <c r="G209" s="4">
        <v>7357</v>
      </c>
      <c r="H209" s="4">
        <v>4446</v>
      </c>
      <c r="I209" s="6">
        <v>30107</v>
      </c>
      <c r="J209" s="6">
        <v>54166</v>
      </c>
      <c r="K209" s="6">
        <v>91358</v>
      </c>
      <c r="L209" s="6">
        <v>0</v>
      </c>
      <c r="M209" s="6">
        <v>175631</v>
      </c>
      <c r="N209" s="6">
        <v>11524</v>
      </c>
      <c r="O209" s="77">
        <v>2911</v>
      </c>
      <c r="P209" s="6">
        <v>19712</v>
      </c>
      <c r="Q209" s="6">
        <v>0</v>
      </c>
      <c r="R209" s="6">
        <v>19724</v>
      </c>
      <c r="S209" s="2">
        <v>0</v>
      </c>
      <c r="T209" s="6">
        <v>39436</v>
      </c>
      <c r="U209" s="6">
        <v>0</v>
      </c>
      <c r="V209" s="6">
        <v>215067</v>
      </c>
      <c r="W209" s="6">
        <v>11524</v>
      </c>
      <c r="X209" s="6">
        <v>226591</v>
      </c>
      <c r="Y209" s="6">
        <v>6596</v>
      </c>
      <c r="Z209" s="6">
        <v>1838</v>
      </c>
      <c r="AA209" s="6">
        <v>235025</v>
      </c>
      <c r="AB209" s="142">
        <f>Table6[[#This Row],[Total Operating Income]]/Table6[[#This Row],[Total Population Served]]</f>
        <v>31.945765937202665</v>
      </c>
    </row>
    <row r="210" spans="1:28" ht="13.5" thickBot="1" x14ac:dyDescent="0.25">
      <c r="A210" s="2" t="s">
        <v>690</v>
      </c>
      <c r="B210" s="1" t="s">
        <v>689</v>
      </c>
      <c r="C210" s="2" t="s">
        <v>32</v>
      </c>
      <c r="D210" s="2" t="s">
        <v>1127</v>
      </c>
      <c r="E210" s="3" t="s">
        <v>22</v>
      </c>
      <c r="F210" s="3" t="s">
        <v>23</v>
      </c>
      <c r="G210" s="4">
        <v>7103</v>
      </c>
      <c r="H210" s="4">
        <v>7101</v>
      </c>
      <c r="I210" s="6">
        <v>22554</v>
      </c>
      <c r="J210" s="6">
        <v>205986</v>
      </c>
      <c r="K210" s="78">
        <v>0</v>
      </c>
      <c r="L210" s="6">
        <v>39872</v>
      </c>
      <c r="M210" s="6">
        <v>268412</v>
      </c>
      <c r="N210" s="6">
        <v>30058</v>
      </c>
      <c r="O210" s="4">
        <v>2</v>
      </c>
      <c r="P210" s="78">
        <v>0</v>
      </c>
      <c r="Q210" s="2">
        <v>0</v>
      </c>
      <c r="R210" s="2">
        <v>0</v>
      </c>
      <c r="S210" s="2">
        <v>0</v>
      </c>
      <c r="T210" s="78">
        <v>0</v>
      </c>
      <c r="U210" s="2">
        <v>0</v>
      </c>
      <c r="V210" s="6">
        <v>268412</v>
      </c>
      <c r="W210" s="6">
        <v>30058</v>
      </c>
      <c r="X210" s="6">
        <v>298470</v>
      </c>
      <c r="Y210" s="6">
        <v>4646</v>
      </c>
      <c r="Z210" s="6">
        <v>0</v>
      </c>
      <c r="AA210" s="6">
        <v>303116</v>
      </c>
      <c r="AB210" s="142">
        <f>Table6[[#This Row],[Total Operating Income]]/Table6[[#This Row],[Total Population Served]]</f>
        <v>42.674362945234407</v>
      </c>
    </row>
    <row r="211" spans="1:28" ht="13.5" thickBot="1" x14ac:dyDescent="0.25">
      <c r="A211" s="2" t="s">
        <v>694</v>
      </c>
      <c r="B211" s="1" t="s">
        <v>693</v>
      </c>
      <c r="C211" s="2" t="s">
        <v>32</v>
      </c>
      <c r="D211" s="2" t="s">
        <v>1143</v>
      </c>
      <c r="E211" s="3" t="s">
        <v>17</v>
      </c>
      <c r="F211" s="3" t="s">
        <v>18</v>
      </c>
      <c r="G211" s="4">
        <v>10017</v>
      </c>
      <c r="H211" s="4">
        <v>1325</v>
      </c>
      <c r="I211" s="6">
        <v>8649</v>
      </c>
      <c r="J211" s="6">
        <v>40797</v>
      </c>
      <c r="K211" s="78">
        <v>0</v>
      </c>
      <c r="L211" s="78">
        <v>0</v>
      </c>
      <c r="M211" s="6">
        <v>49446</v>
      </c>
      <c r="N211" s="78">
        <v>0</v>
      </c>
      <c r="O211" s="77">
        <v>8692</v>
      </c>
      <c r="P211" s="6">
        <v>57879</v>
      </c>
      <c r="Q211" s="6">
        <v>273023</v>
      </c>
      <c r="R211" s="2">
        <v>0</v>
      </c>
      <c r="S211" s="2">
        <v>0</v>
      </c>
      <c r="T211" s="6">
        <v>330902</v>
      </c>
      <c r="U211" s="2">
        <v>0</v>
      </c>
      <c r="V211" s="6">
        <v>380348</v>
      </c>
      <c r="W211" s="78">
        <v>0</v>
      </c>
      <c r="X211" s="6">
        <v>380348</v>
      </c>
      <c r="Y211" s="6">
        <v>8869</v>
      </c>
      <c r="Z211" s="6">
        <v>0</v>
      </c>
      <c r="AA211" s="6">
        <v>389217</v>
      </c>
      <c r="AB211" s="142">
        <f>Table6[[#This Row],[Total Operating Income]]/Table6[[#This Row],[Total Population Served]]</f>
        <v>38.855645402815213</v>
      </c>
    </row>
    <row r="212" spans="1:28" ht="13.5" thickBot="1" x14ac:dyDescent="0.25">
      <c r="A212" s="2" t="s">
        <v>700</v>
      </c>
      <c r="B212" s="1" t="s">
        <v>699</v>
      </c>
      <c r="C212" s="2" t="s">
        <v>32</v>
      </c>
      <c r="D212" s="2" t="s">
        <v>1126</v>
      </c>
      <c r="E212" s="3" t="s">
        <v>17</v>
      </c>
      <c r="F212" s="3" t="s">
        <v>18</v>
      </c>
      <c r="G212" s="4">
        <v>7272</v>
      </c>
      <c r="H212" s="4">
        <v>3340</v>
      </c>
      <c r="I212" s="6">
        <v>8498</v>
      </c>
      <c r="J212" s="6">
        <v>0</v>
      </c>
      <c r="K212" s="6">
        <v>216818</v>
      </c>
      <c r="L212" s="6">
        <v>0</v>
      </c>
      <c r="M212" s="6">
        <v>225316</v>
      </c>
      <c r="N212" s="6">
        <v>18341</v>
      </c>
      <c r="O212" s="4">
        <v>3932</v>
      </c>
      <c r="P212" s="6">
        <v>10005</v>
      </c>
      <c r="Q212" s="6">
        <v>0</v>
      </c>
      <c r="R212" s="6">
        <v>0</v>
      </c>
      <c r="S212" s="6">
        <v>0</v>
      </c>
      <c r="T212" s="6">
        <v>10005</v>
      </c>
      <c r="U212" s="6">
        <v>0</v>
      </c>
      <c r="V212" s="6">
        <v>235321</v>
      </c>
      <c r="W212" s="6">
        <v>18341</v>
      </c>
      <c r="X212" s="6">
        <v>253662</v>
      </c>
      <c r="Y212" s="6">
        <v>5333</v>
      </c>
      <c r="Z212" s="6">
        <v>0</v>
      </c>
      <c r="AA212" s="6">
        <v>258995</v>
      </c>
      <c r="AB212" s="142">
        <f>Table6[[#This Row],[Total Operating Income]]/Table6[[#This Row],[Total Population Served]]</f>
        <v>35.61537403740374</v>
      </c>
    </row>
    <row r="213" spans="1:28" ht="13.5" thickBot="1" x14ac:dyDescent="0.25">
      <c r="A213" s="2" t="s">
        <v>706</v>
      </c>
      <c r="B213" s="1" t="s">
        <v>705</v>
      </c>
      <c r="C213" s="2" t="s">
        <v>32</v>
      </c>
      <c r="D213" s="2" t="s">
        <v>1228</v>
      </c>
      <c r="E213" s="3" t="s">
        <v>264</v>
      </c>
      <c r="F213" s="3" t="s">
        <v>265</v>
      </c>
      <c r="G213" s="4">
        <v>11377</v>
      </c>
      <c r="H213" s="4">
        <v>4069</v>
      </c>
      <c r="I213" s="6">
        <v>23111</v>
      </c>
      <c r="J213" s="6">
        <v>120899</v>
      </c>
      <c r="K213" s="78">
        <v>0</v>
      </c>
      <c r="L213" s="6">
        <v>14124</v>
      </c>
      <c r="M213" s="6">
        <v>158134</v>
      </c>
      <c r="N213" s="6">
        <v>25771</v>
      </c>
      <c r="O213" s="77">
        <v>7308</v>
      </c>
      <c r="P213" s="6">
        <v>41507</v>
      </c>
      <c r="Q213" s="78">
        <v>0</v>
      </c>
      <c r="R213" s="6">
        <v>35319</v>
      </c>
      <c r="S213" s="6">
        <v>7300</v>
      </c>
      <c r="T213" s="6">
        <v>84126</v>
      </c>
      <c r="U213" s="78">
        <v>0</v>
      </c>
      <c r="V213" s="6">
        <v>242260</v>
      </c>
      <c r="W213" s="6">
        <v>25771</v>
      </c>
      <c r="X213" s="6">
        <v>268031</v>
      </c>
      <c r="Y213" s="6">
        <v>7441</v>
      </c>
      <c r="Z213" s="6">
        <v>1112</v>
      </c>
      <c r="AA213" s="6">
        <v>276584</v>
      </c>
      <c r="AB213" s="142">
        <f>Table6[[#This Row],[Total Operating Income]]/Table6[[#This Row],[Total Population Served]]</f>
        <v>24.310802496264394</v>
      </c>
    </row>
    <row r="214" spans="1:28" ht="13.5" thickBot="1" x14ac:dyDescent="0.25">
      <c r="A214" s="2" t="s">
        <v>718</v>
      </c>
      <c r="B214" s="1" t="s">
        <v>717</v>
      </c>
      <c r="C214" s="2" t="s">
        <v>32</v>
      </c>
      <c r="D214" s="2" t="s">
        <v>1229</v>
      </c>
      <c r="E214" s="3" t="s">
        <v>27</v>
      </c>
      <c r="F214" s="3" t="s">
        <v>28</v>
      </c>
      <c r="G214" s="4">
        <v>8386</v>
      </c>
      <c r="H214" s="4">
        <v>4403</v>
      </c>
      <c r="I214" s="6">
        <v>22381</v>
      </c>
      <c r="J214" s="6">
        <v>217068</v>
      </c>
      <c r="K214" s="6">
        <v>0</v>
      </c>
      <c r="L214" s="6">
        <v>0</v>
      </c>
      <c r="M214" s="6">
        <v>239449</v>
      </c>
      <c r="N214" s="6">
        <v>10045</v>
      </c>
      <c r="O214" s="4">
        <v>3983</v>
      </c>
      <c r="P214" s="6">
        <v>8704</v>
      </c>
      <c r="Q214" s="6">
        <v>86443</v>
      </c>
      <c r="R214" s="6">
        <v>0</v>
      </c>
      <c r="S214" s="6">
        <v>0</v>
      </c>
      <c r="T214" s="6">
        <v>95147</v>
      </c>
      <c r="U214" s="6">
        <v>0</v>
      </c>
      <c r="V214" s="6">
        <v>334596</v>
      </c>
      <c r="W214" s="6">
        <v>10045</v>
      </c>
      <c r="X214" s="6">
        <v>344641</v>
      </c>
      <c r="Y214" s="6">
        <v>8538</v>
      </c>
      <c r="Z214" s="6">
        <v>0</v>
      </c>
      <c r="AA214" s="6">
        <v>353179</v>
      </c>
      <c r="AB214" s="142">
        <f>Table6[[#This Row],[Total Operating Income]]/Table6[[#This Row],[Total Population Served]]</f>
        <v>42.115311233007397</v>
      </c>
    </row>
    <row r="215" spans="1:28" ht="13.5" thickBot="1" x14ac:dyDescent="0.25">
      <c r="A215" s="2" t="s">
        <v>724</v>
      </c>
      <c r="B215" s="1" t="s">
        <v>723</v>
      </c>
      <c r="C215" s="2" t="s">
        <v>32</v>
      </c>
      <c r="D215" s="2" t="s">
        <v>1180</v>
      </c>
      <c r="E215" s="3" t="s">
        <v>67</v>
      </c>
      <c r="F215" s="3" t="s">
        <v>68</v>
      </c>
      <c r="G215" s="4">
        <v>9110</v>
      </c>
      <c r="H215" s="4">
        <v>9110</v>
      </c>
      <c r="I215" s="6">
        <v>18184</v>
      </c>
      <c r="J215" s="6">
        <v>60715</v>
      </c>
      <c r="K215" s="6">
        <v>138500</v>
      </c>
      <c r="L215" s="6">
        <v>0</v>
      </c>
      <c r="M215" s="6">
        <v>217399</v>
      </c>
      <c r="N215" s="6">
        <v>13038</v>
      </c>
      <c r="O215" s="78">
        <v>0</v>
      </c>
      <c r="P215" s="6">
        <v>0</v>
      </c>
      <c r="Q215" s="6">
        <v>0</v>
      </c>
      <c r="R215" s="6">
        <v>0</v>
      </c>
      <c r="S215" s="6">
        <v>0</v>
      </c>
      <c r="T215" s="6">
        <v>0</v>
      </c>
      <c r="U215" s="6">
        <v>0</v>
      </c>
      <c r="V215" s="6">
        <v>217399</v>
      </c>
      <c r="W215" s="6">
        <v>13038</v>
      </c>
      <c r="X215" s="6">
        <v>230437</v>
      </c>
      <c r="Y215" s="6">
        <v>5959</v>
      </c>
      <c r="Z215" s="6">
        <v>0</v>
      </c>
      <c r="AA215" s="6">
        <v>236396</v>
      </c>
      <c r="AB215" s="142">
        <f>Table6[[#This Row],[Total Operating Income]]/Table6[[#This Row],[Total Population Served]]</f>
        <v>25.949066959385291</v>
      </c>
    </row>
    <row r="216" spans="1:28" ht="13.5" thickBot="1" x14ac:dyDescent="0.25">
      <c r="A216" s="2" t="s">
        <v>726</v>
      </c>
      <c r="B216" s="1" t="s">
        <v>725</v>
      </c>
      <c r="C216" s="2" t="s">
        <v>32</v>
      </c>
      <c r="D216" s="2" t="s">
        <v>1261</v>
      </c>
      <c r="E216" s="3" t="s">
        <v>27</v>
      </c>
      <c r="F216" s="3" t="s">
        <v>28</v>
      </c>
      <c r="G216" s="4">
        <v>9645</v>
      </c>
      <c r="H216" s="4">
        <v>8599</v>
      </c>
      <c r="I216" s="6">
        <v>30690</v>
      </c>
      <c r="J216" s="6">
        <v>0</v>
      </c>
      <c r="K216" s="6">
        <v>369604</v>
      </c>
      <c r="L216" s="6">
        <v>1275</v>
      </c>
      <c r="M216" s="6">
        <v>401569</v>
      </c>
      <c r="N216" s="6">
        <v>43837</v>
      </c>
      <c r="O216" s="4">
        <v>1046</v>
      </c>
      <c r="P216" s="6">
        <v>3733</v>
      </c>
      <c r="Q216" s="6">
        <v>0</v>
      </c>
      <c r="R216" s="6">
        <v>0</v>
      </c>
      <c r="S216" s="6">
        <v>0</v>
      </c>
      <c r="T216" s="6">
        <v>3733</v>
      </c>
      <c r="U216" s="6">
        <v>0</v>
      </c>
      <c r="V216" s="6">
        <v>405302</v>
      </c>
      <c r="W216" s="6">
        <v>43837</v>
      </c>
      <c r="X216" s="6">
        <v>449139</v>
      </c>
      <c r="Y216" s="6">
        <v>6687</v>
      </c>
      <c r="Z216" s="6">
        <v>0</v>
      </c>
      <c r="AA216" s="6">
        <v>455826</v>
      </c>
      <c r="AB216" s="142">
        <f>Table6[[#This Row],[Total Operating Income]]/Table6[[#This Row],[Total Population Served]]</f>
        <v>47.260342146189736</v>
      </c>
    </row>
    <row r="217" spans="1:28" ht="13.5" thickBot="1" x14ac:dyDescent="0.25">
      <c r="A217" s="2" t="s">
        <v>742</v>
      </c>
      <c r="B217" s="1" t="s">
        <v>741</v>
      </c>
      <c r="C217" s="2" t="s">
        <v>32</v>
      </c>
      <c r="D217" s="2" t="s">
        <v>1226</v>
      </c>
      <c r="E217" s="3" t="s">
        <v>27</v>
      </c>
      <c r="F217" s="3" t="s">
        <v>28</v>
      </c>
      <c r="G217" s="4">
        <v>9301</v>
      </c>
      <c r="H217" s="4">
        <v>3606</v>
      </c>
      <c r="I217" s="6">
        <v>19267</v>
      </c>
      <c r="J217" s="6">
        <v>154510</v>
      </c>
      <c r="K217" s="6">
        <v>0</v>
      </c>
      <c r="L217" s="6">
        <v>9045</v>
      </c>
      <c r="M217" s="6">
        <v>182822</v>
      </c>
      <c r="N217" s="6">
        <v>661</v>
      </c>
      <c r="O217" s="77">
        <v>5695</v>
      </c>
      <c r="P217" s="6">
        <v>30428</v>
      </c>
      <c r="Q217" s="6">
        <v>0</v>
      </c>
      <c r="R217" s="6">
        <v>0</v>
      </c>
      <c r="S217" s="6">
        <v>5695</v>
      </c>
      <c r="T217" s="6">
        <v>36123</v>
      </c>
      <c r="U217" s="78">
        <v>0</v>
      </c>
      <c r="V217" s="6">
        <v>218945</v>
      </c>
      <c r="W217" s="6">
        <v>661</v>
      </c>
      <c r="X217" s="6">
        <v>219606</v>
      </c>
      <c r="Y217" s="6">
        <v>0</v>
      </c>
      <c r="Z217" s="6">
        <v>0</v>
      </c>
      <c r="AA217" s="6">
        <v>219606</v>
      </c>
      <c r="AB217" s="142">
        <f>Table6[[#This Row],[Total Operating Income]]/Table6[[#This Row],[Total Population Served]]</f>
        <v>23.611009568863562</v>
      </c>
    </row>
    <row r="218" spans="1:28" ht="13.5" thickBot="1" x14ac:dyDescent="0.25">
      <c r="A218" s="2" t="s">
        <v>747</v>
      </c>
      <c r="B218" s="1" t="s">
        <v>746</v>
      </c>
      <c r="C218" s="2" t="s">
        <v>32</v>
      </c>
      <c r="D218" s="2" t="s">
        <v>1303</v>
      </c>
      <c r="E218" s="3" t="s">
        <v>27</v>
      </c>
      <c r="F218" s="3" t="s">
        <v>28</v>
      </c>
      <c r="G218" s="4">
        <v>7851</v>
      </c>
      <c r="H218" s="4">
        <v>7851</v>
      </c>
      <c r="I218" s="6">
        <v>43699.25</v>
      </c>
      <c r="J218" s="6">
        <v>108100</v>
      </c>
      <c r="K218" s="78">
        <v>0</v>
      </c>
      <c r="L218" s="78">
        <v>0</v>
      </c>
      <c r="M218" s="6">
        <v>151799.25</v>
      </c>
      <c r="N218" s="6">
        <v>3695</v>
      </c>
      <c r="O218" s="78">
        <v>0</v>
      </c>
      <c r="P218" s="78">
        <v>0</v>
      </c>
      <c r="Q218" s="2">
        <v>0</v>
      </c>
      <c r="R218" s="78">
        <v>0</v>
      </c>
      <c r="S218" s="2">
        <v>0</v>
      </c>
      <c r="T218" s="78">
        <v>0</v>
      </c>
      <c r="U218" s="2">
        <v>0</v>
      </c>
      <c r="V218" s="6">
        <v>151799.25</v>
      </c>
      <c r="W218" s="6">
        <v>3695</v>
      </c>
      <c r="X218" s="6">
        <v>155494.25</v>
      </c>
      <c r="Y218" s="6">
        <v>3586</v>
      </c>
      <c r="Z218" s="6">
        <v>986</v>
      </c>
      <c r="AA218" s="6">
        <v>160066.25</v>
      </c>
      <c r="AB218" s="142">
        <f>Table6[[#This Row],[Total Operating Income]]/Table6[[#This Row],[Total Population Served]]</f>
        <v>20.388007897083174</v>
      </c>
    </row>
    <row r="219" spans="1:28" ht="13.5" thickBot="1" x14ac:dyDescent="0.25">
      <c r="A219" s="2" t="s">
        <v>749</v>
      </c>
      <c r="B219" s="1" t="s">
        <v>748</v>
      </c>
      <c r="C219" s="2" t="s">
        <v>32</v>
      </c>
      <c r="D219" s="2" t="s">
        <v>1178</v>
      </c>
      <c r="E219" s="3" t="s">
        <v>27</v>
      </c>
      <c r="F219" s="3" t="s">
        <v>28</v>
      </c>
      <c r="G219" s="4">
        <v>10250</v>
      </c>
      <c r="H219" s="4">
        <v>9845</v>
      </c>
      <c r="I219" s="6">
        <v>49540</v>
      </c>
      <c r="J219" s="6">
        <v>224867</v>
      </c>
      <c r="K219" s="6">
        <v>16185</v>
      </c>
      <c r="L219" s="6">
        <v>20953</v>
      </c>
      <c r="M219" s="6">
        <v>311545</v>
      </c>
      <c r="N219" s="6">
        <v>31634</v>
      </c>
      <c r="O219" s="77">
        <v>405</v>
      </c>
      <c r="P219" s="6">
        <v>1947</v>
      </c>
      <c r="Q219" s="6">
        <v>10716</v>
      </c>
      <c r="R219" s="2">
        <v>0</v>
      </c>
      <c r="S219" s="2">
        <v>0</v>
      </c>
      <c r="T219" s="6">
        <v>12663</v>
      </c>
      <c r="U219" s="6">
        <v>862</v>
      </c>
      <c r="V219" s="6">
        <v>324208</v>
      </c>
      <c r="W219" s="6">
        <v>32496</v>
      </c>
      <c r="X219" s="6">
        <v>356704</v>
      </c>
      <c r="Y219" s="6">
        <v>7106</v>
      </c>
      <c r="Z219" s="6">
        <v>4738</v>
      </c>
      <c r="AA219" s="6">
        <v>368548</v>
      </c>
      <c r="AB219" s="142">
        <f>Table6[[#This Row],[Total Operating Income]]/Table6[[#This Row],[Total Population Served]]</f>
        <v>35.955902439024392</v>
      </c>
    </row>
    <row r="220" spans="1:28" ht="13.5" thickBot="1" x14ac:dyDescent="0.25">
      <c r="A220" s="2" t="s">
        <v>759</v>
      </c>
      <c r="B220" s="1" t="s">
        <v>758</v>
      </c>
      <c r="C220" s="2" t="s">
        <v>32</v>
      </c>
      <c r="D220" s="2" t="s">
        <v>1138</v>
      </c>
      <c r="E220" s="3" t="s">
        <v>27</v>
      </c>
      <c r="F220" s="3" t="s">
        <v>28</v>
      </c>
      <c r="G220" s="4">
        <v>10662</v>
      </c>
      <c r="H220" s="4">
        <v>7482</v>
      </c>
      <c r="I220" s="6">
        <v>58453</v>
      </c>
      <c r="J220" s="6">
        <v>120955</v>
      </c>
      <c r="K220" s="6">
        <v>0</v>
      </c>
      <c r="L220" s="6">
        <v>2062</v>
      </c>
      <c r="M220" s="6">
        <v>181470</v>
      </c>
      <c r="N220" s="6">
        <v>17813</v>
      </c>
      <c r="O220" s="4">
        <v>3180</v>
      </c>
      <c r="P220" s="6">
        <v>20725</v>
      </c>
      <c r="Q220" s="6">
        <v>39955</v>
      </c>
      <c r="R220" s="6">
        <v>0</v>
      </c>
      <c r="S220" s="6">
        <v>0</v>
      </c>
      <c r="T220" s="6">
        <v>60680</v>
      </c>
      <c r="U220" s="6">
        <v>0</v>
      </c>
      <c r="V220" s="6">
        <v>242150</v>
      </c>
      <c r="W220" s="6">
        <v>17813</v>
      </c>
      <c r="X220" s="6">
        <v>259963</v>
      </c>
      <c r="Y220" s="6">
        <v>7557</v>
      </c>
      <c r="Z220" s="6">
        <v>0</v>
      </c>
      <c r="AA220" s="6">
        <v>267520</v>
      </c>
      <c r="AB220" s="142">
        <f>Table6[[#This Row],[Total Operating Income]]/Table6[[#This Row],[Total Population Served]]</f>
        <v>25.090977302569875</v>
      </c>
    </row>
    <row r="221" spans="1:28" ht="13.5" thickBot="1" x14ac:dyDescent="0.25">
      <c r="A221" s="2" t="s">
        <v>763</v>
      </c>
      <c r="B221" s="1" t="s">
        <v>762</v>
      </c>
      <c r="C221" s="2" t="s">
        <v>32</v>
      </c>
      <c r="D221" s="2" t="s">
        <v>1164</v>
      </c>
      <c r="E221" s="3" t="s">
        <v>67</v>
      </c>
      <c r="F221" s="3" t="s">
        <v>68</v>
      </c>
      <c r="G221" s="4">
        <v>11985</v>
      </c>
      <c r="H221" s="4">
        <v>11985</v>
      </c>
      <c r="I221" s="6">
        <v>42589</v>
      </c>
      <c r="J221" s="6">
        <v>289071</v>
      </c>
      <c r="K221" s="6">
        <v>0</v>
      </c>
      <c r="L221" s="6">
        <v>85746</v>
      </c>
      <c r="M221" s="6">
        <v>417406</v>
      </c>
      <c r="N221" s="6">
        <v>23095</v>
      </c>
      <c r="O221" s="2">
        <v>0</v>
      </c>
      <c r="P221" s="2">
        <v>0</v>
      </c>
      <c r="Q221" s="2">
        <v>0</v>
      </c>
      <c r="R221" s="2">
        <v>0</v>
      </c>
      <c r="S221" s="2">
        <v>0</v>
      </c>
      <c r="T221" s="2">
        <v>0</v>
      </c>
      <c r="U221" s="2">
        <v>0</v>
      </c>
      <c r="V221" s="6">
        <v>417406</v>
      </c>
      <c r="W221" s="6">
        <v>23095</v>
      </c>
      <c r="X221" s="6">
        <v>440501</v>
      </c>
      <c r="Y221" s="6">
        <v>7839</v>
      </c>
      <c r="Z221" s="6">
        <v>0</v>
      </c>
      <c r="AA221" s="6">
        <v>448340</v>
      </c>
      <c r="AB221" s="142">
        <f>Table6[[#This Row],[Total Operating Income]]/Table6[[#This Row],[Total Population Served]]</f>
        <v>37.408427200667504</v>
      </c>
    </row>
    <row r="222" spans="1:28" ht="13.5" thickBot="1" x14ac:dyDescent="0.25">
      <c r="A222" s="2" t="s">
        <v>765</v>
      </c>
      <c r="B222" s="1" t="s">
        <v>764</v>
      </c>
      <c r="C222" s="2" t="s">
        <v>32</v>
      </c>
      <c r="D222" s="2" t="s">
        <v>1138</v>
      </c>
      <c r="E222" s="3" t="s">
        <v>27</v>
      </c>
      <c r="F222" s="3" t="s">
        <v>28</v>
      </c>
      <c r="G222" s="4">
        <v>8147</v>
      </c>
      <c r="H222" s="4">
        <v>2910</v>
      </c>
      <c r="I222" s="6">
        <v>22734</v>
      </c>
      <c r="J222" s="6">
        <v>47034</v>
      </c>
      <c r="K222" s="2">
        <v>0</v>
      </c>
      <c r="L222" s="78">
        <v>0</v>
      </c>
      <c r="M222" s="6">
        <v>69768</v>
      </c>
      <c r="N222" s="6">
        <v>13015</v>
      </c>
      <c r="O222" s="77">
        <v>5237</v>
      </c>
      <c r="P222" s="6">
        <v>40913</v>
      </c>
      <c r="Q222" s="6">
        <v>84645</v>
      </c>
      <c r="R222" s="2">
        <v>0</v>
      </c>
      <c r="S222" s="2">
        <v>0</v>
      </c>
      <c r="T222" s="6">
        <v>125558</v>
      </c>
      <c r="U222" s="2">
        <v>0</v>
      </c>
      <c r="V222" s="6">
        <v>195326</v>
      </c>
      <c r="W222" s="6">
        <v>13015</v>
      </c>
      <c r="X222" s="6">
        <v>208341</v>
      </c>
      <c r="Y222" s="6">
        <v>5648</v>
      </c>
      <c r="Z222" s="6">
        <v>450</v>
      </c>
      <c r="AA222" s="6">
        <v>214439</v>
      </c>
      <c r="AB222" s="142">
        <f>Table6[[#This Row],[Total Operating Income]]/Table6[[#This Row],[Total Population Served]]</f>
        <v>26.321222535902788</v>
      </c>
    </row>
    <row r="223" spans="1:28" ht="13.5" thickBot="1" x14ac:dyDescent="0.25">
      <c r="A223" s="2" t="s">
        <v>773</v>
      </c>
      <c r="B223" s="1" t="s">
        <v>772</v>
      </c>
      <c r="C223" s="2" t="s">
        <v>32</v>
      </c>
      <c r="D223" s="2" t="s">
        <v>1178</v>
      </c>
      <c r="E223" s="3" t="s">
        <v>456</v>
      </c>
      <c r="F223" s="3" t="s">
        <v>457</v>
      </c>
      <c r="G223" s="4">
        <v>9714</v>
      </c>
      <c r="H223" s="4">
        <v>5310</v>
      </c>
      <c r="I223" s="6">
        <v>46679</v>
      </c>
      <c r="J223" s="6">
        <v>225902</v>
      </c>
      <c r="K223" s="2">
        <v>0</v>
      </c>
      <c r="L223" s="6">
        <v>0</v>
      </c>
      <c r="M223" s="6">
        <v>272581</v>
      </c>
      <c r="N223" s="6">
        <v>31591</v>
      </c>
      <c r="O223" s="4">
        <v>4404</v>
      </c>
      <c r="P223" s="78">
        <v>0</v>
      </c>
      <c r="Q223" s="2">
        <v>0</v>
      </c>
      <c r="R223" s="2">
        <v>0</v>
      </c>
      <c r="S223" s="2">
        <v>0</v>
      </c>
      <c r="T223" s="78">
        <v>0</v>
      </c>
      <c r="U223" s="2">
        <v>0</v>
      </c>
      <c r="V223" s="6">
        <v>272581</v>
      </c>
      <c r="W223" s="6">
        <v>31591</v>
      </c>
      <c r="X223" s="6">
        <v>304172</v>
      </c>
      <c r="Y223" s="6">
        <v>7008</v>
      </c>
      <c r="Z223" s="6">
        <v>0</v>
      </c>
      <c r="AA223" s="6">
        <v>311180</v>
      </c>
      <c r="AB223" s="142">
        <f>Table6[[#This Row],[Total Operating Income]]/Table6[[#This Row],[Total Population Served]]</f>
        <v>32.034177475808114</v>
      </c>
    </row>
    <row r="224" spans="1:28" ht="13.5" thickBot="1" x14ac:dyDescent="0.25">
      <c r="A224" s="2" t="s">
        <v>803</v>
      </c>
      <c r="B224" s="1" t="s">
        <v>802</v>
      </c>
      <c r="C224" s="2" t="s">
        <v>32</v>
      </c>
      <c r="D224" s="2" t="s">
        <v>1151</v>
      </c>
      <c r="E224" s="3" t="s">
        <v>27</v>
      </c>
      <c r="F224" s="3" t="s">
        <v>28</v>
      </c>
      <c r="G224" s="4">
        <v>9514</v>
      </c>
      <c r="H224" s="4">
        <v>9514</v>
      </c>
      <c r="I224" s="6">
        <v>59814</v>
      </c>
      <c r="J224" s="6">
        <v>2428</v>
      </c>
      <c r="K224" s="78">
        <v>0</v>
      </c>
      <c r="L224" s="6">
        <v>8800</v>
      </c>
      <c r="M224" s="6">
        <v>71042</v>
      </c>
      <c r="N224" s="6">
        <v>17444</v>
      </c>
      <c r="O224" s="78">
        <v>0</v>
      </c>
      <c r="P224" s="78">
        <v>0</v>
      </c>
      <c r="Q224" s="78">
        <v>0</v>
      </c>
      <c r="R224" s="78">
        <v>0</v>
      </c>
      <c r="S224" s="78">
        <v>0</v>
      </c>
      <c r="T224" s="78">
        <v>0</v>
      </c>
      <c r="U224" s="78">
        <v>0</v>
      </c>
      <c r="V224" s="6">
        <v>71042</v>
      </c>
      <c r="W224" s="6">
        <v>17444</v>
      </c>
      <c r="X224" s="6">
        <v>88486</v>
      </c>
      <c r="Y224" s="6">
        <v>6596</v>
      </c>
      <c r="Z224" s="6">
        <v>0</v>
      </c>
      <c r="AA224" s="6">
        <v>95082</v>
      </c>
      <c r="AB224" s="142">
        <f>Table6[[#This Row],[Total Operating Income]]/Table6[[#This Row],[Total Population Served]]</f>
        <v>9.9939037208324581</v>
      </c>
    </row>
    <row r="225" spans="1:28" ht="13.5" thickBot="1" x14ac:dyDescent="0.25">
      <c r="A225" s="2" t="s">
        <v>817</v>
      </c>
      <c r="B225" s="1" t="s">
        <v>816</v>
      </c>
      <c r="C225" s="2" t="s">
        <v>32</v>
      </c>
      <c r="D225" s="2" t="s">
        <v>1272</v>
      </c>
      <c r="E225" s="3" t="s">
        <v>27</v>
      </c>
      <c r="F225" s="3" t="s">
        <v>28</v>
      </c>
      <c r="G225" s="4">
        <v>9138</v>
      </c>
      <c r="H225" s="4">
        <v>9138</v>
      </c>
      <c r="I225" s="6">
        <v>115915</v>
      </c>
      <c r="J225" s="6">
        <v>119875</v>
      </c>
      <c r="K225" s="78">
        <v>0</v>
      </c>
      <c r="L225" s="6">
        <v>44708</v>
      </c>
      <c r="M225" s="6">
        <v>280498</v>
      </c>
      <c r="N225" s="6">
        <v>5892</v>
      </c>
      <c r="O225" s="78">
        <v>0</v>
      </c>
      <c r="P225" s="78">
        <v>0</v>
      </c>
      <c r="Q225" s="78">
        <v>0</v>
      </c>
      <c r="R225" s="78">
        <v>0</v>
      </c>
      <c r="S225" s="2">
        <v>0</v>
      </c>
      <c r="T225" s="78">
        <v>0</v>
      </c>
      <c r="U225" s="78">
        <v>0</v>
      </c>
      <c r="V225" s="6">
        <v>280498</v>
      </c>
      <c r="W225" s="6">
        <v>5892</v>
      </c>
      <c r="X225" s="6">
        <v>286390</v>
      </c>
      <c r="Y225" s="6">
        <v>6335</v>
      </c>
      <c r="Z225" s="6">
        <v>0</v>
      </c>
      <c r="AA225" s="6">
        <v>292725</v>
      </c>
      <c r="AB225" s="142">
        <f>Table6[[#This Row],[Total Operating Income]]/Table6[[#This Row],[Total Population Served]]</f>
        <v>32.033814839133292</v>
      </c>
    </row>
    <row r="226" spans="1:28" ht="13.5" thickBot="1" x14ac:dyDescent="0.25">
      <c r="A226" s="2" t="s">
        <v>819</v>
      </c>
      <c r="B226" s="1" t="s">
        <v>818</v>
      </c>
      <c r="C226" s="2" t="s">
        <v>32</v>
      </c>
      <c r="D226" s="2" t="s">
        <v>1196</v>
      </c>
      <c r="E226" s="3" t="s">
        <v>27</v>
      </c>
      <c r="F226" s="3" t="s">
        <v>28</v>
      </c>
      <c r="G226" s="4">
        <v>7370</v>
      </c>
      <c r="H226" s="4">
        <v>7370</v>
      </c>
      <c r="I226" s="6">
        <v>32237</v>
      </c>
      <c r="J226" s="6">
        <v>384768</v>
      </c>
      <c r="K226" s="6">
        <v>8878</v>
      </c>
      <c r="L226" s="6">
        <v>0</v>
      </c>
      <c r="M226" s="6">
        <v>425883</v>
      </c>
      <c r="N226" s="6">
        <v>14472</v>
      </c>
      <c r="O226" s="78">
        <v>0</v>
      </c>
      <c r="P226" s="78">
        <v>0</v>
      </c>
      <c r="Q226" s="2">
        <v>0</v>
      </c>
      <c r="R226" s="2">
        <v>0</v>
      </c>
      <c r="S226" s="2">
        <v>0</v>
      </c>
      <c r="T226" s="78">
        <v>0</v>
      </c>
      <c r="U226" s="2">
        <v>0</v>
      </c>
      <c r="V226" s="6">
        <v>425883</v>
      </c>
      <c r="W226" s="6">
        <v>14472</v>
      </c>
      <c r="X226" s="6">
        <v>440355</v>
      </c>
      <c r="Y226" s="6">
        <v>8878</v>
      </c>
      <c r="Z226" s="6">
        <v>0</v>
      </c>
      <c r="AA226" s="6">
        <v>449233</v>
      </c>
      <c r="AB226" s="142">
        <f>Table6[[#This Row],[Total Operating Income]]/Table6[[#This Row],[Total Population Served]]</f>
        <v>60.954274084124833</v>
      </c>
    </row>
    <row r="227" spans="1:28" ht="13.5" thickBot="1" x14ac:dyDescent="0.25">
      <c r="A227" s="2" t="s">
        <v>823</v>
      </c>
      <c r="B227" s="1" t="s">
        <v>822</v>
      </c>
      <c r="C227" s="2" t="s">
        <v>32</v>
      </c>
      <c r="D227" s="2" t="s">
        <v>1195</v>
      </c>
      <c r="E227" s="3" t="s">
        <v>27</v>
      </c>
      <c r="F227" s="3" t="s">
        <v>28</v>
      </c>
      <c r="G227" s="4">
        <v>8533</v>
      </c>
      <c r="H227" s="4">
        <v>7634</v>
      </c>
      <c r="I227" s="6">
        <v>25515</v>
      </c>
      <c r="J227" s="6">
        <v>236901</v>
      </c>
      <c r="K227" s="78">
        <v>0</v>
      </c>
      <c r="L227" s="6">
        <v>69806</v>
      </c>
      <c r="M227" s="6">
        <v>332222</v>
      </c>
      <c r="N227" s="78">
        <v>0</v>
      </c>
      <c r="O227" s="77">
        <v>899</v>
      </c>
      <c r="P227" s="6">
        <v>3005</v>
      </c>
      <c r="Q227" s="78">
        <v>0</v>
      </c>
      <c r="R227" s="78">
        <v>0</v>
      </c>
      <c r="S227" s="78">
        <v>0</v>
      </c>
      <c r="T227" s="6">
        <v>3005</v>
      </c>
      <c r="U227" s="78">
        <v>0</v>
      </c>
      <c r="V227" s="6">
        <v>335227</v>
      </c>
      <c r="W227" s="78">
        <v>0</v>
      </c>
      <c r="X227" s="6">
        <v>335227</v>
      </c>
      <c r="Y227" s="6">
        <v>5916</v>
      </c>
      <c r="Z227" s="6">
        <v>0</v>
      </c>
      <c r="AA227" s="6">
        <v>341143</v>
      </c>
      <c r="AB227" s="142">
        <f>Table6[[#This Row],[Total Operating Income]]/Table6[[#This Row],[Total Population Served]]</f>
        <v>39.979257002226646</v>
      </c>
    </row>
    <row r="228" spans="1:28" ht="13.5" thickBot="1" x14ac:dyDescent="0.25">
      <c r="A228" s="2" t="s">
        <v>825</v>
      </c>
      <c r="B228" s="1" t="s">
        <v>824</v>
      </c>
      <c r="C228" s="2" t="s">
        <v>32</v>
      </c>
      <c r="D228" s="2" t="s">
        <v>1216</v>
      </c>
      <c r="E228" s="3" t="s">
        <v>22</v>
      </c>
      <c r="F228" s="3" t="s">
        <v>23</v>
      </c>
      <c r="G228" s="4">
        <v>11811</v>
      </c>
      <c r="H228" s="4">
        <v>11811</v>
      </c>
      <c r="I228" s="6">
        <v>22276</v>
      </c>
      <c r="J228" s="6">
        <v>292781</v>
      </c>
      <c r="K228" s="78">
        <v>0</v>
      </c>
      <c r="L228" s="6">
        <v>6624</v>
      </c>
      <c r="M228" s="6">
        <v>321681</v>
      </c>
      <c r="N228" s="6">
        <v>40569</v>
      </c>
      <c r="O228" s="2">
        <v>0</v>
      </c>
      <c r="P228" s="2">
        <v>0</v>
      </c>
      <c r="Q228" s="2">
        <v>0</v>
      </c>
      <c r="R228" s="2">
        <v>0</v>
      </c>
      <c r="S228" s="2">
        <v>0</v>
      </c>
      <c r="T228" s="2">
        <v>0</v>
      </c>
      <c r="U228" s="2">
        <v>0</v>
      </c>
      <c r="V228" s="6">
        <v>321681</v>
      </c>
      <c r="W228" s="6">
        <v>40569</v>
      </c>
      <c r="X228" s="6">
        <v>362250</v>
      </c>
      <c r="Y228" s="6">
        <v>7726</v>
      </c>
      <c r="Z228" s="6">
        <v>976</v>
      </c>
      <c r="AA228" s="6">
        <v>370952</v>
      </c>
      <c r="AB228" s="142">
        <f>Table6[[#This Row],[Total Operating Income]]/Table6[[#This Row],[Total Population Served]]</f>
        <v>31.407332147997629</v>
      </c>
    </row>
    <row r="229" spans="1:28" ht="13.5" thickBot="1" x14ac:dyDescent="0.25">
      <c r="A229" s="2" t="s">
        <v>831</v>
      </c>
      <c r="B229" s="1" t="s">
        <v>830</v>
      </c>
      <c r="C229" s="2" t="s">
        <v>32</v>
      </c>
      <c r="D229" s="2" t="s">
        <v>1178</v>
      </c>
      <c r="E229" s="3" t="s">
        <v>27</v>
      </c>
      <c r="F229" s="3" t="s">
        <v>28</v>
      </c>
      <c r="G229" s="4">
        <v>10014</v>
      </c>
      <c r="H229" s="4">
        <v>10014</v>
      </c>
      <c r="I229" s="6">
        <v>48065</v>
      </c>
      <c r="J229" s="6">
        <v>138090</v>
      </c>
      <c r="K229" s="78">
        <v>0</v>
      </c>
      <c r="L229" s="78">
        <v>0</v>
      </c>
      <c r="M229" s="6">
        <v>186155</v>
      </c>
      <c r="N229" s="6">
        <v>35623</v>
      </c>
      <c r="O229" s="78">
        <v>0</v>
      </c>
      <c r="P229" s="78">
        <v>0</v>
      </c>
      <c r="Q229" s="2">
        <v>0</v>
      </c>
      <c r="R229" s="2">
        <v>0</v>
      </c>
      <c r="S229" s="78">
        <v>0</v>
      </c>
      <c r="T229" s="78">
        <v>0</v>
      </c>
      <c r="U229" s="2">
        <v>0</v>
      </c>
      <c r="V229" s="6">
        <v>186155</v>
      </c>
      <c r="W229" s="6">
        <v>35623</v>
      </c>
      <c r="X229" s="6">
        <v>221778</v>
      </c>
      <c r="Y229" s="6">
        <v>12229</v>
      </c>
      <c r="Z229" s="6">
        <v>0</v>
      </c>
      <c r="AA229" s="6">
        <v>234007</v>
      </c>
      <c r="AB229" s="142">
        <f>Table6[[#This Row],[Total Operating Income]]/Table6[[#This Row],[Total Population Served]]</f>
        <v>23.36798482125025</v>
      </c>
    </row>
    <row r="230" spans="1:28" ht="13.5" thickBot="1" x14ac:dyDescent="0.25">
      <c r="A230" s="2" t="s">
        <v>26</v>
      </c>
      <c r="B230" s="1" t="s">
        <v>25</v>
      </c>
      <c r="C230" s="2" t="s">
        <v>29</v>
      </c>
      <c r="D230" s="2" t="s">
        <v>1126</v>
      </c>
      <c r="E230" s="3" t="s">
        <v>27</v>
      </c>
      <c r="F230" s="3" t="s">
        <v>28</v>
      </c>
      <c r="G230" s="4">
        <v>21133</v>
      </c>
      <c r="H230" s="4">
        <v>21133</v>
      </c>
      <c r="I230" s="6">
        <v>57805</v>
      </c>
      <c r="J230" s="6">
        <v>873749</v>
      </c>
      <c r="K230" s="2">
        <v>0</v>
      </c>
      <c r="L230" s="78">
        <v>0</v>
      </c>
      <c r="M230" s="6">
        <v>931554</v>
      </c>
      <c r="N230" s="6">
        <v>19928</v>
      </c>
      <c r="O230" s="2">
        <v>0</v>
      </c>
      <c r="P230" s="78">
        <v>0</v>
      </c>
      <c r="Q230" s="78">
        <v>0</v>
      </c>
      <c r="R230" s="2">
        <v>0</v>
      </c>
      <c r="S230" s="2">
        <v>0</v>
      </c>
      <c r="T230" s="78">
        <v>0</v>
      </c>
      <c r="U230" s="2">
        <v>0</v>
      </c>
      <c r="V230" s="6">
        <v>931554</v>
      </c>
      <c r="W230" s="6">
        <v>19928</v>
      </c>
      <c r="X230" s="6">
        <v>951482</v>
      </c>
      <c r="Y230" s="6">
        <v>7692</v>
      </c>
      <c r="Z230" s="6">
        <v>0</v>
      </c>
      <c r="AA230" s="6">
        <v>959174</v>
      </c>
      <c r="AB230" s="142">
        <f>Table6[[#This Row],[Total Operating Income]]/Table6[[#This Row],[Total Population Served]]</f>
        <v>45.387498225524062</v>
      </c>
    </row>
    <row r="231" spans="1:28" ht="13.5" thickBot="1" x14ac:dyDescent="0.25">
      <c r="A231" s="2" t="s">
        <v>42</v>
      </c>
      <c r="B231" s="1" t="s">
        <v>41</v>
      </c>
      <c r="C231" s="2" t="s">
        <v>29</v>
      </c>
      <c r="D231" s="2" t="s">
        <v>1133</v>
      </c>
      <c r="E231" s="3" t="s">
        <v>14</v>
      </c>
      <c r="F231" s="3" t="s">
        <v>15</v>
      </c>
      <c r="G231" s="4">
        <v>17401</v>
      </c>
      <c r="H231" s="4">
        <v>16743</v>
      </c>
      <c r="I231" s="6">
        <v>117201</v>
      </c>
      <c r="J231" s="6">
        <v>968913</v>
      </c>
      <c r="K231" s="6">
        <v>0</v>
      </c>
      <c r="L231" s="6">
        <v>0</v>
      </c>
      <c r="M231" s="6">
        <v>1086114</v>
      </c>
      <c r="N231" s="6">
        <v>15896</v>
      </c>
      <c r="O231" s="77">
        <v>658</v>
      </c>
      <c r="P231" s="6">
        <v>4606</v>
      </c>
      <c r="Q231" s="6">
        <v>38076</v>
      </c>
      <c r="R231" s="6">
        <v>0</v>
      </c>
      <c r="S231" s="6">
        <v>0</v>
      </c>
      <c r="T231" s="6">
        <v>42682</v>
      </c>
      <c r="U231" s="6">
        <v>0</v>
      </c>
      <c r="V231" s="6">
        <v>1128796</v>
      </c>
      <c r="W231" s="6">
        <v>15896</v>
      </c>
      <c r="X231" s="6">
        <v>1144692</v>
      </c>
      <c r="Y231" s="6">
        <v>12064</v>
      </c>
      <c r="Z231" s="6">
        <v>0</v>
      </c>
      <c r="AA231" s="6">
        <v>1156756</v>
      </c>
      <c r="AB231" s="142">
        <f>Table6[[#This Row],[Total Operating Income]]/Table6[[#This Row],[Total Population Served]]</f>
        <v>66.476409401758517</v>
      </c>
    </row>
    <row r="232" spans="1:28" ht="13.5" thickBot="1" x14ac:dyDescent="0.25">
      <c r="A232" s="2" t="s">
        <v>70</v>
      </c>
      <c r="B232" s="1" t="s">
        <v>69</v>
      </c>
      <c r="C232" s="2" t="s">
        <v>29</v>
      </c>
      <c r="D232" s="2" t="s">
        <v>1125</v>
      </c>
      <c r="E232" s="3" t="s">
        <v>71</v>
      </c>
      <c r="F232" s="3" t="s">
        <v>72</v>
      </c>
      <c r="G232" s="4">
        <v>21412</v>
      </c>
      <c r="H232" s="4">
        <v>21412</v>
      </c>
      <c r="I232" s="6">
        <v>43363</v>
      </c>
      <c r="J232" s="6">
        <v>1008098</v>
      </c>
      <c r="K232" s="6">
        <v>249408</v>
      </c>
      <c r="L232" s="6">
        <v>23577</v>
      </c>
      <c r="M232" s="6">
        <v>1324446</v>
      </c>
      <c r="N232" s="6">
        <v>28310</v>
      </c>
      <c r="O232" s="78">
        <v>0</v>
      </c>
      <c r="P232" s="2">
        <v>0</v>
      </c>
      <c r="Q232" s="2">
        <v>0</v>
      </c>
      <c r="R232" s="2">
        <v>0</v>
      </c>
      <c r="S232" s="2">
        <v>0</v>
      </c>
      <c r="T232" s="2">
        <v>0</v>
      </c>
      <c r="U232" s="2">
        <v>0</v>
      </c>
      <c r="V232" s="6">
        <v>1324446</v>
      </c>
      <c r="W232" s="6">
        <v>28310</v>
      </c>
      <c r="X232" s="6">
        <v>1352756</v>
      </c>
      <c r="Y232" s="6">
        <v>15634</v>
      </c>
      <c r="Z232" s="6">
        <v>0</v>
      </c>
      <c r="AA232" s="6">
        <v>1368390</v>
      </c>
      <c r="AB232" s="142">
        <f>Table6[[#This Row],[Total Operating Income]]/Table6[[#This Row],[Total Population Served]]</f>
        <v>63.907621894264899</v>
      </c>
    </row>
    <row r="233" spans="1:28" ht="13.5" thickBot="1" x14ac:dyDescent="0.25">
      <c r="A233" s="2" t="s">
        <v>76</v>
      </c>
      <c r="B233" s="1" t="s">
        <v>75</v>
      </c>
      <c r="C233" s="2" t="s">
        <v>29</v>
      </c>
      <c r="D233" s="2" t="s">
        <v>1134</v>
      </c>
      <c r="E233" s="3" t="s">
        <v>27</v>
      </c>
      <c r="F233" s="3" t="s">
        <v>28</v>
      </c>
      <c r="G233" s="4">
        <v>25883</v>
      </c>
      <c r="H233" s="4">
        <v>25883</v>
      </c>
      <c r="I233" s="6">
        <v>14744</v>
      </c>
      <c r="J233" s="6">
        <v>828592</v>
      </c>
      <c r="K233" s="6">
        <v>0</v>
      </c>
      <c r="L233" s="6">
        <v>0</v>
      </c>
      <c r="M233" s="6">
        <v>843336</v>
      </c>
      <c r="N233" s="6">
        <v>538142</v>
      </c>
      <c r="O233" s="2">
        <v>0</v>
      </c>
      <c r="P233" s="2">
        <v>0</v>
      </c>
      <c r="Q233" s="2">
        <v>0</v>
      </c>
      <c r="R233" s="2">
        <v>0</v>
      </c>
      <c r="S233" s="2">
        <v>0</v>
      </c>
      <c r="T233" s="2">
        <v>0</v>
      </c>
      <c r="U233" s="2">
        <v>0</v>
      </c>
      <c r="V233" s="6">
        <v>843336</v>
      </c>
      <c r="W233" s="6">
        <v>538142</v>
      </c>
      <c r="X233" s="6">
        <v>1381478</v>
      </c>
      <c r="Y233" s="6">
        <v>18981</v>
      </c>
      <c r="Z233" s="6">
        <v>0</v>
      </c>
      <c r="AA233" s="6">
        <v>1400459</v>
      </c>
      <c r="AB233" s="142">
        <f>Table6[[#This Row],[Total Operating Income]]/Table6[[#This Row],[Total Population Served]]</f>
        <v>54.107290499555695</v>
      </c>
    </row>
    <row r="234" spans="1:28" ht="13.5" thickBot="1" x14ac:dyDescent="0.25">
      <c r="A234" s="2" t="s">
        <v>96</v>
      </c>
      <c r="B234" s="1" t="s">
        <v>95</v>
      </c>
      <c r="C234" s="2" t="s">
        <v>29</v>
      </c>
      <c r="D234" s="2" t="s">
        <v>1157</v>
      </c>
      <c r="E234" s="3" t="s">
        <v>27</v>
      </c>
      <c r="F234" s="3" t="s">
        <v>28</v>
      </c>
      <c r="G234" s="4">
        <v>24787</v>
      </c>
      <c r="H234" s="4">
        <v>10038</v>
      </c>
      <c r="I234" s="6">
        <v>81263</v>
      </c>
      <c r="J234" s="6">
        <v>327872</v>
      </c>
      <c r="K234" s="78">
        <v>0</v>
      </c>
      <c r="L234" s="6">
        <v>13591</v>
      </c>
      <c r="M234" s="6">
        <v>422726</v>
      </c>
      <c r="N234" s="6">
        <v>14576</v>
      </c>
      <c r="O234" s="4">
        <v>14749</v>
      </c>
      <c r="P234" s="6">
        <v>120833</v>
      </c>
      <c r="Q234" s="78">
        <v>0</v>
      </c>
      <c r="R234" s="78">
        <v>0</v>
      </c>
      <c r="S234" s="78">
        <v>0</v>
      </c>
      <c r="T234" s="6">
        <v>120833</v>
      </c>
      <c r="U234" s="6">
        <v>20000</v>
      </c>
      <c r="V234" s="6">
        <v>543559</v>
      </c>
      <c r="W234" s="6">
        <v>34576</v>
      </c>
      <c r="X234" s="6">
        <v>578135</v>
      </c>
      <c r="Y234" s="6">
        <v>24754</v>
      </c>
      <c r="Z234" s="6">
        <v>0</v>
      </c>
      <c r="AA234" s="6">
        <v>602889</v>
      </c>
      <c r="AB234" s="142">
        <f>Table6[[#This Row],[Total Operating Income]]/Table6[[#This Row],[Total Population Served]]</f>
        <v>24.32279017226772</v>
      </c>
    </row>
    <row r="235" spans="1:28" ht="13.5" thickBot="1" x14ac:dyDescent="0.25">
      <c r="A235" s="2" t="s">
        <v>102</v>
      </c>
      <c r="B235" s="1" t="s">
        <v>101</v>
      </c>
      <c r="C235" s="2" t="s">
        <v>29</v>
      </c>
      <c r="D235" s="2" t="s">
        <v>1125</v>
      </c>
      <c r="E235" s="3" t="s">
        <v>27</v>
      </c>
      <c r="F235" s="3" t="s">
        <v>28</v>
      </c>
      <c r="G235" s="4">
        <v>14970</v>
      </c>
      <c r="H235" s="4">
        <v>14970</v>
      </c>
      <c r="I235" s="6">
        <v>30317</v>
      </c>
      <c r="J235" s="6">
        <v>0</v>
      </c>
      <c r="K235" s="6">
        <v>604365</v>
      </c>
      <c r="L235" s="6">
        <v>0</v>
      </c>
      <c r="M235" s="6">
        <v>634682</v>
      </c>
      <c r="N235" s="6">
        <v>63985</v>
      </c>
      <c r="O235" s="2">
        <v>0</v>
      </c>
      <c r="P235" s="6">
        <v>0</v>
      </c>
      <c r="Q235" s="6">
        <v>0</v>
      </c>
      <c r="R235" s="6">
        <v>0</v>
      </c>
      <c r="S235" s="2">
        <v>0</v>
      </c>
      <c r="T235" s="6">
        <v>0</v>
      </c>
      <c r="U235" s="6">
        <v>0</v>
      </c>
      <c r="V235" s="6">
        <v>634682</v>
      </c>
      <c r="W235" s="6">
        <v>63985</v>
      </c>
      <c r="X235" s="6">
        <v>698667</v>
      </c>
      <c r="Y235" s="6">
        <v>10379</v>
      </c>
      <c r="Z235" s="6">
        <v>1892</v>
      </c>
      <c r="AA235" s="6">
        <v>710938</v>
      </c>
      <c r="AB235" s="142">
        <f>Table6[[#This Row],[Total Operating Income]]/Table6[[#This Row],[Total Population Served]]</f>
        <v>47.490848363393454</v>
      </c>
    </row>
    <row r="236" spans="1:28" ht="13.5" thickBot="1" x14ac:dyDescent="0.25">
      <c r="A236" s="2" t="s">
        <v>110</v>
      </c>
      <c r="B236" s="1" t="s">
        <v>109</v>
      </c>
      <c r="C236" s="2" t="s">
        <v>29</v>
      </c>
      <c r="D236" s="2" t="s">
        <v>1151</v>
      </c>
      <c r="E236" s="3" t="s">
        <v>27</v>
      </c>
      <c r="F236" s="3" t="s">
        <v>28</v>
      </c>
      <c r="G236" s="4">
        <v>20025</v>
      </c>
      <c r="H236" s="4">
        <v>10601</v>
      </c>
      <c r="I236" s="6">
        <v>55165</v>
      </c>
      <c r="J236" s="6">
        <v>0</v>
      </c>
      <c r="K236" s="6">
        <v>148049</v>
      </c>
      <c r="L236" s="6">
        <v>111629</v>
      </c>
      <c r="M236" s="6">
        <v>314843</v>
      </c>
      <c r="N236" s="6">
        <v>44491</v>
      </c>
      <c r="O236" s="4">
        <v>9424</v>
      </c>
      <c r="P236" s="6">
        <v>48114</v>
      </c>
      <c r="Q236" s="6">
        <v>0</v>
      </c>
      <c r="R236" s="6">
        <v>27923</v>
      </c>
      <c r="S236" s="78">
        <v>0</v>
      </c>
      <c r="T236" s="6">
        <v>76037</v>
      </c>
      <c r="U236" s="78">
        <v>0</v>
      </c>
      <c r="V236" s="6">
        <v>390880</v>
      </c>
      <c r="W236" s="6">
        <v>44491</v>
      </c>
      <c r="X236" s="6">
        <v>435371</v>
      </c>
      <c r="Y236" s="6">
        <v>13883</v>
      </c>
      <c r="Z236" s="6">
        <v>0</v>
      </c>
      <c r="AA236" s="6">
        <v>449254</v>
      </c>
      <c r="AB236" s="142">
        <f>Table6[[#This Row],[Total Operating Income]]/Table6[[#This Row],[Total Population Served]]</f>
        <v>22.434656679151061</v>
      </c>
    </row>
    <row r="237" spans="1:28" ht="13.5" thickBot="1" x14ac:dyDescent="0.25">
      <c r="A237" s="2" t="s">
        <v>122</v>
      </c>
      <c r="B237" s="1" t="s">
        <v>121</v>
      </c>
      <c r="C237" s="2" t="s">
        <v>29</v>
      </c>
      <c r="D237" s="2" t="s">
        <v>1125</v>
      </c>
      <c r="E237" s="3" t="s">
        <v>22</v>
      </c>
      <c r="F237" s="3" t="s">
        <v>23</v>
      </c>
      <c r="G237" s="4">
        <v>15175</v>
      </c>
      <c r="H237" s="4">
        <v>15175</v>
      </c>
      <c r="I237" s="6">
        <v>30732</v>
      </c>
      <c r="J237" s="6">
        <v>993810</v>
      </c>
      <c r="K237" s="6">
        <v>0</v>
      </c>
      <c r="L237" s="6">
        <v>0</v>
      </c>
      <c r="M237" s="6">
        <v>1024542</v>
      </c>
      <c r="N237" s="6">
        <v>52656</v>
      </c>
      <c r="O237" s="78">
        <v>0</v>
      </c>
      <c r="P237" s="78">
        <v>0</v>
      </c>
      <c r="Q237" s="78">
        <v>0</v>
      </c>
      <c r="R237" s="78">
        <v>0</v>
      </c>
      <c r="S237" s="78">
        <v>0</v>
      </c>
      <c r="T237" s="78">
        <v>0</v>
      </c>
      <c r="U237" s="78">
        <v>0</v>
      </c>
      <c r="V237" s="6">
        <v>1024542</v>
      </c>
      <c r="W237" s="6">
        <v>52656</v>
      </c>
      <c r="X237" s="6">
        <v>1077198</v>
      </c>
      <c r="Y237" s="6">
        <v>9926</v>
      </c>
      <c r="Z237" s="6">
        <v>0</v>
      </c>
      <c r="AA237" s="6">
        <v>1087124</v>
      </c>
      <c r="AB237" s="142">
        <f>Table6[[#This Row],[Total Operating Income]]/Table6[[#This Row],[Total Population Served]]</f>
        <v>71.63914332784185</v>
      </c>
    </row>
    <row r="238" spans="1:28" ht="13.5" thickBot="1" x14ac:dyDescent="0.25">
      <c r="A238" s="2" t="s">
        <v>124</v>
      </c>
      <c r="B238" s="1" t="s">
        <v>123</v>
      </c>
      <c r="C238" s="2" t="s">
        <v>29</v>
      </c>
      <c r="D238" s="2" t="s">
        <v>1164</v>
      </c>
      <c r="E238" s="3" t="s">
        <v>22</v>
      </c>
      <c r="F238" s="3" t="s">
        <v>23</v>
      </c>
      <c r="G238" s="4">
        <v>12667</v>
      </c>
      <c r="H238" s="4">
        <v>10514</v>
      </c>
      <c r="I238" s="6">
        <v>30442</v>
      </c>
      <c r="J238" s="6">
        <v>280647</v>
      </c>
      <c r="K238" s="78">
        <v>0</v>
      </c>
      <c r="L238" s="78">
        <v>0</v>
      </c>
      <c r="M238" s="6">
        <v>311089</v>
      </c>
      <c r="N238" s="6">
        <v>30106</v>
      </c>
      <c r="O238" s="77">
        <v>2153</v>
      </c>
      <c r="P238" s="6">
        <v>12667</v>
      </c>
      <c r="Q238" s="2">
        <v>0</v>
      </c>
      <c r="R238" s="2">
        <v>0</v>
      </c>
      <c r="S238" s="2">
        <v>0</v>
      </c>
      <c r="T238" s="6">
        <v>12667</v>
      </c>
      <c r="U238" s="2">
        <v>0</v>
      </c>
      <c r="V238" s="6">
        <v>323756</v>
      </c>
      <c r="W238" s="6">
        <v>30106</v>
      </c>
      <c r="X238" s="6">
        <v>353862</v>
      </c>
      <c r="Y238" s="6">
        <v>8285</v>
      </c>
      <c r="Z238" s="6">
        <v>0</v>
      </c>
      <c r="AA238" s="6">
        <v>362147</v>
      </c>
      <c r="AB238" s="142">
        <f>Table6[[#This Row],[Total Operating Income]]/Table6[[#This Row],[Total Population Served]]</f>
        <v>28.589800268413988</v>
      </c>
    </row>
    <row r="239" spans="1:28" ht="13.5" thickBot="1" x14ac:dyDescent="0.25">
      <c r="A239" s="2" t="s">
        <v>128</v>
      </c>
      <c r="B239" s="1" t="s">
        <v>127</v>
      </c>
      <c r="C239" s="2" t="s">
        <v>29</v>
      </c>
      <c r="D239" s="2" t="s">
        <v>1152</v>
      </c>
      <c r="E239" s="3" t="s">
        <v>27</v>
      </c>
      <c r="F239" s="3" t="s">
        <v>28</v>
      </c>
      <c r="G239" s="4">
        <v>21705</v>
      </c>
      <c r="H239" s="4">
        <v>19336</v>
      </c>
      <c r="I239" s="6">
        <v>100139</v>
      </c>
      <c r="J239" s="6">
        <v>474335</v>
      </c>
      <c r="K239" s="6">
        <v>0</v>
      </c>
      <c r="L239" s="6">
        <v>936</v>
      </c>
      <c r="M239" s="6">
        <v>575410</v>
      </c>
      <c r="N239" s="6">
        <v>36952</v>
      </c>
      <c r="O239" s="77">
        <v>2369</v>
      </c>
      <c r="P239" s="6">
        <v>12269</v>
      </c>
      <c r="Q239" s="2">
        <v>0</v>
      </c>
      <c r="R239" s="2">
        <v>0</v>
      </c>
      <c r="S239" s="2">
        <v>0</v>
      </c>
      <c r="T239" s="6">
        <v>12269</v>
      </c>
      <c r="U239" s="2">
        <v>0</v>
      </c>
      <c r="V239" s="6">
        <v>587679</v>
      </c>
      <c r="W239" s="6">
        <v>36952</v>
      </c>
      <c r="X239" s="6">
        <v>624631</v>
      </c>
      <c r="Y239" s="6">
        <v>15917</v>
      </c>
      <c r="Z239" s="6">
        <v>0</v>
      </c>
      <c r="AA239" s="6">
        <v>640548</v>
      </c>
      <c r="AB239" s="142">
        <f>Table6[[#This Row],[Total Operating Income]]/Table6[[#This Row],[Total Population Served]]</f>
        <v>29.511541119557705</v>
      </c>
    </row>
    <row r="240" spans="1:28" ht="13.5" thickBot="1" x14ac:dyDescent="0.25">
      <c r="A240" s="2" t="s">
        <v>166</v>
      </c>
      <c r="B240" s="1" t="s">
        <v>165</v>
      </c>
      <c r="C240" s="2" t="s">
        <v>29</v>
      </c>
      <c r="D240" s="2" t="s">
        <v>1133</v>
      </c>
      <c r="E240" s="3" t="s">
        <v>27</v>
      </c>
      <c r="F240" s="3" t="s">
        <v>28</v>
      </c>
      <c r="G240" s="4">
        <v>15068</v>
      </c>
      <c r="H240" s="4">
        <v>15068</v>
      </c>
      <c r="I240" s="6">
        <v>72945</v>
      </c>
      <c r="J240" s="6">
        <v>661985</v>
      </c>
      <c r="K240" s="78">
        <v>0</v>
      </c>
      <c r="L240" s="6">
        <v>28944</v>
      </c>
      <c r="M240" s="6">
        <v>763874</v>
      </c>
      <c r="N240" s="6">
        <v>11760</v>
      </c>
      <c r="O240" s="2">
        <v>0</v>
      </c>
      <c r="P240" s="2">
        <v>0</v>
      </c>
      <c r="Q240" s="2">
        <v>0</v>
      </c>
      <c r="R240" s="2">
        <v>0</v>
      </c>
      <c r="S240" s="2">
        <v>0</v>
      </c>
      <c r="T240" s="2">
        <v>0</v>
      </c>
      <c r="U240" s="2">
        <v>0</v>
      </c>
      <c r="V240" s="6">
        <v>763874</v>
      </c>
      <c r="W240" s="6">
        <v>11760</v>
      </c>
      <c r="X240" s="6">
        <v>775634</v>
      </c>
      <c r="Y240" s="6">
        <v>9856</v>
      </c>
      <c r="Z240" s="6">
        <v>0</v>
      </c>
      <c r="AA240" s="6">
        <v>785490</v>
      </c>
      <c r="AB240" s="142">
        <f>Table6[[#This Row],[Total Operating Income]]/Table6[[#This Row],[Total Population Served]]</f>
        <v>52.129678789487656</v>
      </c>
    </row>
    <row r="241" spans="1:28" ht="13.5" thickBot="1" x14ac:dyDescent="0.25">
      <c r="A241" s="2" t="s">
        <v>170</v>
      </c>
      <c r="B241" s="1" t="s">
        <v>169</v>
      </c>
      <c r="C241" s="2" t="s">
        <v>29</v>
      </c>
      <c r="D241" s="2" t="s">
        <v>1155</v>
      </c>
      <c r="E241" s="3" t="s">
        <v>27</v>
      </c>
      <c r="F241" s="3" t="s">
        <v>28</v>
      </c>
      <c r="G241" s="4">
        <v>23157</v>
      </c>
      <c r="H241" s="4">
        <v>16002</v>
      </c>
      <c r="I241" s="6">
        <v>49137</v>
      </c>
      <c r="J241" s="6">
        <v>379734</v>
      </c>
      <c r="K241" s="6">
        <v>0</v>
      </c>
      <c r="L241" s="6">
        <v>26845</v>
      </c>
      <c r="M241" s="6">
        <v>455716</v>
      </c>
      <c r="N241" s="6">
        <v>10350</v>
      </c>
      <c r="O241" s="77">
        <v>7155</v>
      </c>
      <c r="P241" s="6">
        <v>21972</v>
      </c>
      <c r="Q241" s="6">
        <v>0</v>
      </c>
      <c r="R241" s="6">
        <v>0</v>
      </c>
      <c r="S241" s="6">
        <v>0</v>
      </c>
      <c r="T241" s="6">
        <v>21972</v>
      </c>
      <c r="U241" s="6">
        <v>500</v>
      </c>
      <c r="V241" s="6">
        <v>477688</v>
      </c>
      <c r="W241" s="6">
        <v>10850</v>
      </c>
      <c r="X241" s="6">
        <v>488538</v>
      </c>
      <c r="Y241" s="6">
        <v>11400</v>
      </c>
      <c r="Z241" s="6">
        <v>0</v>
      </c>
      <c r="AA241" s="6">
        <v>499938</v>
      </c>
      <c r="AB241" s="142">
        <f>Table6[[#This Row],[Total Operating Income]]/Table6[[#This Row],[Total Population Served]]</f>
        <v>21.589065941184092</v>
      </c>
    </row>
    <row r="242" spans="1:28" ht="13.5" thickBot="1" x14ac:dyDescent="0.25">
      <c r="A242" s="2" t="s">
        <v>174</v>
      </c>
      <c r="B242" s="1" t="s">
        <v>173</v>
      </c>
      <c r="C242" s="2" t="s">
        <v>29</v>
      </c>
      <c r="D242" s="2" t="s">
        <v>1184</v>
      </c>
      <c r="E242" s="3" t="s">
        <v>27</v>
      </c>
      <c r="F242" s="3" t="s">
        <v>28</v>
      </c>
      <c r="G242" s="4">
        <v>13894</v>
      </c>
      <c r="H242" s="4">
        <v>13894</v>
      </c>
      <c r="I242" s="6">
        <v>93488</v>
      </c>
      <c r="J242" s="6">
        <v>409245</v>
      </c>
      <c r="K242" s="6">
        <v>0</v>
      </c>
      <c r="L242" s="6">
        <v>0</v>
      </c>
      <c r="M242" s="6">
        <v>502733</v>
      </c>
      <c r="N242" s="6">
        <v>28197</v>
      </c>
      <c r="O242" s="2">
        <v>0</v>
      </c>
      <c r="P242" s="2">
        <v>0</v>
      </c>
      <c r="Q242" s="2">
        <v>0</v>
      </c>
      <c r="R242" s="2">
        <v>0</v>
      </c>
      <c r="S242" s="2">
        <v>0</v>
      </c>
      <c r="T242" s="2">
        <v>0</v>
      </c>
      <c r="U242" s="2">
        <v>0</v>
      </c>
      <c r="V242" s="6">
        <v>502733</v>
      </c>
      <c r="W242" s="6">
        <v>28197</v>
      </c>
      <c r="X242" s="6">
        <v>530930</v>
      </c>
      <c r="Y242" s="6">
        <v>9633</v>
      </c>
      <c r="Z242" s="6">
        <v>0</v>
      </c>
      <c r="AA242" s="6">
        <v>540563</v>
      </c>
      <c r="AB242" s="142">
        <f>Table6[[#This Row],[Total Operating Income]]/Table6[[#This Row],[Total Population Served]]</f>
        <v>38.906218511587738</v>
      </c>
    </row>
    <row r="243" spans="1:28" ht="13.5" thickBot="1" x14ac:dyDescent="0.25">
      <c r="A243" s="2" t="s">
        <v>176</v>
      </c>
      <c r="B243" s="1" t="s">
        <v>175</v>
      </c>
      <c r="C243" s="2" t="s">
        <v>29</v>
      </c>
      <c r="D243" s="2" t="s">
        <v>1144</v>
      </c>
      <c r="E243" s="3" t="s">
        <v>22</v>
      </c>
      <c r="F243" s="3" t="s">
        <v>23</v>
      </c>
      <c r="G243" s="4">
        <v>15010</v>
      </c>
      <c r="H243" s="4">
        <v>15010</v>
      </c>
      <c r="I243" s="6">
        <v>22469</v>
      </c>
      <c r="J243" s="6">
        <v>1597983</v>
      </c>
      <c r="K243" s="78">
        <v>0</v>
      </c>
      <c r="L243" s="6">
        <v>79862</v>
      </c>
      <c r="M243" s="6">
        <v>1700314</v>
      </c>
      <c r="N243" s="6">
        <v>129730</v>
      </c>
      <c r="O243" s="2">
        <v>0</v>
      </c>
      <c r="P243" s="78">
        <v>0</v>
      </c>
      <c r="Q243" s="78">
        <v>0</v>
      </c>
      <c r="R243" s="78">
        <v>0</v>
      </c>
      <c r="S243" s="78">
        <v>0</v>
      </c>
      <c r="T243" s="78">
        <v>0</v>
      </c>
      <c r="U243" s="2">
        <v>0</v>
      </c>
      <c r="V243" s="6">
        <v>1700314</v>
      </c>
      <c r="W243" s="6">
        <v>129730</v>
      </c>
      <c r="X243" s="6">
        <v>1830044</v>
      </c>
      <c r="Y243" s="6">
        <v>9818</v>
      </c>
      <c r="Z243" s="6">
        <v>0</v>
      </c>
      <c r="AA243" s="6">
        <v>1839862</v>
      </c>
      <c r="AB243" s="142">
        <f>Table6[[#This Row],[Total Operating Income]]/Table6[[#This Row],[Total Population Served]]</f>
        <v>122.57574950033312</v>
      </c>
    </row>
    <row r="244" spans="1:28" ht="13.5" thickBot="1" x14ac:dyDescent="0.25">
      <c r="A244" s="2" t="s">
        <v>190</v>
      </c>
      <c r="B244" s="1" t="s">
        <v>189</v>
      </c>
      <c r="C244" s="2" t="s">
        <v>29</v>
      </c>
      <c r="D244" s="2" t="s">
        <v>1157</v>
      </c>
      <c r="E244" s="3" t="s">
        <v>27</v>
      </c>
      <c r="F244" s="3" t="s">
        <v>28</v>
      </c>
      <c r="G244" s="4">
        <v>12982</v>
      </c>
      <c r="H244" s="4">
        <v>6503</v>
      </c>
      <c r="I244" s="6">
        <v>53020</v>
      </c>
      <c r="J244" s="6">
        <v>214744</v>
      </c>
      <c r="K244" s="6">
        <v>0</v>
      </c>
      <c r="L244" s="6">
        <v>0</v>
      </c>
      <c r="M244" s="6">
        <v>267764</v>
      </c>
      <c r="N244" s="6">
        <v>30708.14</v>
      </c>
      <c r="O244" s="4">
        <v>6479</v>
      </c>
      <c r="P244" s="6">
        <v>52824</v>
      </c>
      <c r="Q244" s="6">
        <v>0</v>
      </c>
      <c r="R244" s="6">
        <v>0</v>
      </c>
      <c r="S244" s="6">
        <v>9000</v>
      </c>
      <c r="T244" s="6">
        <v>61824</v>
      </c>
      <c r="U244" s="78">
        <v>0</v>
      </c>
      <c r="V244" s="6">
        <v>329588</v>
      </c>
      <c r="W244" s="6">
        <v>30708.14</v>
      </c>
      <c r="X244" s="6">
        <v>360296.14</v>
      </c>
      <c r="Y244" s="6">
        <v>9031</v>
      </c>
      <c r="Z244" s="6">
        <v>0</v>
      </c>
      <c r="AA244" s="6">
        <v>369327.14</v>
      </c>
      <c r="AB244" s="142">
        <f>Table6[[#This Row],[Total Operating Income]]/Table6[[#This Row],[Total Population Served]]</f>
        <v>28.449171160067788</v>
      </c>
    </row>
    <row r="245" spans="1:28" ht="13.5" thickBot="1" x14ac:dyDescent="0.25">
      <c r="A245" s="2" t="s">
        <v>200</v>
      </c>
      <c r="B245" s="1" t="s">
        <v>199</v>
      </c>
      <c r="C245" s="2" t="s">
        <v>29</v>
      </c>
      <c r="D245" s="2" t="s">
        <v>1149</v>
      </c>
      <c r="E245" s="3" t="s">
        <v>22</v>
      </c>
      <c r="F245" s="3" t="s">
        <v>23</v>
      </c>
      <c r="G245" s="4">
        <v>14854</v>
      </c>
      <c r="H245" s="4">
        <v>14854</v>
      </c>
      <c r="I245" s="6">
        <v>20105</v>
      </c>
      <c r="J245" s="6">
        <v>729957</v>
      </c>
      <c r="K245" s="6">
        <v>28707</v>
      </c>
      <c r="L245" s="6">
        <v>45954</v>
      </c>
      <c r="M245" s="6">
        <v>824723</v>
      </c>
      <c r="N245" s="6">
        <v>15238</v>
      </c>
      <c r="O245" s="2">
        <v>0</v>
      </c>
      <c r="P245" s="2">
        <v>0</v>
      </c>
      <c r="Q245" s="2">
        <v>0</v>
      </c>
      <c r="R245" s="2">
        <v>0</v>
      </c>
      <c r="S245" s="2">
        <v>0</v>
      </c>
      <c r="T245" s="2">
        <v>0</v>
      </c>
      <c r="U245" s="2">
        <v>0</v>
      </c>
      <c r="V245" s="6">
        <v>824723</v>
      </c>
      <c r="W245" s="6">
        <v>15238</v>
      </c>
      <c r="X245" s="6">
        <v>839961</v>
      </c>
      <c r="Y245" s="6">
        <v>9716</v>
      </c>
      <c r="Z245" s="6">
        <v>0</v>
      </c>
      <c r="AA245" s="6">
        <v>849677</v>
      </c>
      <c r="AB245" s="142">
        <f>Table6[[#This Row],[Total Operating Income]]/Table6[[#This Row],[Total Population Served]]</f>
        <v>57.201898478524306</v>
      </c>
    </row>
    <row r="246" spans="1:28" ht="13.5" thickBot="1" x14ac:dyDescent="0.25">
      <c r="A246" s="2" t="s">
        <v>206</v>
      </c>
      <c r="B246" s="1" t="s">
        <v>205</v>
      </c>
      <c r="C246" s="2" t="s">
        <v>29</v>
      </c>
      <c r="D246" s="2" t="s">
        <v>1193</v>
      </c>
      <c r="E246" s="3" t="s">
        <v>17</v>
      </c>
      <c r="F246" s="3" t="s">
        <v>18</v>
      </c>
      <c r="G246" s="4">
        <v>14074</v>
      </c>
      <c r="H246" s="4">
        <v>14074</v>
      </c>
      <c r="I246" s="6">
        <v>118415</v>
      </c>
      <c r="J246" s="6">
        <v>240521</v>
      </c>
      <c r="K246" s="2">
        <v>0</v>
      </c>
      <c r="L246" s="6">
        <v>124746</v>
      </c>
      <c r="M246" s="6">
        <v>483682</v>
      </c>
      <c r="N246" s="78">
        <v>0</v>
      </c>
      <c r="O246" s="2">
        <v>0</v>
      </c>
      <c r="P246" s="2">
        <v>0</v>
      </c>
      <c r="Q246" s="2">
        <v>0</v>
      </c>
      <c r="R246" s="2">
        <v>0</v>
      </c>
      <c r="S246" s="2">
        <v>0</v>
      </c>
      <c r="T246" s="2">
        <v>0</v>
      </c>
      <c r="U246" s="2">
        <v>0</v>
      </c>
      <c r="V246" s="6">
        <v>483682</v>
      </c>
      <c r="W246" s="78">
        <v>0</v>
      </c>
      <c r="X246" s="6">
        <v>483682</v>
      </c>
      <c r="Y246" s="6">
        <v>0</v>
      </c>
      <c r="Z246" s="6">
        <v>0</v>
      </c>
      <c r="AA246" s="6">
        <v>483682</v>
      </c>
      <c r="AB246" s="142">
        <f>Table6[[#This Row],[Total Operating Income]]/Table6[[#This Row],[Total Population Served]]</f>
        <v>34.367059826630665</v>
      </c>
    </row>
    <row r="247" spans="1:28" ht="13.5" thickBot="1" x14ac:dyDescent="0.25">
      <c r="A247" s="2" t="s">
        <v>235</v>
      </c>
      <c r="B247" s="1" t="s">
        <v>234</v>
      </c>
      <c r="C247" s="2" t="s">
        <v>29</v>
      </c>
      <c r="D247" s="2" t="s">
        <v>1152</v>
      </c>
      <c r="E247" s="3" t="s">
        <v>27</v>
      </c>
      <c r="F247" s="3" t="s">
        <v>28</v>
      </c>
      <c r="G247" s="4">
        <v>20542</v>
      </c>
      <c r="H247" s="4">
        <v>20542</v>
      </c>
      <c r="I247" s="6">
        <v>106386</v>
      </c>
      <c r="J247" s="6">
        <v>716312</v>
      </c>
      <c r="K247" s="2">
        <v>0</v>
      </c>
      <c r="L247" s="78">
        <v>0</v>
      </c>
      <c r="M247" s="6">
        <v>822698</v>
      </c>
      <c r="N247" s="6">
        <v>57448</v>
      </c>
      <c r="O247" s="78">
        <v>0</v>
      </c>
      <c r="P247" s="78">
        <v>0</v>
      </c>
      <c r="Q247" s="2">
        <v>0</v>
      </c>
      <c r="R247" s="2">
        <v>0</v>
      </c>
      <c r="S247" s="78">
        <v>0</v>
      </c>
      <c r="T247" s="78">
        <v>0</v>
      </c>
      <c r="U247" s="78">
        <v>0</v>
      </c>
      <c r="V247" s="6">
        <v>822698</v>
      </c>
      <c r="W247" s="6">
        <v>57448</v>
      </c>
      <c r="X247" s="6">
        <v>880146</v>
      </c>
      <c r="Y247" s="6">
        <v>23569</v>
      </c>
      <c r="Z247" s="6">
        <v>0</v>
      </c>
      <c r="AA247" s="6">
        <v>903715</v>
      </c>
      <c r="AB247" s="142">
        <f>Table6[[#This Row],[Total Operating Income]]/Table6[[#This Row],[Total Population Served]]</f>
        <v>43.993525460033105</v>
      </c>
    </row>
    <row r="248" spans="1:28" ht="13.5" thickBot="1" x14ac:dyDescent="0.25">
      <c r="A248" s="2" t="s">
        <v>237</v>
      </c>
      <c r="B248" s="1" t="s">
        <v>236</v>
      </c>
      <c r="C248" s="2" t="s">
        <v>29</v>
      </c>
      <c r="D248" s="2" t="s">
        <v>1144</v>
      </c>
      <c r="E248" s="3" t="s">
        <v>17</v>
      </c>
      <c r="F248" s="3" t="s">
        <v>18</v>
      </c>
      <c r="G248" s="4">
        <v>19591</v>
      </c>
      <c r="H248" s="4">
        <v>19591</v>
      </c>
      <c r="I248" s="6">
        <v>28932</v>
      </c>
      <c r="J248" s="6">
        <v>1383236</v>
      </c>
      <c r="K248" s="6">
        <v>0</v>
      </c>
      <c r="L248" s="6">
        <v>0</v>
      </c>
      <c r="M248" s="6">
        <v>1412168</v>
      </c>
      <c r="N248" s="6">
        <v>144190</v>
      </c>
      <c r="O248" s="2">
        <v>0</v>
      </c>
      <c r="P248" s="2">
        <v>0</v>
      </c>
      <c r="Q248" s="2">
        <v>0</v>
      </c>
      <c r="R248" s="2">
        <v>0</v>
      </c>
      <c r="S248" s="2">
        <v>0</v>
      </c>
      <c r="T248" s="2">
        <v>0</v>
      </c>
      <c r="U248" s="2">
        <v>0</v>
      </c>
      <c r="V248" s="6">
        <v>1412168</v>
      </c>
      <c r="W248" s="6">
        <v>144190</v>
      </c>
      <c r="X248" s="6">
        <v>1556358</v>
      </c>
      <c r="Y248" s="6">
        <v>14367</v>
      </c>
      <c r="Z248" s="6">
        <v>3242</v>
      </c>
      <c r="AA248" s="6">
        <v>1573967</v>
      </c>
      <c r="AB248" s="142">
        <f>Table6[[#This Row],[Total Operating Income]]/Table6[[#This Row],[Total Population Served]]</f>
        <v>80.341330202644073</v>
      </c>
    </row>
    <row r="249" spans="1:28" ht="13.5" thickBot="1" x14ac:dyDescent="0.25">
      <c r="A249" s="2" t="s">
        <v>245</v>
      </c>
      <c r="B249" s="1" t="s">
        <v>244</v>
      </c>
      <c r="C249" s="2" t="s">
        <v>29</v>
      </c>
      <c r="D249" s="2" t="s">
        <v>1179</v>
      </c>
      <c r="E249" s="3" t="s">
        <v>17</v>
      </c>
      <c r="F249" s="3" t="s">
        <v>18</v>
      </c>
      <c r="G249" s="4">
        <v>13306</v>
      </c>
      <c r="H249" s="4">
        <v>13306</v>
      </c>
      <c r="I249" s="6">
        <v>38061</v>
      </c>
      <c r="J249" s="6">
        <v>347074.76</v>
      </c>
      <c r="K249" s="6">
        <v>0</v>
      </c>
      <c r="L249" s="6">
        <v>0</v>
      </c>
      <c r="M249" s="6">
        <v>385135.76</v>
      </c>
      <c r="N249" s="6">
        <v>45736</v>
      </c>
      <c r="O249" s="78">
        <v>0</v>
      </c>
      <c r="P249" s="78">
        <v>0</v>
      </c>
      <c r="Q249" s="78">
        <v>0</v>
      </c>
      <c r="R249" s="78">
        <v>0</v>
      </c>
      <c r="S249" s="78">
        <v>0</v>
      </c>
      <c r="T249" s="78">
        <v>0</v>
      </c>
      <c r="U249" s="78">
        <v>0</v>
      </c>
      <c r="V249" s="6">
        <v>385135.76</v>
      </c>
      <c r="W249" s="6">
        <v>45736</v>
      </c>
      <c r="X249" s="6">
        <v>430871.76</v>
      </c>
      <c r="Y249" s="6">
        <v>9758</v>
      </c>
      <c r="Z249" s="6">
        <v>0</v>
      </c>
      <c r="AA249" s="6">
        <v>440629.76000000001</v>
      </c>
      <c r="AB249" s="142">
        <f>Table6[[#This Row],[Total Operating Income]]/Table6[[#This Row],[Total Population Served]]</f>
        <v>33.115117991883359</v>
      </c>
    </row>
    <row r="250" spans="1:28" ht="13.5" thickBot="1" x14ac:dyDescent="0.25">
      <c r="A250" s="2" t="s">
        <v>255</v>
      </c>
      <c r="B250" s="1" t="s">
        <v>254</v>
      </c>
      <c r="C250" s="2" t="s">
        <v>29</v>
      </c>
      <c r="D250" s="2" t="s">
        <v>1155</v>
      </c>
      <c r="E250" s="3" t="s">
        <v>27</v>
      </c>
      <c r="F250" s="3" t="s">
        <v>28</v>
      </c>
      <c r="G250" s="4">
        <v>12670</v>
      </c>
      <c r="H250" s="4">
        <v>12670</v>
      </c>
      <c r="I250" s="6">
        <v>40940</v>
      </c>
      <c r="J250" s="6">
        <v>0</v>
      </c>
      <c r="K250" s="6">
        <v>171264</v>
      </c>
      <c r="L250" s="6">
        <v>0</v>
      </c>
      <c r="M250" s="6">
        <v>212204</v>
      </c>
      <c r="N250" s="6">
        <v>11461</v>
      </c>
      <c r="O250" s="78">
        <v>0</v>
      </c>
      <c r="P250" s="78">
        <v>0</v>
      </c>
      <c r="Q250" s="2">
        <v>0</v>
      </c>
      <c r="R250" s="2">
        <v>0</v>
      </c>
      <c r="S250" s="2">
        <v>0</v>
      </c>
      <c r="T250" s="78">
        <v>0</v>
      </c>
      <c r="U250" s="2">
        <v>0</v>
      </c>
      <c r="V250" s="6">
        <v>212204</v>
      </c>
      <c r="W250" s="6">
        <v>11461</v>
      </c>
      <c r="X250" s="6">
        <v>223665</v>
      </c>
      <c r="Y250" s="6">
        <v>8784</v>
      </c>
      <c r="Z250" s="6">
        <v>0</v>
      </c>
      <c r="AA250" s="6">
        <v>232449</v>
      </c>
      <c r="AB250" s="142">
        <f>Table6[[#This Row],[Total Operating Income]]/Table6[[#This Row],[Total Population Served]]</f>
        <v>18.346408839779006</v>
      </c>
    </row>
    <row r="251" spans="1:28" ht="13.5" thickBot="1" x14ac:dyDescent="0.25">
      <c r="A251" s="2" t="s">
        <v>271</v>
      </c>
      <c r="B251" s="1" t="s">
        <v>270</v>
      </c>
      <c r="C251" s="2" t="s">
        <v>29</v>
      </c>
      <c r="D251" s="2" t="s">
        <v>1199</v>
      </c>
      <c r="E251" s="3" t="s">
        <v>27</v>
      </c>
      <c r="F251" s="3" t="s">
        <v>28</v>
      </c>
      <c r="G251" s="4">
        <v>25830</v>
      </c>
      <c r="H251" s="4">
        <v>12616</v>
      </c>
      <c r="I251" s="6">
        <v>57902</v>
      </c>
      <c r="J251" s="6">
        <v>0</v>
      </c>
      <c r="K251" s="6">
        <v>400000</v>
      </c>
      <c r="L251" s="6">
        <v>0</v>
      </c>
      <c r="M251" s="6">
        <v>457902</v>
      </c>
      <c r="N251" s="6">
        <v>33930</v>
      </c>
      <c r="O251" s="77">
        <v>13214</v>
      </c>
      <c r="P251" s="6">
        <v>60647</v>
      </c>
      <c r="Q251" s="6">
        <v>0</v>
      </c>
      <c r="R251" s="6">
        <v>0</v>
      </c>
      <c r="S251" s="6">
        <v>0</v>
      </c>
      <c r="T251" s="6">
        <v>60647</v>
      </c>
      <c r="U251" s="6">
        <v>0</v>
      </c>
      <c r="V251" s="6">
        <v>518549</v>
      </c>
      <c r="W251" s="6">
        <v>33930</v>
      </c>
      <c r="X251" s="6">
        <v>552479</v>
      </c>
      <c r="Y251" s="6">
        <v>18941</v>
      </c>
      <c r="Z251" s="6">
        <v>0</v>
      </c>
      <c r="AA251" s="6">
        <v>571420</v>
      </c>
      <c r="AB251" s="142">
        <f>Table6[[#This Row],[Total Operating Income]]/Table6[[#This Row],[Total Population Served]]</f>
        <v>22.122338366240804</v>
      </c>
    </row>
    <row r="252" spans="1:28" ht="13.5" thickBot="1" x14ac:dyDescent="0.25">
      <c r="A252" s="2" t="s">
        <v>279</v>
      </c>
      <c r="B252" s="1" t="s">
        <v>278</v>
      </c>
      <c r="C252" s="2" t="s">
        <v>29</v>
      </c>
      <c r="D252" s="2" t="s">
        <v>1133</v>
      </c>
      <c r="E252" s="3" t="s">
        <v>17</v>
      </c>
      <c r="F252" s="3" t="s">
        <v>18</v>
      </c>
      <c r="G252" s="4">
        <v>14230</v>
      </c>
      <c r="H252" s="4">
        <v>8835</v>
      </c>
      <c r="I252" s="6">
        <v>59293</v>
      </c>
      <c r="J252" s="6">
        <v>282575</v>
      </c>
      <c r="K252" s="6">
        <v>0</v>
      </c>
      <c r="L252" s="6">
        <v>0</v>
      </c>
      <c r="M252" s="6">
        <v>341868</v>
      </c>
      <c r="N252" s="6">
        <v>22998</v>
      </c>
      <c r="O252" s="4">
        <v>5395</v>
      </c>
      <c r="P252" s="6">
        <v>36207</v>
      </c>
      <c r="Q252" s="6">
        <v>0</v>
      </c>
      <c r="R252" s="6">
        <v>0</v>
      </c>
      <c r="S252" s="6">
        <v>2734</v>
      </c>
      <c r="T252" s="6">
        <v>38941</v>
      </c>
      <c r="U252" s="6">
        <v>0</v>
      </c>
      <c r="V252" s="6">
        <v>380809</v>
      </c>
      <c r="W252" s="6">
        <v>22998</v>
      </c>
      <c r="X252" s="6">
        <v>403807</v>
      </c>
      <c r="Y252" s="6">
        <v>10435</v>
      </c>
      <c r="Z252" s="6">
        <v>592</v>
      </c>
      <c r="AA252" s="6">
        <v>414834</v>
      </c>
      <c r="AB252" s="142">
        <f>Table6[[#This Row],[Total Operating Income]]/Table6[[#This Row],[Total Population Served]]</f>
        <v>29.152073085031624</v>
      </c>
    </row>
    <row r="253" spans="1:28" ht="13.5" thickBot="1" x14ac:dyDescent="0.25">
      <c r="A253" s="2" t="s">
        <v>281</v>
      </c>
      <c r="B253" s="1" t="s">
        <v>280</v>
      </c>
      <c r="C253" s="2" t="s">
        <v>29</v>
      </c>
      <c r="D253" s="2" t="s">
        <v>1125</v>
      </c>
      <c r="E253" s="3" t="s">
        <v>27</v>
      </c>
      <c r="F253" s="3" t="s">
        <v>28</v>
      </c>
      <c r="G253" s="4">
        <v>19900</v>
      </c>
      <c r="H253" s="4">
        <v>19900</v>
      </c>
      <c r="I253" s="6">
        <v>40301</v>
      </c>
      <c r="J253" s="6">
        <v>1796150</v>
      </c>
      <c r="K253" s="6">
        <v>0</v>
      </c>
      <c r="L253" s="6">
        <v>16996</v>
      </c>
      <c r="M253" s="6">
        <v>1853447</v>
      </c>
      <c r="N253" s="6">
        <v>86275</v>
      </c>
      <c r="O253" s="78">
        <v>0</v>
      </c>
      <c r="P253" s="78">
        <v>0</v>
      </c>
      <c r="Q253" s="2">
        <v>0</v>
      </c>
      <c r="R253" s="2">
        <v>0</v>
      </c>
      <c r="S253" s="78">
        <v>0</v>
      </c>
      <c r="T253" s="78">
        <v>0</v>
      </c>
      <c r="U253" s="2">
        <v>0</v>
      </c>
      <c r="V253" s="6">
        <v>1853447</v>
      </c>
      <c r="W253" s="6">
        <v>86275</v>
      </c>
      <c r="X253" s="6">
        <v>1939722</v>
      </c>
      <c r="Y253" s="6">
        <v>13590</v>
      </c>
      <c r="Z253" s="6">
        <v>0</v>
      </c>
      <c r="AA253" s="6">
        <v>1953312</v>
      </c>
      <c r="AB253" s="142">
        <f>Table6[[#This Row],[Total Operating Income]]/Table6[[#This Row],[Total Population Served]]</f>
        <v>98.156381909547733</v>
      </c>
    </row>
    <row r="254" spans="1:28" ht="13.5" thickBot="1" x14ac:dyDescent="0.25">
      <c r="A254" s="2" t="s">
        <v>285</v>
      </c>
      <c r="B254" s="1" t="s">
        <v>284</v>
      </c>
      <c r="C254" s="2" t="s">
        <v>29</v>
      </c>
      <c r="D254" s="2" t="s">
        <v>1178</v>
      </c>
      <c r="E254" s="3" t="s">
        <v>27</v>
      </c>
      <c r="F254" s="3" t="s">
        <v>28</v>
      </c>
      <c r="G254" s="4">
        <v>17626</v>
      </c>
      <c r="H254" s="4">
        <v>17626</v>
      </c>
      <c r="I254" s="6">
        <v>104173</v>
      </c>
      <c r="J254" s="6">
        <v>274960</v>
      </c>
      <c r="K254" s="2">
        <v>0</v>
      </c>
      <c r="L254" s="78">
        <v>0</v>
      </c>
      <c r="M254" s="6">
        <v>379133</v>
      </c>
      <c r="N254" s="6">
        <v>99994</v>
      </c>
      <c r="O254" s="2">
        <v>0</v>
      </c>
      <c r="P254" s="6">
        <v>0</v>
      </c>
      <c r="Q254" s="6">
        <v>0</v>
      </c>
      <c r="R254" s="6">
        <v>0</v>
      </c>
      <c r="S254" s="6">
        <v>0</v>
      </c>
      <c r="T254" s="6">
        <v>0</v>
      </c>
      <c r="U254" s="6">
        <v>0</v>
      </c>
      <c r="V254" s="6">
        <v>379133</v>
      </c>
      <c r="W254" s="6">
        <v>99994</v>
      </c>
      <c r="X254" s="6">
        <v>479127</v>
      </c>
      <c r="Y254" s="6">
        <v>13744</v>
      </c>
      <c r="Z254" s="6">
        <v>0</v>
      </c>
      <c r="AA254" s="6">
        <v>492871</v>
      </c>
      <c r="AB254" s="142">
        <f>Table6[[#This Row],[Total Operating Income]]/Table6[[#This Row],[Total Population Served]]</f>
        <v>27.962725519119484</v>
      </c>
    </row>
    <row r="255" spans="1:28" ht="13.5" thickBot="1" x14ac:dyDescent="0.25">
      <c r="A255" s="2" t="s">
        <v>287</v>
      </c>
      <c r="B255" s="1" t="s">
        <v>286</v>
      </c>
      <c r="C255" s="2" t="s">
        <v>29</v>
      </c>
      <c r="D255" s="2" t="s">
        <v>1134</v>
      </c>
      <c r="E255" s="3" t="s">
        <v>288</v>
      </c>
      <c r="F255" s="3" t="s">
        <v>289</v>
      </c>
      <c r="G255" s="4">
        <v>17823</v>
      </c>
      <c r="H255" s="4">
        <v>9878</v>
      </c>
      <c r="I255" s="6">
        <v>6000</v>
      </c>
      <c r="J255" s="6">
        <v>335813</v>
      </c>
      <c r="K255" s="6">
        <v>4000</v>
      </c>
      <c r="L255" s="6">
        <v>75400</v>
      </c>
      <c r="M255" s="6">
        <v>421213</v>
      </c>
      <c r="N255" s="6">
        <v>13200</v>
      </c>
      <c r="O255" s="4">
        <v>7945</v>
      </c>
      <c r="P255" s="6">
        <v>0</v>
      </c>
      <c r="Q255" s="6">
        <v>0</v>
      </c>
      <c r="R255" s="6">
        <v>0</v>
      </c>
      <c r="S255" s="6">
        <v>23920</v>
      </c>
      <c r="T255" s="6">
        <v>23920</v>
      </c>
      <c r="U255" s="6">
        <v>0</v>
      </c>
      <c r="V255" s="6">
        <v>445133</v>
      </c>
      <c r="W255" s="6">
        <v>13200</v>
      </c>
      <c r="X255" s="6">
        <v>458333</v>
      </c>
      <c r="Y255" s="6">
        <v>8700</v>
      </c>
      <c r="Z255" s="6">
        <v>0</v>
      </c>
      <c r="AA255" s="6">
        <v>467033</v>
      </c>
      <c r="AB255" s="142">
        <f>Table6[[#This Row],[Total Operating Income]]/Table6[[#This Row],[Total Population Served]]</f>
        <v>26.203949952308815</v>
      </c>
    </row>
    <row r="256" spans="1:28" ht="13.5" thickBot="1" x14ac:dyDescent="0.25">
      <c r="A256" s="2" t="s">
        <v>295</v>
      </c>
      <c r="B256" s="1" t="s">
        <v>294</v>
      </c>
      <c r="C256" s="2" t="s">
        <v>29</v>
      </c>
      <c r="D256" s="2" t="s">
        <v>1165</v>
      </c>
      <c r="E256" s="3" t="s">
        <v>27</v>
      </c>
      <c r="F256" s="3" t="s">
        <v>28</v>
      </c>
      <c r="G256" s="4">
        <v>17068</v>
      </c>
      <c r="H256" s="4">
        <v>16169</v>
      </c>
      <c r="I256" s="6">
        <v>46386</v>
      </c>
      <c r="J256" s="6">
        <v>742185</v>
      </c>
      <c r="K256" s="78">
        <v>0</v>
      </c>
      <c r="L256" s="78">
        <v>0</v>
      </c>
      <c r="M256" s="6">
        <v>788571</v>
      </c>
      <c r="N256" s="6">
        <v>12025</v>
      </c>
      <c r="O256" s="77">
        <v>899</v>
      </c>
      <c r="P256" s="6">
        <v>2583</v>
      </c>
      <c r="Q256" s="2">
        <v>0</v>
      </c>
      <c r="R256" s="2">
        <v>0</v>
      </c>
      <c r="S256" s="2">
        <v>0</v>
      </c>
      <c r="T256" s="6">
        <v>2583</v>
      </c>
      <c r="U256" s="2">
        <v>0</v>
      </c>
      <c r="V256" s="6">
        <v>791154</v>
      </c>
      <c r="W256" s="6">
        <v>12025</v>
      </c>
      <c r="X256" s="6">
        <v>803179</v>
      </c>
      <c r="Y256" s="6">
        <v>11833</v>
      </c>
      <c r="Z256" s="6">
        <v>0</v>
      </c>
      <c r="AA256" s="6">
        <v>815012</v>
      </c>
      <c r="AB256" s="142">
        <f>Table6[[#This Row],[Total Operating Income]]/Table6[[#This Row],[Total Population Served]]</f>
        <v>47.750878837590811</v>
      </c>
    </row>
    <row r="257" spans="1:28" ht="13.5" thickBot="1" x14ac:dyDescent="0.25">
      <c r="A257" s="2" t="s">
        <v>301</v>
      </c>
      <c r="B257" s="1" t="s">
        <v>300</v>
      </c>
      <c r="C257" s="2" t="s">
        <v>29</v>
      </c>
      <c r="D257" s="2" t="s">
        <v>1146</v>
      </c>
      <c r="E257" s="3" t="s">
        <v>27</v>
      </c>
      <c r="F257" s="3" t="s">
        <v>28</v>
      </c>
      <c r="G257" s="4">
        <v>14480</v>
      </c>
      <c r="H257" s="4">
        <v>14480</v>
      </c>
      <c r="I257" s="6">
        <v>12635</v>
      </c>
      <c r="J257" s="6">
        <v>441625</v>
      </c>
      <c r="K257" s="6">
        <v>0</v>
      </c>
      <c r="L257" s="6">
        <v>0</v>
      </c>
      <c r="M257" s="6">
        <v>454260</v>
      </c>
      <c r="N257" s="6">
        <v>18975</v>
      </c>
      <c r="O257" s="78">
        <v>0</v>
      </c>
      <c r="P257" s="78">
        <v>0</v>
      </c>
      <c r="Q257" s="78">
        <v>0</v>
      </c>
      <c r="R257" s="78">
        <v>0</v>
      </c>
      <c r="S257" s="78">
        <v>0</v>
      </c>
      <c r="T257" s="78">
        <v>0</v>
      </c>
      <c r="U257" s="78">
        <v>0</v>
      </c>
      <c r="V257" s="6">
        <v>454260</v>
      </c>
      <c r="W257" s="6">
        <v>18975</v>
      </c>
      <c r="X257" s="6">
        <v>473235</v>
      </c>
      <c r="Y257" s="6">
        <v>10140</v>
      </c>
      <c r="Z257" s="6">
        <v>0</v>
      </c>
      <c r="AA257" s="6">
        <v>483375</v>
      </c>
      <c r="AB257" s="142">
        <f>Table6[[#This Row],[Total Operating Income]]/Table6[[#This Row],[Total Population Served]]</f>
        <v>33.382251381215468</v>
      </c>
    </row>
    <row r="258" spans="1:28" ht="13.5" thickBot="1" x14ac:dyDescent="0.25">
      <c r="A258" s="2" t="s">
        <v>305</v>
      </c>
      <c r="B258" s="1" t="s">
        <v>304</v>
      </c>
      <c r="C258" s="2" t="s">
        <v>29</v>
      </c>
      <c r="D258" s="2" t="s">
        <v>1195</v>
      </c>
      <c r="E258" s="3" t="s">
        <v>22</v>
      </c>
      <c r="F258" s="3" t="s">
        <v>23</v>
      </c>
      <c r="G258" s="4">
        <v>13326</v>
      </c>
      <c r="H258" s="4">
        <v>13326</v>
      </c>
      <c r="I258" s="6">
        <v>42213</v>
      </c>
      <c r="J258" s="6">
        <v>589033</v>
      </c>
      <c r="K258" s="78">
        <v>0</v>
      </c>
      <c r="L258" s="78">
        <v>0</v>
      </c>
      <c r="M258" s="6">
        <v>631246</v>
      </c>
      <c r="N258" s="6">
        <v>169305</v>
      </c>
      <c r="O258" s="78">
        <v>0</v>
      </c>
      <c r="P258" s="78">
        <v>0</v>
      </c>
      <c r="Q258" s="78">
        <v>0</v>
      </c>
      <c r="R258" s="78">
        <v>0</v>
      </c>
      <c r="S258" s="78">
        <v>0</v>
      </c>
      <c r="T258" s="78">
        <v>0</v>
      </c>
      <c r="U258" s="78">
        <v>0</v>
      </c>
      <c r="V258" s="6">
        <v>631246</v>
      </c>
      <c r="W258" s="6">
        <v>169305</v>
      </c>
      <c r="X258" s="6">
        <v>800551</v>
      </c>
      <c r="Y258" s="6">
        <v>56566</v>
      </c>
      <c r="Z258" s="6">
        <v>0</v>
      </c>
      <c r="AA258" s="6">
        <v>857117</v>
      </c>
      <c r="AB258" s="142">
        <f>Table6[[#This Row],[Total Operating Income]]/Table6[[#This Row],[Total Population Served]]</f>
        <v>64.319150532793032</v>
      </c>
    </row>
    <row r="259" spans="1:28" ht="13.5" thickBot="1" x14ac:dyDescent="0.25">
      <c r="A259" s="2" t="s">
        <v>307</v>
      </c>
      <c r="B259" s="1" t="s">
        <v>306</v>
      </c>
      <c r="C259" s="2" t="s">
        <v>29</v>
      </c>
      <c r="D259" s="2" t="s">
        <v>1216</v>
      </c>
      <c r="E259" s="3" t="s">
        <v>67</v>
      </c>
      <c r="F259" s="3" t="s">
        <v>68</v>
      </c>
      <c r="G259" s="4">
        <v>13598</v>
      </c>
      <c r="H259" s="4">
        <v>13598</v>
      </c>
      <c r="I259" s="6">
        <v>19234</v>
      </c>
      <c r="J259" s="6">
        <v>343655</v>
      </c>
      <c r="K259" s="6">
        <v>0</v>
      </c>
      <c r="L259" s="6">
        <v>0</v>
      </c>
      <c r="M259" s="6">
        <v>362889</v>
      </c>
      <c r="N259" s="6">
        <v>4724</v>
      </c>
      <c r="O259" s="2">
        <v>0</v>
      </c>
      <c r="P259" s="6">
        <v>0</v>
      </c>
      <c r="Q259" s="6">
        <v>0</v>
      </c>
      <c r="R259" s="6">
        <v>0</v>
      </c>
      <c r="S259" s="6">
        <v>0</v>
      </c>
      <c r="T259" s="6">
        <v>0</v>
      </c>
      <c r="U259" s="6">
        <v>0</v>
      </c>
      <c r="V259" s="6">
        <v>362889</v>
      </c>
      <c r="W259" s="6">
        <v>4724</v>
      </c>
      <c r="X259" s="6">
        <v>367613</v>
      </c>
      <c r="Y259" s="6">
        <v>1524</v>
      </c>
      <c r="Z259" s="6">
        <v>0</v>
      </c>
      <c r="AA259" s="6">
        <v>369137</v>
      </c>
      <c r="AB259" s="142">
        <f>Table6[[#This Row],[Total Operating Income]]/Table6[[#This Row],[Total Population Served]]</f>
        <v>27.146418590969262</v>
      </c>
    </row>
    <row r="260" spans="1:28" ht="13.5" thickBot="1" x14ac:dyDescent="0.25">
      <c r="A260" s="2" t="s">
        <v>325</v>
      </c>
      <c r="B260" s="1" t="s">
        <v>324</v>
      </c>
      <c r="C260" s="2" t="s">
        <v>29</v>
      </c>
      <c r="D260" s="2" t="s">
        <v>1221</v>
      </c>
      <c r="E260" s="3" t="s">
        <v>22</v>
      </c>
      <c r="F260" s="3" t="s">
        <v>23</v>
      </c>
      <c r="G260" s="4">
        <v>25692</v>
      </c>
      <c r="H260" s="4">
        <v>25692</v>
      </c>
      <c r="I260" s="6">
        <v>168539</v>
      </c>
      <c r="J260" s="6">
        <v>464248</v>
      </c>
      <c r="K260" s="78">
        <v>0</v>
      </c>
      <c r="L260" s="6">
        <v>0</v>
      </c>
      <c r="M260" s="6">
        <v>632787</v>
      </c>
      <c r="N260" s="6">
        <v>38317</v>
      </c>
      <c r="O260" s="78">
        <v>0</v>
      </c>
      <c r="P260" s="78">
        <v>0</v>
      </c>
      <c r="Q260" s="78">
        <v>0</v>
      </c>
      <c r="R260" s="78">
        <v>0</v>
      </c>
      <c r="S260" s="78">
        <v>0</v>
      </c>
      <c r="T260" s="78">
        <v>0</v>
      </c>
      <c r="U260" s="78">
        <v>0</v>
      </c>
      <c r="V260" s="6">
        <v>632787</v>
      </c>
      <c r="W260" s="6">
        <v>38317</v>
      </c>
      <c r="X260" s="6">
        <v>671104</v>
      </c>
      <c r="Y260" s="6">
        <v>16805</v>
      </c>
      <c r="Z260" s="6">
        <v>0</v>
      </c>
      <c r="AA260" s="6">
        <v>687909</v>
      </c>
      <c r="AB260" s="142">
        <f>Table6[[#This Row],[Total Operating Income]]/Table6[[#This Row],[Total Population Served]]</f>
        <v>26.77522185894442</v>
      </c>
    </row>
    <row r="261" spans="1:28" ht="13.5" thickBot="1" x14ac:dyDescent="0.25">
      <c r="A261" s="2" t="s">
        <v>333</v>
      </c>
      <c r="B261" s="1" t="s">
        <v>332</v>
      </c>
      <c r="C261" s="2" t="s">
        <v>29</v>
      </c>
      <c r="D261" s="2" t="s">
        <v>1155</v>
      </c>
      <c r="E261" s="3" t="s">
        <v>27</v>
      </c>
      <c r="F261" s="3" t="s">
        <v>28</v>
      </c>
      <c r="G261" s="4">
        <v>15959</v>
      </c>
      <c r="H261" s="4">
        <v>15959</v>
      </c>
      <c r="I261" s="6">
        <v>59353</v>
      </c>
      <c r="J261" s="6">
        <v>610555</v>
      </c>
      <c r="K261" s="2">
        <v>0</v>
      </c>
      <c r="L261" s="2">
        <v>0</v>
      </c>
      <c r="M261" s="6">
        <v>669908</v>
      </c>
      <c r="N261" s="6">
        <v>30093</v>
      </c>
      <c r="O261" s="78">
        <v>0</v>
      </c>
      <c r="P261" s="78">
        <v>0</v>
      </c>
      <c r="Q261" s="2">
        <v>0</v>
      </c>
      <c r="R261" s="2">
        <v>0</v>
      </c>
      <c r="S261" s="2">
        <v>0</v>
      </c>
      <c r="T261" s="78">
        <v>0</v>
      </c>
      <c r="U261" s="2">
        <v>0</v>
      </c>
      <c r="V261" s="6">
        <v>669908</v>
      </c>
      <c r="W261" s="6">
        <v>30093</v>
      </c>
      <c r="X261" s="6">
        <v>700001</v>
      </c>
      <c r="Y261" s="6">
        <v>11064</v>
      </c>
      <c r="Z261" s="6">
        <v>0</v>
      </c>
      <c r="AA261" s="6">
        <v>711065</v>
      </c>
      <c r="AB261" s="142">
        <f>Table6[[#This Row],[Total Operating Income]]/Table6[[#This Row],[Total Population Served]]</f>
        <v>44.555736574973366</v>
      </c>
    </row>
    <row r="262" spans="1:28" ht="13.5" thickBot="1" x14ac:dyDescent="0.25">
      <c r="A262" s="2" t="s">
        <v>343</v>
      </c>
      <c r="B262" s="1" t="s">
        <v>342</v>
      </c>
      <c r="C262" s="2" t="s">
        <v>29</v>
      </c>
      <c r="D262" s="2" t="s">
        <v>1165</v>
      </c>
      <c r="E262" s="3" t="s">
        <v>27</v>
      </c>
      <c r="F262" s="3" t="s">
        <v>28</v>
      </c>
      <c r="G262" s="4">
        <v>21165</v>
      </c>
      <c r="H262" s="4">
        <v>21165</v>
      </c>
      <c r="I262" s="6">
        <v>60837</v>
      </c>
      <c r="J262" s="6">
        <v>789023</v>
      </c>
      <c r="K262" s="6">
        <v>0</v>
      </c>
      <c r="L262" s="6">
        <v>0</v>
      </c>
      <c r="M262" s="6">
        <v>849860</v>
      </c>
      <c r="N262" s="6">
        <v>33115</v>
      </c>
      <c r="O262" s="2">
        <v>0</v>
      </c>
      <c r="P262" s="6">
        <v>0</v>
      </c>
      <c r="Q262" s="6">
        <v>0</v>
      </c>
      <c r="R262" s="6">
        <v>0</v>
      </c>
      <c r="S262" s="6">
        <v>0</v>
      </c>
      <c r="T262" s="6">
        <v>0</v>
      </c>
      <c r="U262" s="6">
        <v>0</v>
      </c>
      <c r="V262" s="6">
        <v>849860</v>
      </c>
      <c r="W262" s="6">
        <v>33115</v>
      </c>
      <c r="X262" s="6">
        <v>882975</v>
      </c>
      <c r="Y262" s="6">
        <v>15521</v>
      </c>
      <c r="Z262" s="6">
        <v>0</v>
      </c>
      <c r="AA262" s="6">
        <v>898496</v>
      </c>
      <c r="AB262" s="142">
        <f>Table6[[#This Row],[Total Operating Income]]/Table6[[#This Row],[Total Population Served]]</f>
        <v>42.451972596267424</v>
      </c>
    </row>
    <row r="263" spans="1:28" ht="13.5" thickBot="1" x14ac:dyDescent="0.25">
      <c r="A263" s="2" t="s">
        <v>345</v>
      </c>
      <c r="B263" s="1" t="s">
        <v>344</v>
      </c>
      <c r="C263" s="2" t="s">
        <v>29</v>
      </c>
      <c r="D263" s="2" t="s">
        <v>1134</v>
      </c>
      <c r="E263" s="3" t="s">
        <v>14</v>
      </c>
      <c r="F263" s="3" t="s">
        <v>15</v>
      </c>
      <c r="G263" s="4">
        <v>22423</v>
      </c>
      <c r="H263" s="4">
        <v>22423</v>
      </c>
      <c r="I263" s="6">
        <v>19393</v>
      </c>
      <c r="J263" s="6">
        <v>346799</v>
      </c>
      <c r="K263" s="6">
        <v>0</v>
      </c>
      <c r="L263" s="6">
        <v>0</v>
      </c>
      <c r="M263" s="6">
        <v>366192</v>
      </c>
      <c r="N263" s="6">
        <v>13876</v>
      </c>
      <c r="O263" s="2">
        <v>0</v>
      </c>
      <c r="P263" s="2">
        <v>0</v>
      </c>
      <c r="Q263" s="2">
        <v>0</v>
      </c>
      <c r="R263" s="2">
        <v>0</v>
      </c>
      <c r="S263" s="2">
        <v>0</v>
      </c>
      <c r="T263" s="2">
        <v>0</v>
      </c>
      <c r="U263" s="2">
        <v>0</v>
      </c>
      <c r="V263" s="6">
        <v>366192</v>
      </c>
      <c r="W263" s="6">
        <v>13876</v>
      </c>
      <c r="X263" s="6">
        <v>380068</v>
      </c>
      <c r="Y263" s="6">
        <v>16443</v>
      </c>
      <c r="Z263" s="6">
        <v>7372</v>
      </c>
      <c r="AA263" s="6">
        <v>403883</v>
      </c>
      <c r="AB263" s="142">
        <f>Table6[[#This Row],[Total Operating Income]]/Table6[[#This Row],[Total Population Served]]</f>
        <v>18.011996610623022</v>
      </c>
    </row>
    <row r="264" spans="1:28" ht="13.5" thickBot="1" x14ac:dyDescent="0.25">
      <c r="A264" s="2" t="s">
        <v>351</v>
      </c>
      <c r="B264" s="1" t="s">
        <v>350</v>
      </c>
      <c r="C264" s="2" t="s">
        <v>29</v>
      </c>
      <c r="D264" s="2" t="s">
        <v>1134</v>
      </c>
      <c r="E264" s="3" t="s">
        <v>22</v>
      </c>
      <c r="F264" s="3" t="s">
        <v>23</v>
      </c>
      <c r="G264" s="4">
        <v>14236</v>
      </c>
      <c r="H264" s="4">
        <v>14236</v>
      </c>
      <c r="I264" s="6">
        <v>12240</v>
      </c>
      <c r="J264" s="6">
        <v>389422</v>
      </c>
      <c r="K264" s="6">
        <v>0</v>
      </c>
      <c r="L264" s="6">
        <v>68904</v>
      </c>
      <c r="M264" s="6">
        <v>470566</v>
      </c>
      <c r="N264" s="6">
        <v>24879</v>
      </c>
      <c r="O264" s="2">
        <v>0</v>
      </c>
      <c r="P264" s="78">
        <v>0</v>
      </c>
      <c r="Q264" s="78">
        <v>0</v>
      </c>
      <c r="R264" s="78">
        <v>0</v>
      </c>
      <c r="S264" s="78">
        <v>0</v>
      </c>
      <c r="T264" s="78">
        <v>0</v>
      </c>
      <c r="U264" s="2">
        <v>0</v>
      </c>
      <c r="V264" s="6">
        <v>470566</v>
      </c>
      <c r="W264" s="6">
        <v>24879</v>
      </c>
      <c r="X264" s="6">
        <v>495445</v>
      </c>
      <c r="Y264" s="6">
        <v>10912</v>
      </c>
      <c r="Z264" s="6">
        <v>0</v>
      </c>
      <c r="AA264" s="6">
        <v>506357</v>
      </c>
      <c r="AB264" s="142">
        <f>Table6[[#This Row],[Total Operating Income]]/Table6[[#This Row],[Total Population Served]]</f>
        <v>35.568769317223939</v>
      </c>
    </row>
    <row r="265" spans="1:28" ht="13.5" thickBot="1" x14ac:dyDescent="0.25">
      <c r="A265" s="2" t="s">
        <v>353</v>
      </c>
      <c r="B265" s="1" t="s">
        <v>352</v>
      </c>
      <c r="C265" s="2" t="s">
        <v>29</v>
      </c>
      <c r="D265" s="2" t="s">
        <v>1226</v>
      </c>
      <c r="E265" s="3" t="s">
        <v>27</v>
      </c>
      <c r="F265" s="3" t="s">
        <v>28</v>
      </c>
      <c r="G265" s="4">
        <v>12920</v>
      </c>
      <c r="H265" s="4">
        <v>7830</v>
      </c>
      <c r="I265" s="6">
        <v>43681</v>
      </c>
      <c r="J265" s="6">
        <v>194553</v>
      </c>
      <c r="K265" s="6">
        <v>0</v>
      </c>
      <c r="L265" s="6">
        <v>0</v>
      </c>
      <c r="M265" s="6">
        <v>238234</v>
      </c>
      <c r="N265" s="6">
        <v>27468</v>
      </c>
      <c r="O265" s="77">
        <v>5090</v>
      </c>
      <c r="P265" s="6">
        <v>105261</v>
      </c>
      <c r="Q265" s="6">
        <v>0</v>
      </c>
      <c r="R265" s="6">
        <v>0</v>
      </c>
      <c r="S265" s="6">
        <v>0</v>
      </c>
      <c r="T265" s="6">
        <v>105261</v>
      </c>
      <c r="U265" s="6">
        <v>0</v>
      </c>
      <c r="V265" s="6">
        <v>343495</v>
      </c>
      <c r="W265" s="6">
        <v>27468</v>
      </c>
      <c r="X265" s="6">
        <v>370963</v>
      </c>
      <c r="Y265" s="6">
        <v>8069</v>
      </c>
      <c r="Z265" s="6">
        <v>0</v>
      </c>
      <c r="AA265" s="6">
        <v>379032</v>
      </c>
      <c r="AB265" s="142">
        <f>Table6[[#This Row],[Total Operating Income]]/Table6[[#This Row],[Total Population Served]]</f>
        <v>29.336842105263159</v>
      </c>
    </row>
    <row r="266" spans="1:28" ht="13.5" thickBot="1" x14ac:dyDescent="0.25">
      <c r="A266" s="2" t="s">
        <v>355</v>
      </c>
      <c r="B266" s="1" t="s">
        <v>354</v>
      </c>
      <c r="C266" s="2" t="s">
        <v>29</v>
      </c>
      <c r="D266" s="2" t="s">
        <v>1146</v>
      </c>
      <c r="E266" s="3" t="s">
        <v>22</v>
      </c>
      <c r="F266" s="3" t="s">
        <v>23</v>
      </c>
      <c r="G266" s="4">
        <v>24587</v>
      </c>
      <c r="H266" s="4">
        <v>24587</v>
      </c>
      <c r="I266" s="6">
        <v>19759</v>
      </c>
      <c r="J266" s="6">
        <v>428358</v>
      </c>
      <c r="K266" s="6">
        <v>0</v>
      </c>
      <c r="L266" s="6">
        <v>0</v>
      </c>
      <c r="M266" s="6">
        <v>448117</v>
      </c>
      <c r="N266" s="6">
        <v>6889</v>
      </c>
      <c r="O266" s="78">
        <v>0</v>
      </c>
      <c r="P266" s="78">
        <v>0</v>
      </c>
      <c r="Q266" s="2">
        <v>0</v>
      </c>
      <c r="R266" s="2">
        <v>0</v>
      </c>
      <c r="S266" s="2">
        <v>0</v>
      </c>
      <c r="T266" s="78">
        <v>0</v>
      </c>
      <c r="U266" s="2">
        <v>0</v>
      </c>
      <c r="V266" s="6">
        <v>448117</v>
      </c>
      <c r="W266" s="6">
        <v>6889</v>
      </c>
      <c r="X266" s="6">
        <v>455006</v>
      </c>
      <c r="Y266" s="6">
        <v>16082</v>
      </c>
      <c r="Z266" s="6">
        <v>0</v>
      </c>
      <c r="AA266" s="6">
        <v>471088</v>
      </c>
      <c r="AB266" s="142">
        <f>Table6[[#This Row],[Total Operating Income]]/Table6[[#This Row],[Total Population Served]]</f>
        <v>19.160043925651767</v>
      </c>
    </row>
    <row r="267" spans="1:28" ht="13.5" thickBot="1" x14ac:dyDescent="0.25">
      <c r="A267" s="2" t="s">
        <v>361</v>
      </c>
      <c r="B267" s="1" t="s">
        <v>360</v>
      </c>
      <c r="C267" s="2" t="s">
        <v>29</v>
      </c>
      <c r="D267" s="2" t="s">
        <v>1200</v>
      </c>
      <c r="E267" s="3" t="s">
        <v>27</v>
      </c>
      <c r="F267" s="3" t="s">
        <v>28</v>
      </c>
      <c r="G267" s="4">
        <v>13233</v>
      </c>
      <c r="H267" s="4">
        <v>7350</v>
      </c>
      <c r="I267" s="6">
        <v>9256</v>
      </c>
      <c r="J267" s="6">
        <v>0</v>
      </c>
      <c r="K267" s="6">
        <v>298614</v>
      </c>
      <c r="L267" s="6">
        <v>0</v>
      </c>
      <c r="M267" s="6">
        <v>307870</v>
      </c>
      <c r="N267" s="6">
        <v>81907</v>
      </c>
      <c r="O267" s="77">
        <v>5883</v>
      </c>
      <c r="P267" s="6">
        <v>0</v>
      </c>
      <c r="Q267" s="6">
        <v>346694.14</v>
      </c>
      <c r="R267" s="2">
        <v>0</v>
      </c>
      <c r="S267" s="2">
        <v>0</v>
      </c>
      <c r="T267" s="6">
        <v>346694.14</v>
      </c>
      <c r="U267" s="2">
        <v>0</v>
      </c>
      <c r="V267" s="6">
        <v>654564.14</v>
      </c>
      <c r="W267" s="6">
        <v>81907</v>
      </c>
      <c r="X267" s="6">
        <v>736471.14</v>
      </c>
      <c r="Y267" s="6">
        <v>4358</v>
      </c>
      <c r="Z267" s="6">
        <v>6109</v>
      </c>
      <c r="AA267" s="6">
        <v>746938.14</v>
      </c>
      <c r="AB267" s="142">
        <f>Table6[[#This Row],[Total Operating Income]]/Table6[[#This Row],[Total Population Served]]</f>
        <v>56.445109952391746</v>
      </c>
    </row>
    <row r="268" spans="1:28" ht="13.5" thickBot="1" x14ac:dyDescent="0.25">
      <c r="A268" s="2" t="s">
        <v>363</v>
      </c>
      <c r="B268" s="1" t="s">
        <v>362</v>
      </c>
      <c r="C268" s="2" t="s">
        <v>29</v>
      </c>
      <c r="D268" s="2" t="s">
        <v>1125</v>
      </c>
      <c r="E268" s="3" t="s">
        <v>27</v>
      </c>
      <c r="F268" s="3" t="s">
        <v>28</v>
      </c>
      <c r="G268" s="4">
        <v>16422</v>
      </c>
      <c r="H268" s="4">
        <v>16422</v>
      </c>
      <c r="I268" s="6">
        <v>33257</v>
      </c>
      <c r="J268" s="6">
        <v>413743</v>
      </c>
      <c r="K268" s="6">
        <v>0</v>
      </c>
      <c r="L268" s="6">
        <v>0</v>
      </c>
      <c r="M268" s="6">
        <v>447000</v>
      </c>
      <c r="N268" s="6">
        <v>34065</v>
      </c>
      <c r="O268" s="2">
        <v>0</v>
      </c>
      <c r="P268" s="6">
        <v>0</v>
      </c>
      <c r="Q268" s="6">
        <v>0</v>
      </c>
      <c r="R268" s="6">
        <v>0</v>
      </c>
      <c r="S268" s="6">
        <v>0</v>
      </c>
      <c r="T268" s="6">
        <v>0</v>
      </c>
      <c r="U268" s="6">
        <v>0</v>
      </c>
      <c r="V268" s="6">
        <v>447000</v>
      </c>
      <c r="W268" s="6">
        <v>34065</v>
      </c>
      <c r="X268" s="6">
        <v>481065</v>
      </c>
      <c r="Y268" s="6">
        <v>18001</v>
      </c>
      <c r="Z268" s="6">
        <v>0</v>
      </c>
      <c r="AA268" s="6">
        <v>499066</v>
      </c>
      <c r="AB268" s="142">
        <f>Table6[[#This Row],[Total Operating Income]]/Table6[[#This Row],[Total Population Served]]</f>
        <v>30.390086469370356</v>
      </c>
    </row>
    <row r="269" spans="1:28" ht="13.5" thickBot="1" x14ac:dyDescent="0.25">
      <c r="A269" s="2" t="s">
        <v>371</v>
      </c>
      <c r="B269" s="1" t="s">
        <v>370</v>
      </c>
      <c r="C269" s="2" t="s">
        <v>29</v>
      </c>
      <c r="D269" s="2" t="s">
        <v>1125</v>
      </c>
      <c r="E269" s="3" t="s">
        <v>22</v>
      </c>
      <c r="F269" s="3" t="s">
        <v>23</v>
      </c>
      <c r="G269" s="4">
        <v>19202</v>
      </c>
      <c r="H269" s="4">
        <v>19202</v>
      </c>
      <c r="I269" s="6">
        <v>38887</v>
      </c>
      <c r="J269" s="6">
        <v>874845</v>
      </c>
      <c r="K269" s="6">
        <v>0</v>
      </c>
      <c r="L269" s="6">
        <v>5427</v>
      </c>
      <c r="M269" s="6">
        <v>919159</v>
      </c>
      <c r="N269" s="6">
        <v>79480</v>
      </c>
      <c r="O269" s="2">
        <v>0</v>
      </c>
      <c r="P269" s="2">
        <v>0</v>
      </c>
      <c r="Q269" s="2">
        <v>0</v>
      </c>
      <c r="R269" s="2">
        <v>0</v>
      </c>
      <c r="S269" s="2">
        <v>0</v>
      </c>
      <c r="T269" s="2">
        <v>0</v>
      </c>
      <c r="U269" s="2">
        <v>0</v>
      </c>
      <c r="V269" s="6">
        <v>919159</v>
      </c>
      <c r="W269" s="6">
        <v>79480</v>
      </c>
      <c r="X269" s="6">
        <v>998639</v>
      </c>
      <c r="Y269" s="6">
        <v>12560</v>
      </c>
      <c r="Z269" s="6">
        <v>1500</v>
      </c>
      <c r="AA269" s="6">
        <v>1012699</v>
      </c>
      <c r="AB269" s="142">
        <f>Table6[[#This Row],[Total Operating Income]]/Table6[[#This Row],[Total Population Served]]</f>
        <v>52.739245911884176</v>
      </c>
    </row>
    <row r="270" spans="1:28" ht="13.5" thickBot="1" x14ac:dyDescent="0.25">
      <c r="A270" s="2" t="s">
        <v>375</v>
      </c>
      <c r="B270" s="1" t="s">
        <v>374</v>
      </c>
      <c r="C270" s="2" t="s">
        <v>29</v>
      </c>
      <c r="D270" s="2" t="s">
        <v>1125</v>
      </c>
      <c r="E270" s="3" t="s">
        <v>27</v>
      </c>
      <c r="F270" s="3" t="s">
        <v>28</v>
      </c>
      <c r="G270" s="4">
        <v>23088</v>
      </c>
      <c r="H270" s="4">
        <v>11362</v>
      </c>
      <c r="I270" s="6">
        <v>23759</v>
      </c>
      <c r="J270" s="6">
        <v>279540</v>
      </c>
      <c r="K270" s="78">
        <v>0</v>
      </c>
      <c r="L270" s="78">
        <v>0</v>
      </c>
      <c r="M270" s="6">
        <v>303299</v>
      </c>
      <c r="N270" s="6">
        <v>30159</v>
      </c>
      <c r="O270" s="4">
        <v>11726</v>
      </c>
      <c r="P270" s="6">
        <v>24521</v>
      </c>
      <c r="Q270" s="78">
        <v>0</v>
      </c>
      <c r="R270" s="78">
        <v>0</v>
      </c>
      <c r="S270" s="6">
        <v>13110</v>
      </c>
      <c r="T270" s="6">
        <v>37631</v>
      </c>
      <c r="U270" s="78">
        <v>0</v>
      </c>
      <c r="V270" s="6">
        <v>340930</v>
      </c>
      <c r="W270" s="6">
        <v>30159</v>
      </c>
      <c r="X270" s="6">
        <v>371089</v>
      </c>
      <c r="Y270" s="6">
        <v>16007</v>
      </c>
      <c r="Z270" s="6">
        <v>0</v>
      </c>
      <c r="AA270" s="6">
        <v>387096</v>
      </c>
      <c r="AB270" s="142">
        <f>Table6[[#This Row],[Total Operating Income]]/Table6[[#This Row],[Total Population Served]]</f>
        <v>16.766112266112266</v>
      </c>
    </row>
    <row r="271" spans="1:28" ht="13.5" thickBot="1" x14ac:dyDescent="0.25">
      <c r="A271" s="2" t="s">
        <v>383</v>
      </c>
      <c r="B271" s="1" t="s">
        <v>382</v>
      </c>
      <c r="C271" s="2" t="s">
        <v>29</v>
      </c>
      <c r="D271" s="2" t="s">
        <v>1234</v>
      </c>
      <c r="E271" s="3" t="s">
        <v>27</v>
      </c>
      <c r="F271" s="3" t="s">
        <v>28</v>
      </c>
      <c r="G271" s="4">
        <v>15322</v>
      </c>
      <c r="H271" s="4">
        <v>15322</v>
      </c>
      <c r="I271" s="6">
        <v>134953</v>
      </c>
      <c r="J271" s="6">
        <v>520261</v>
      </c>
      <c r="K271" s="2">
        <v>0</v>
      </c>
      <c r="L271" s="6">
        <v>990</v>
      </c>
      <c r="M271" s="6">
        <v>656204</v>
      </c>
      <c r="N271" s="6">
        <v>33726</v>
      </c>
      <c r="O271" s="2">
        <v>0</v>
      </c>
      <c r="P271" s="2">
        <v>0</v>
      </c>
      <c r="Q271" s="2">
        <v>0</v>
      </c>
      <c r="R271" s="2">
        <v>0</v>
      </c>
      <c r="S271" s="2">
        <v>0</v>
      </c>
      <c r="T271" s="2">
        <v>0</v>
      </c>
      <c r="U271" s="2">
        <v>0</v>
      </c>
      <c r="V271" s="6">
        <v>656204</v>
      </c>
      <c r="W271" s="6">
        <v>33726</v>
      </c>
      <c r="X271" s="6">
        <v>689930</v>
      </c>
      <c r="Y271" s="6">
        <v>11236</v>
      </c>
      <c r="Z271" s="6">
        <v>0</v>
      </c>
      <c r="AA271" s="6">
        <v>701166</v>
      </c>
      <c r="AB271" s="142">
        <f>Table6[[#This Row],[Total Operating Income]]/Table6[[#This Row],[Total Population Served]]</f>
        <v>45.762041508941394</v>
      </c>
    </row>
    <row r="272" spans="1:28" ht="13.5" thickBot="1" x14ac:dyDescent="0.25">
      <c r="A272" s="2" t="s">
        <v>385</v>
      </c>
      <c r="B272" s="1" t="s">
        <v>384</v>
      </c>
      <c r="C272" s="2" t="s">
        <v>29</v>
      </c>
      <c r="D272" s="2" t="s">
        <v>1136</v>
      </c>
      <c r="E272" s="3" t="s">
        <v>27</v>
      </c>
      <c r="F272" s="3" t="s">
        <v>28</v>
      </c>
      <c r="G272" s="4">
        <v>22115</v>
      </c>
      <c r="H272" s="4">
        <v>5504</v>
      </c>
      <c r="I272" s="6">
        <v>16140</v>
      </c>
      <c r="J272" s="6">
        <v>0</v>
      </c>
      <c r="K272" s="6">
        <v>350000</v>
      </c>
      <c r="L272" s="6">
        <v>125500</v>
      </c>
      <c r="M272" s="6">
        <v>491640</v>
      </c>
      <c r="N272" s="6">
        <v>74628</v>
      </c>
      <c r="O272" s="77">
        <v>16611</v>
      </c>
      <c r="P272" s="6">
        <v>48711</v>
      </c>
      <c r="Q272" s="6">
        <v>29832</v>
      </c>
      <c r="R272" s="6">
        <v>51011</v>
      </c>
      <c r="S272" s="6">
        <v>105000</v>
      </c>
      <c r="T272" s="6">
        <v>234554</v>
      </c>
      <c r="U272" s="2">
        <v>0</v>
      </c>
      <c r="V272" s="6">
        <v>726194</v>
      </c>
      <c r="W272" s="6">
        <v>74628</v>
      </c>
      <c r="X272" s="6">
        <v>800822</v>
      </c>
      <c r="Y272" s="6">
        <v>23633</v>
      </c>
      <c r="Z272" s="6">
        <v>0</v>
      </c>
      <c r="AA272" s="6">
        <v>824455</v>
      </c>
      <c r="AB272" s="142">
        <f>Table6[[#This Row],[Total Operating Income]]/Table6[[#This Row],[Total Population Served]]</f>
        <v>37.280352701786121</v>
      </c>
    </row>
    <row r="273" spans="1:28" ht="13.5" thickBot="1" x14ac:dyDescent="0.25">
      <c r="A273" s="2" t="s">
        <v>399</v>
      </c>
      <c r="B273" s="1" t="s">
        <v>398</v>
      </c>
      <c r="C273" s="2" t="s">
        <v>29</v>
      </c>
      <c r="D273" s="2" t="s">
        <v>1143</v>
      </c>
      <c r="E273" s="3" t="s">
        <v>27</v>
      </c>
      <c r="F273" s="3" t="s">
        <v>28</v>
      </c>
      <c r="G273" s="4">
        <v>21871</v>
      </c>
      <c r="H273" s="4">
        <v>20891</v>
      </c>
      <c r="I273" s="6">
        <v>124030</v>
      </c>
      <c r="J273" s="6">
        <v>367801</v>
      </c>
      <c r="K273" s="6">
        <v>0</v>
      </c>
      <c r="L273" s="6">
        <v>0</v>
      </c>
      <c r="M273" s="6">
        <v>491831</v>
      </c>
      <c r="N273" s="6">
        <v>25867</v>
      </c>
      <c r="O273" s="77">
        <v>980</v>
      </c>
      <c r="P273" s="78">
        <v>0</v>
      </c>
      <c r="Q273" s="78">
        <v>0</v>
      </c>
      <c r="R273" s="78">
        <v>0</v>
      </c>
      <c r="S273" s="78">
        <v>0</v>
      </c>
      <c r="T273" s="78">
        <v>0</v>
      </c>
      <c r="U273" s="78">
        <v>0</v>
      </c>
      <c r="V273" s="6">
        <v>491831</v>
      </c>
      <c r="W273" s="6">
        <v>25867</v>
      </c>
      <c r="X273" s="6">
        <v>517698</v>
      </c>
      <c r="Y273" s="6">
        <v>15591</v>
      </c>
      <c r="Z273" s="6">
        <v>0</v>
      </c>
      <c r="AA273" s="6">
        <v>533289</v>
      </c>
      <c r="AB273" s="142">
        <f>Table6[[#This Row],[Total Operating Income]]/Table6[[#This Row],[Total Population Served]]</f>
        <v>24.383384390288509</v>
      </c>
    </row>
    <row r="274" spans="1:28" ht="13.5" thickBot="1" x14ac:dyDescent="0.25">
      <c r="A274" s="2" t="s">
        <v>405</v>
      </c>
      <c r="B274" s="1" t="s">
        <v>404</v>
      </c>
      <c r="C274" s="2" t="s">
        <v>29</v>
      </c>
      <c r="D274" s="2" t="s">
        <v>1213</v>
      </c>
      <c r="E274" s="3" t="s">
        <v>22</v>
      </c>
      <c r="F274" s="3" t="s">
        <v>23</v>
      </c>
      <c r="G274" s="4">
        <v>13600</v>
      </c>
      <c r="H274" s="4">
        <v>6470</v>
      </c>
      <c r="I274" s="6">
        <v>17145</v>
      </c>
      <c r="J274" s="78">
        <v>0</v>
      </c>
      <c r="K274" s="6">
        <v>327187</v>
      </c>
      <c r="L274" s="2">
        <v>0</v>
      </c>
      <c r="M274" s="6">
        <v>344332</v>
      </c>
      <c r="N274" s="6">
        <v>9802</v>
      </c>
      <c r="O274" s="4">
        <v>7130</v>
      </c>
      <c r="P274" s="6">
        <v>18892</v>
      </c>
      <c r="Q274" s="2">
        <v>0</v>
      </c>
      <c r="R274" s="2">
        <v>0</v>
      </c>
      <c r="S274" s="6">
        <v>6922</v>
      </c>
      <c r="T274" s="6">
        <v>25814</v>
      </c>
      <c r="U274" s="2">
        <v>0</v>
      </c>
      <c r="V274" s="6">
        <v>370146</v>
      </c>
      <c r="W274" s="6">
        <v>9802</v>
      </c>
      <c r="X274" s="6">
        <v>379948</v>
      </c>
      <c r="Y274" s="6">
        <v>8895</v>
      </c>
      <c r="Z274" s="6">
        <v>0</v>
      </c>
      <c r="AA274" s="6">
        <v>388843</v>
      </c>
      <c r="AB274" s="142">
        <f>Table6[[#This Row],[Total Operating Income]]/Table6[[#This Row],[Total Population Served]]</f>
        <v>28.591397058823528</v>
      </c>
    </row>
    <row r="275" spans="1:28" ht="13.5" thickBot="1" x14ac:dyDescent="0.25">
      <c r="A275" s="2" t="s">
        <v>419</v>
      </c>
      <c r="B275" s="1" t="s">
        <v>418</v>
      </c>
      <c r="C275" s="2" t="s">
        <v>29</v>
      </c>
      <c r="D275" s="2" t="s">
        <v>1241</v>
      </c>
      <c r="E275" s="3" t="s">
        <v>22</v>
      </c>
      <c r="F275" s="3" t="s">
        <v>23</v>
      </c>
      <c r="G275" s="4">
        <v>17153</v>
      </c>
      <c r="H275" s="4">
        <v>17153</v>
      </c>
      <c r="I275" s="6">
        <v>123024</v>
      </c>
      <c r="J275" s="6">
        <v>186121</v>
      </c>
      <c r="K275" s="6">
        <v>0</v>
      </c>
      <c r="L275" s="6">
        <v>0</v>
      </c>
      <c r="M275" s="6">
        <v>309145</v>
      </c>
      <c r="N275" s="6">
        <v>8091</v>
      </c>
      <c r="O275" s="2">
        <v>0</v>
      </c>
      <c r="P275" s="6">
        <v>0</v>
      </c>
      <c r="Q275" s="6">
        <v>0</v>
      </c>
      <c r="R275" s="6">
        <v>0</v>
      </c>
      <c r="S275" s="6">
        <v>0</v>
      </c>
      <c r="T275" s="6">
        <v>0</v>
      </c>
      <c r="U275" s="6">
        <v>0</v>
      </c>
      <c r="V275" s="6">
        <v>309145</v>
      </c>
      <c r="W275" s="6">
        <v>8091</v>
      </c>
      <c r="X275" s="6">
        <v>317236</v>
      </c>
      <c r="Y275" s="6">
        <v>17824</v>
      </c>
      <c r="Z275" s="6">
        <v>0</v>
      </c>
      <c r="AA275" s="6">
        <v>335060</v>
      </c>
      <c r="AB275" s="142">
        <f>Table6[[#This Row],[Total Operating Income]]/Table6[[#This Row],[Total Population Served]]</f>
        <v>19.533609281175305</v>
      </c>
    </row>
    <row r="276" spans="1:28" ht="13.5" thickBot="1" x14ac:dyDescent="0.25">
      <c r="A276" s="2" t="s">
        <v>437</v>
      </c>
      <c r="B276" s="1" t="s">
        <v>436</v>
      </c>
      <c r="C276" s="2" t="s">
        <v>29</v>
      </c>
      <c r="D276" s="2" t="s">
        <v>1134</v>
      </c>
      <c r="E276" s="3" t="s">
        <v>27</v>
      </c>
      <c r="F276" s="3" t="s">
        <v>28</v>
      </c>
      <c r="G276" s="4">
        <v>25369</v>
      </c>
      <c r="H276" s="4">
        <v>25369</v>
      </c>
      <c r="I276" s="6">
        <v>14451</v>
      </c>
      <c r="J276" s="6">
        <v>383481</v>
      </c>
      <c r="K276" s="78">
        <v>0</v>
      </c>
      <c r="L276" s="6">
        <v>0</v>
      </c>
      <c r="M276" s="6">
        <v>397932</v>
      </c>
      <c r="N276" s="6">
        <v>71060</v>
      </c>
      <c r="O276" s="78">
        <v>0</v>
      </c>
      <c r="P276" s="6">
        <v>0</v>
      </c>
      <c r="Q276" s="6">
        <v>0</v>
      </c>
      <c r="R276" s="2">
        <v>0</v>
      </c>
      <c r="S276" s="2">
        <v>0</v>
      </c>
      <c r="T276" s="6">
        <v>0</v>
      </c>
      <c r="U276" s="6">
        <v>0</v>
      </c>
      <c r="V276" s="6">
        <v>397932</v>
      </c>
      <c r="W276" s="6">
        <v>71060</v>
      </c>
      <c r="X276" s="6">
        <v>468992</v>
      </c>
      <c r="Y276" s="6">
        <v>18604</v>
      </c>
      <c r="Z276" s="6">
        <v>7299</v>
      </c>
      <c r="AA276" s="6">
        <v>494895</v>
      </c>
      <c r="AB276" s="142">
        <f>Table6[[#This Row],[Total Operating Income]]/Table6[[#This Row],[Total Population Served]]</f>
        <v>19.507863928416572</v>
      </c>
    </row>
    <row r="277" spans="1:28" ht="13.5" thickBot="1" x14ac:dyDescent="0.25">
      <c r="A277" s="2" t="s">
        <v>453</v>
      </c>
      <c r="B277" s="1" t="s">
        <v>452</v>
      </c>
      <c r="C277" s="2" t="s">
        <v>29</v>
      </c>
      <c r="D277" s="2" t="s">
        <v>1157</v>
      </c>
      <c r="E277" s="3" t="s">
        <v>67</v>
      </c>
      <c r="F277" s="3" t="s">
        <v>68</v>
      </c>
      <c r="G277" s="4">
        <v>22258</v>
      </c>
      <c r="H277" s="4">
        <v>14691</v>
      </c>
      <c r="I277" s="6">
        <v>119780</v>
      </c>
      <c r="J277" s="6">
        <v>747941</v>
      </c>
      <c r="K277" s="6">
        <v>8027</v>
      </c>
      <c r="L277" s="6">
        <v>0</v>
      </c>
      <c r="M277" s="6">
        <v>875748</v>
      </c>
      <c r="N277" s="6">
        <v>57108</v>
      </c>
      <c r="O277" s="4">
        <v>7567</v>
      </c>
      <c r="P277" s="6">
        <v>61696</v>
      </c>
      <c r="Q277" s="6">
        <v>121872</v>
      </c>
      <c r="R277" s="6">
        <v>0</v>
      </c>
      <c r="S277" s="6">
        <v>0</v>
      </c>
      <c r="T277" s="6">
        <v>183568</v>
      </c>
      <c r="U277" s="6">
        <v>0</v>
      </c>
      <c r="V277" s="6">
        <v>1059316</v>
      </c>
      <c r="W277" s="6">
        <v>57108</v>
      </c>
      <c r="X277" s="6">
        <v>1116424</v>
      </c>
      <c r="Y277" s="6">
        <v>15431</v>
      </c>
      <c r="Z277" s="6">
        <v>1180</v>
      </c>
      <c r="AA277" s="6">
        <v>1133035</v>
      </c>
      <c r="AB277" s="142">
        <f>Table6[[#This Row],[Total Operating Income]]/Table6[[#This Row],[Total Population Served]]</f>
        <v>50.904618564111779</v>
      </c>
    </row>
    <row r="278" spans="1:28" ht="13.5" thickBot="1" x14ac:dyDescent="0.25">
      <c r="A278" s="2" t="s">
        <v>467</v>
      </c>
      <c r="B278" s="1" t="s">
        <v>466</v>
      </c>
      <c r="C278" s="2" t="s">
        <v>29</v>
      </c>
      <c r="D278" s="2" t="s">
        <v>1125</v>
      </c>
      <c r="E278" s="3" t="s">
        <v>22</v>
      </c>
      <c r="F278" s="3" t="s">
        <v>23</v>
      </c>
      <c r="G278" s="4">
        <v>14545</v>
      </c>
      <c r="H278" s="4">
        <v>14545</v>
      </c>
      <c r="I278" s="6">
        <v>29456</v>
      </c>
      <c r="J278" s="6">
        <v>454788</v>
      </c>
      <c r="K278" s="6">
        <v>0</v>
      </c>
      <c r="L278" s="6">
        <v>0</v>
      </c>
      <c r="M278" s="6">
        <v>484244</v>
      </c>
      <c r="N278" s="6">
        <v>17422</v>
      </c>
      <c r="O278" s="78">
        <v>0</v>
      </c>
      <c r="P278" s="6">
        <v>0</v>
      </c>
      <c r="Q278" s="6">
        <v>0</v>
      </c>
      <c r="R278" s="6">
        <v>0</v>
      </c>
      <c r="S278" s="6">
        <v>0</v>
      </c>
      <c r="T278" s="6">
        <v>0</v>
      </c>
      <c r="U278" s="6">
        <v>0</v>
      </c>
      <c r="V278" s="6">
        <v>484244</v>
      </c>
      <c r="W278" s="6">
        <v>17422</v>
      </c>
      <c r="X278" s="6">
        <v>501666</v>
      </c>
      <c r="Y278" s="6">
        <v>9842</v>
      </c>
      <c r="Z278" s="6">
        <v>0</v>
      </c>
      <c r="AA278" s="6">
        <v>511508</v>
      </c>
      <c r="AB278" s="142">
        <f>Table6[[#This Row],[Total Operating Income]]/Table6[[#This Row],[Total Population Served]]</f>
        <v>35.167273977311794</v>
      </c>
    </row>
    <row r="279" spans="1:28" ht="13.5" thickBot="1" x14ac:dyDescent="0.25">
      <c r="A279" s="2" t="s">
        <v>474</v>
      </c>
      <c r="B279" s="1" t="s">
        <v>473</v>
      </c>
      <c r="C279" s="2" t="s">
        <v>29</v>
      </c>
      <c r="D279" s="2" t="s">
        <v>1146</v>
      </c>
      <c r="E279" s="3" t="s">
        <v>27</v>
      </c>
      <c r="F279" s="3" t="s">
        <v>28</v>
      </c>
      <c r="G279" s="4">
        <v>13452</v>
      </c>
      <c r="H279" s="4">
        <v>12084</v>
      </c>
      <c r="I279" s="6">
        <v>9711</v>
      </c>
      <c r="J279" s="6">
        <v>479436</v>
      </c>
      <c r="K279" s="6">
        <v>3599</v>
      </c>
      <c r="L279" s="6">
        <v>0</v>
      </c>
      <c r="M279" s="6">
        <v>492746</v>
      </c>
      <c r="N279" s="6">
        <v>24044</v>
      </c>
      <c r="O279" s="4">
        <v>1368</v>
      </c>
      <c r="P279" s="6">
        <v>4246</v>
      </c>
      <c r="Q279" s="6">
        <v>0</v>
      </c>
      <c r="R279" s="6">
        <v>0</v>
      </c>
      <c r="S279" s="6">
        <v>0</v>
      </c>
      <c r="T279" s="6">
        <v>4246</v>
      </c>
      <c r="U279" s="6">
        <v>0</v>
      </c>
      <c r="V279" s="6">
        <v>496992</v>
      </c>
      <c r="W279" s="6">
        <v>24044</v>
      </c>
      <c r="X279" s="6">
        <v>521036</v>
      </c>
      <c r="Y279" s="6">
        <v>9326</v>
      </c>
      <c r="Z279" s="6">
        <v>0</v>
      </c>
      <c r="AA279" s="6">
        <v>530362</v>
      </c>
      <c r="AB279" s="142">
        <f>Table6[[#This Row],[Total Operating Income]]/Table6[[#This Row],[Total Population Served]]</f>
        <v>39.426256318763009</v>
      </c>
    </row>
    <row r="280" spans="1:28" ht="13.5" thickBot="1" x14ac:dyDescent="0.25">
      <c r="A280" s="2" t="s">
        <v>488</v>
      </c>
      <c r="B280" s="1" t="s">
        <v>487</v>
      </c>
      <c r="C280" s="2" t="s">
        <v>29</v>
      </c>
      <c r="D280" s="2" t="s">
        <v>1254</v>
      </c>
      <c r="E280" s="3" t="s">
        <v>17</v>
      </c>
      <c r="F280" s="3" t="s">
        <v>18</v>
      </c>
      <c r="G280" s="4">
        <v>22995</v>
      </c>
      <c r="H280" s="4">
        <v>22995</v>
      </c>
      <c r="I280" s="6">
        <v>134762</v>
      </c>
      <c r="J280" s="6">
        <v>1176379</v>
      </c>
      <c r="K280" s="78">
        <v>0</v>
      </c>
      <c r="L280" s="6">
        <v>39618</v>
      </c>
      <c r="M280" s="6">
        <v>1350759</v>
      </c>
      <c r="N280" s="6">
        <v>19967</v>
      </c>
      <c r="O280" s="78">
        <v>0</v>
      </c>
      <c r="P280" s="78">
        <v>0</v>
      </c>
      <c r="Q280" s="78">
        <v>0</v>
      </c>
      <c r="R280" s="2">
        <v>0</v>
      </c>
      <c r="S280" s="78">
        <v>0</v>
      </c>
      <c r="T280" s="78">
        <v>0</v>
      </c>
      <c r="U280" s="2">
        <v>0</v>
      </c>
      <c r="V280" s="6">
        <v>1350759</v>
      </c>
      <c r="W280" s="6">
        <v>19967</v>
      </c>
      <c r="X280" s="6">
        <v>1370726</v>
      </c>
      <c r="Y280" s="6">
        <v>21579</v>
      </c>
      <c r="Z280" s="6">
        <v>0</v>
      </c>
      <c r="AA280" s="6">
        <v>1392305</v>
      </c>
      <c r="AB280" s="142">
        <f>Table6[[#This Row],[Total Operating Income]]/Table6[[#This Row],[Total Population Served]]</f>
        <v>60.548162644053058</v>
      </c>
    </row>
    <row r="281" spans="1:28" ht="13.5" thickBot="1" x14ac:dyDescent="0.25">
      <c r="A281" s="2" t="s">
        <v>498</v>
      </c>
      <c r="B281" s="1" t="s">
        <v>497</v>
      </c>
      <c r="C281" s="2" t="s">
        <v>29</v>
      </c>
      <c r="D281" s="2" t="s">
        <v>1129</v>
      </c>
      <c r="E281" s="3" t="s">
        <v>27</v>
      </c>
      <c r="F281" s="3" t="s">
        <v>28</v>
      </c>
      <c r="G281" s="4">
        <v>14948</v>
      </c>
      <c r="H281" s="4">
        <v>14948</v>
      </c>
      <c r="I281" s="6">
        <v>26765</v>
      </c>
      <c r="J281" s="6">
        <v>955617</v>
      </c>
      <c r="K281" s="6">
        <v>0</v>
      </c>
      <c r="L281" s="6">
        <v>0</v>
      </c>
      <c r="M281" s="6">
        <v>982382</v>
      </c>
      <c r="N281" s="6">
        <v>41900</v>
      </c>
      <c r="O281" s="2">
        <v>0</v>
      </c>
      <c r="P281" s="6">
        <v>0</v>
      </c>
      <c r="Q281" s="6">
        <v>0</v>
      </c>
      <c r="R281" s="6">
        <v>0</v>
      </c>
      <c r="S281" s="6">
        <v>0</v>
      </c>
      <c r="T281" s="6">
        <v>0</v>
      </c>
      <c r="U281" s="6">
        <v>0</v>
      </c>
      <c r="V281" s="6">
        <v>982382</v>
      </c>
      <c r="W281" s="6">
        <v>41900</v>
      </c>
      <c r="X281" s="6">
        <v>1024282</v>
      </c>
      <c r="Y281" s="6">
        <v>10363</v>
      </c>
      <c r="Z281" s="6">
        <v>0</v>
      </c>
      <c r="AA281" s="6">
        <v>1034645</v>
      </c>
      <c r="AB281" s="142">
        <f>Table6[[#This Row],[Total Operating Income]]/Table6[[#This Row],[Total Population Served]]</f>
        <v>69.21628311479796</v>
      </c>
    </row>
    <row r="282" spans="1:28" ht="13.5" thickBot="1" x14ac:dyDescent="0.25">
      <c r="A282" s="2" t="s">
        <v>502</v>
      </c>
      <c r="B282" s="1" t="s">
        <v>501</v>
      </c>
      <c r="C282" s="2" t="s">
        <v>29</v>
      </c>
      <c r="D282" s="2" t="s">
        <v>1157</v>
      </c>
      <c r="E282" s="3" t="s">
        <v>27</v>
      </c>
      <c r="F282" s="3" t="s">
        <v>28</v>
      </c>
      <c r="G282" s="4">
        <v>18393</v>
      </c>
      <c r="H282" s="4">
        <v>8365</v>
      </c>
      <c r="I282" s="6">
        <v>68202</v>
      </c>
      <c r="J282" s="78">
        <v>0</v>
      </c>
      <c r="K282" s="6">
        <v>303947</v>
      </c>
      <c r="L282" s="6">
        <v>9113</v>
      </c>
      <c r="M282" s="6">
        <v>381262</v>
      </c>
      <c r="N282" s="6">
        <v>124880</v>
      </c>
      <c r="O282" s="77">
        <v>10028</v>
      </c>
      <c r="P282" s="6">
        <v>81761</v>
      </c>
      <c r="Q282" s="78">
        <v>0</v>
      </c>
      <c r="R282" s="78">
        <v>0</v>
      </c>
      <c r="S282" s="6">
        <v>174417</v>
      </c>
      <c r="T282" s="6">
        <v>256178</v>
      </c>
      <c r="U282" s="78">
        <v>0</v>
      </c>
      <c r="V282" s="6">
        <v>637440</v>
      </c>
      <c r="W282" s="6">
        <v>124880</v>
      </c>
      <c r="X282" s="6">
        <v>762320</v>
      </c>
      <c r="Y282" s="6">
        <v>18120</v>
      </c>
      <c r="Z282" s="6">
        <v>0</v>
      </c>
      <c r="AA282" s="6">
        <v>780440</v>
      </c>
      <c r="AB282" s="142">
        <f>Table6[[#This Row],[Total Operating Income]]/Table6[[#This Row],[Total Population Served]]</f>
        <v>42.431359756429075</v>
      </c>
    </row>
    <row r="283" spans="1:28" ht="13.5" thickBot="1" x14ac:dyDescent="0.25">
      <c r="A283" s="2" t="s">
        <v>514</v>
      </c>
      <c r="B283" s="1" t="s">
        <v>513</v>
      </c>
      <c r="C283" s="2" t="s">
        <v>29</v>
      </c>
      <c r="D283" s="2" t="s">
        <v>1261</v>
      </c>
      <c r="E283" s="3" t="s">
        <v>17</v>
      </c>
      <c r="F283" s="3" t="s">
        <v>18</v>
      </c>
      <c r="G283" s="4">
        <v>14384</v>
      </c>
      <c r="H283" s="4">
        <v>14384</v>
      </c>
      <c r="I283" s="6">
        <v>51336</v>
      </c>
      <c r="J283" s="78">
        <v>0</v>
      </c>
      <c r="K283" s="6">
        <v>231830</v>
      </c>
      <c r="L283" s="2">
        <v>0</v>
      </c>
      <c r="M283" s="6">
        <v>283166</v>
      </c>
      <c r="N283" s="6">
        <v>5304</v>
      </c>
      <c r="O283" s="78">
        <v>0</v>
      </c>
      <c r="P283" s="78">
        <v>0</v>
      </c>
      <c r="Q283" s="2">
        <v>0</v>
      </c>
      <c r="R283" s="2">
        <v>0</v>
      </c>
      <c r="S283" s="2">
        <v>0</v>
      </c>
      <c r="T283" s="78">
        <v>0</v>
      </c>
      <c r="U283" s="2">
        <v>0</v>
      </c>
      <c r="V283" s="6">
        <v>283166</v>
      </c>
      <c r="W283" s="6">
        <v>5304</v>
      </c>
      <c r="X283" s="6">
        <v>288470</v>
      </c>
      <c r="Y283" s="6">
        <v>6428</v>
      </c>
      <c r="Z283" s="6">
        <v>0</v>
      </c>
      <c r="AA283" s="6">
        <v>294898</v>
      </c>
      <c r="AB283" s="142">
        <f>Table6[[#This Row],[Total Operating Income]]/Table6[[#This Row],[Total Population Served]]</f>
        <v>20.501807563959954</v>
      </c>
    </row>
    <row r="284" spans="1:28" ht="13.5" thickBot="1" x14ac:dyDescent="0.25">
      <c r="A284" s="2" t="s">
        <v>518</v>
      </c>
      <c r="B284" s="1" t="s">
        <v>517</v>
      </c>
      <c r="C284" s="2" t="s">
        <v>29</v>
      </c>
      <c r="D284" s="2" t="s">
        <v>1262</v>
      </c>
      <c r="E284" s="3" t="s">
        <v>27</v>
      </c>
      <c r="F284" s="3" t="s">
        <v>28</v>
      </c>
      <c r="G284" s="4">
        <v>17511</v>
      </c>
      <c r="H284" s="4">
        <v>5836</v>
      </c>
      <c r="I284" s="6">
        <v>24463</v>
      </c>
      <c r="J284" s="6">
        <v>285064</v>
      </c>
      <c r="K284" s="2">
        <v>0</v>
      </c>
      <c r="L284" s="6">
        <v>58577</v>
      </c>
      <c r="M284" s="6">
        <v>368104</v>
      </c>
      <c r="N284" s="6">
        <v>24101</v>
      </c>
      <c r="O284" s="77">
        <v>11675</v>
      </c>
      <c r="P284" s="6">
        <v>17438</v>
      </c>
      <c r="Q284" s="6">
        <v>0</v>
      </c>
      <c r="R284" s="6">
        <v>0</v>
      </c>
      <c r="S284" s="6">
        <v>4000</v>
      </c>
      <c r="T284" s="6">
        <v>21438</v>
      </c>
      <c r="U284" s="6">
        <v>0</v>
      </c>
      <c r="V284" s="6">
        <v>389542</v>
      </c>
      <c r="W284" s="6">
        <v>24101</v>
      </c>
      <c r="X284" s="6">
        <v>413643</v>
      </c>
      <c r="Y284" s="6">
        <v>12840</v>
      </c>
      <c r="Z284" s="6">
        <v>0</v>
      </c>
      <c r="AA284" s="6">
        <v>426483</v>
      </c>
      <c r="AB284" s="142">
        <f>Table6[[#This Row],[Total Operating Income]]/Table6[[#This Row],[Total Population Served]]</f>
        <v>24.355148192564673</v>
      </c>
    </row>
    <row r="285" spans="1:28" ht="13.5" thickBot="1" x14ac:dyDescent="0.25">
      <c r="A285" s="2" t="s">
        <v>520</v>
      </c>
      <c r="B285" s="1" t="s">
        <v>519</v>
      </c>
      <c r="C285" s="2" t="s">
        <v>29</v>
      </c>
      <c r="D285" s="2" t="s">
        <v>1125</v>
      </c>
      <c r="E285" s="3" t="s">
        <v>22</v>
      </c>
      <c r="F285" s="3" t="s">
        <v>23</v>
      </c>
      <c r="G285" s="4">
        <v>15736</v>
      </c>
      <c r="H285" s="4">
        <v>15736</v>
      </c>
      <c r="I285" s="6">
        <v>31868</v>
      </c>
      <c r="J285" s="6">
        <v>947699</v>
      </c>
      <c r="K285" s="6">
        <v>0</v>
      </c>
      <c r="L285" s="6">
        <v>98890</v>
      </c>
      <c r="M285" s="6">
        <v>1078457</v>
      </c>
      <c r="N285" s="6">
        <v>67703</v>
      </c>
      <c r="O285" s="78">
        <v>0</v>
      </c>
      <c r="P285" s="78">
        <v>0</v>
      </c>
      <c r="Q285" s="78">
        <v>0</v>
      </c>
      <c r="R285" s="2">
        <v>0</v>
      </c>
      <c r="S285" s="2">
        <v>0</v>
      </c>
      <c r="T285" s="78">
        <v>0</v>
      </c>
      <c r="U285" s="2">
        <v>0</v>
      </c>
      <c r="V285" s="6">
        <v>1078457</v>
      </c>
      <c r="W285" s="6">
        <v>67703</v>
      </c>
      <c r="X285" s="6">
        <v>1146160</v>
      </c>
      <c r="Y285" s="6">
        <v>10293</v>
      </c>
      <c r="Z285" s="6">
        <v>0</v>
      </c>
      <c r="AA285" s="6">
        <v>1156453</v>
      </c>
      <c r="AB285" s="142">
        <f>Table6[[#This Row],[Total Operating Income]]/Table6[[#This Row],[Total Population Served]]</f>
        <v>73.490912557193695</v>
      </c>
    </row>
    <row r="286" spans="1:28" ht="13.5" thickBot="1" x14ac:dyDescent="0.25">
      <c r="A286" s="2" t="s">
        <v>524</v>
      </c>
      <c r="B286" s="1" t="s">
        <v>523</v>
      </c>
      <c r="C286" s="2" t="s">
        <v>29</v>
      </c>
      <c r="D286" s="2" t="s">
        <v>1209</v>
      </c>
      <c r="E286" s="3" t="s">
        <v>22</v>
      </c>
      <c r="F286" s="3" t="s">
        <v>23</v>
      </c>
      <c r="G286" s="4">
        <v>13097</v>
      </c>
      <c r="H286" s="4">
        <v>13097</v>
      </c>
      <c r="I286" s="6">
        <v>41646</v>
      </c>
      <c r="J286" s="6">
        <v>113566</v>
      </c>
      <c r="K286" s="6">
        <v>34798</v>
      </c>
      <c r="L286" s="78">
        <v>0</v>
      </c>
      <c r="M286" s="6">
        <v>190010</v>
      </c>
      <c r="N286" s="6">
        <v>32458</v>
      </c>
      <c r="O286" s="78">
        <v>0</v>
      </c>
      <c r="P286" s="78">
        <v>0</v>
      </c>
      <c r="Q286" s="78">
        <v>0</v>
      </c>
      <c r="R286" s="78">
        <v>0</v>
      </c>
      <c r="S286" s="78">
        <v>0</v>
      </c>
      <c r="T286" s="78">
        <v>0</v>
      </c>
      <c r="U286" s="78">
        <v>0</v>
      </c>
      <c r="V286" s="6">
        <v>190010</v>
      </c>
      <c r="W286" s="6">
        <v>32458</v>
      </c>
      <c r="X286" s="6">
        <v>222468</v>
      </c>
      <c r="Y286" s="6">
        <v>8566</v>
      </c>
      <c r="Z286" s="6">
        <v>0</v>
      </c>
      <c r="AA286" s="6">
        <v>231034</v>
      </c>
      <c r="AB286" s="142">
        <f>Table6[[#This Row],[Total Operating Income]]/Table6[[#This Row],[Total Population Served]]</f>
        <v>17.640222951821027</v>
      </c>
    </row>
    <row r="287" spans="1:28" ht="13.5" thickBot="1" x14ac:dyDescent="0.25">
      <c r="A287" s="2" t="s">
        <v>534</v>
      </c>
      <c r="B287" s="1" t="s">
        <v>533</v>
      </c>
      <c r="C287" s="2" t="s">
        <v>29</v>
      </c>
      <c r="D287" s="2" t="s">
        <v>1146</v>
      </c>
      <c r="E287" s="3" t="s">
        <v>27</v>
      </c>
      <c r="F287" s="3" t="s">
        <v>28</v>
      </c>
      <c r="G287" s="4">
        <v>22857</v>
      </c>
      <c r="H287" s="4">
        <v>22857</v>
      </c>
      <c r="I287" s="6">
        <v>19793</v>
      </c>
      <c r="J287" s="6">
        <v>1114399</v>
      </c>
      <c r="K287" s="6">
        <v>78624</v>
      </c>
      <c r="L287" s="6">
        <v>4651</v>
      </c>
      <c r="M287" s="6">
        <v>1217467</v>
      </c>
      <c r="N287" s="6">
        <v>26261</v>
      </c>
      <c r="O287" s="2">
        <v>0</v>
      </c>
      <c r="P287" s="78">
        <v>0</v>
      </c>
      <c r="Q287" s="78">
        <v>0</v>
      </c>
      <c r="R287" s="78">
        <v>0</v>
      </c>
      <c r="S287" s="78">
        <v>0</v>
      </c>
      <c r="T287" s="78">
        <v>0</v>
      </c>
      <c r="U287" s="78">
        <v>0</v>
      </c>
      <c r="V287" s="6">
        <v>1217467</v>
      </c>
      <c r="W287" s="6">
        <v>26261</v>
      </c>
      <c r="X287" s="6">
        <v>1243728</v>
      </c>
      <c r="Y287" s="6">
        <v>208356</v>
      </c>
      <c r="Z287" s="6">
        <v>0</v>
      </c>
      <c r="AA287" s="6">
        <v>1452084</v>
      </c>
      <c r="AB287" s="142">
        <f>Table6[[#This Row],[Total Operating Income]]/Table6[[#This Row],[Total Population Served]]</f>
        <v>63.529072056700358</v>
      </c>
    </row>
    <row r="288" spans="1:28" ht="13.5" thickBot="1" x14ac:dyDescent="0.25">
      <c r="A288" s="2" t="s">
        <v>548</v>
      </c>
      <c r="B288" s="1" t="s">
        <v>547</v>
      </c>
      <c r="C288" s="2" t="s">
        <v>29</v>
      </c>
      <c r="D288" s="2" t="s">
        <v>1157</v>
      </c>
      <c r="E288" s="3" t="s">
        <v>17</v>
      </c>
      <c r="F288" s="3" t="s">
        <v>18</v>
      </c>
      <c r="G288" s="4">
        <v>25686</v>
      </c>
      <c r="H288" s="4">
        <v>24520</v>
      </c>
      <c r="I288" s="6">
        <v>184622</v>
      </c>
      <c r="J288" s="6">
        <v>780732</v>
      </c>
      <c r="K288" s="6">
        <v>3741</v>
      </c>
      <c r="L288" s="6">
        <v>43835</v>
      </c>
      <c r="M288" s="6">
        <v>1012930</v>
      </c>
      <c r="N288" s="6">
        <v>130816</v>
      </c>
      <c r="O288" s="4">
        <v>1166</v>
      </c>
      <c r="P288" s="6">
        <v>4502</v>
      </c>
      <c r="Q288" s="78">
        <v>0</v>
      </c>
      <c r="R288" s="6">
        <v>1000</v>
      </c>
      <c r="S288" s="78">
        <v>0</v>
      </c>
      <c r="T288" s="6">
        <v>5502</v>
      </c>
      <c r="U288" s="78">
        <v>0</v>
      </c>
      <c r="V288" s="6">
        <v>1018432</v>
      </c>
      <c r="W288" s="6">
        <v>130816</v>
      </c>
      <c r="X288" s="6">
        <v>1149248</v>
      </c>
      <c r="Y288" s="6">
        <v>18836</v>
      </c>
      <c r="Z288" s="6">
        <v>24613</v>
      </c>
      <c r="AA288" s="6">
        <v>1192697</v>
      </c>
      <c r="AB288" s="142">
        <f>Table6[[#This Row],[Total Operating Income]]/Table6[[#This Row],[Total Population Served]]</f>
        <v>46.433738223156581</v>
      </c>
    </row>
    <row r="289" spans="1:28" ht="13.5" thickBot="1" x14ac:dyDescent="0.25">
      <c r="A289" s="2" t="s">
        <v>564</v>
      </c>
      <c r="B289" s="1" t="s">
        <v>563</v>
      </c>
      <c r="C289" s="2" t="s">
        <v>29</v>
      </c>
      <c r="D289" s="2" t="s">
        <v>1272</v>
      </c>
      <c r="E289" s="3" t="s">
        <v>17</v>
      </c>
      <c r="F289" s="3" t="s">
        <v>18</v>
      </c>
      <c r="G289" s="4">
        <v>12561</v>
      </c>
      <c r="H289" s="4">
        <v>5092</v>
      </c>
      <c r="I289" s="6">
        <v>61048</v>
      </c>
      <c r="J289" s="6">
        <v>124188</v>
      </c>
      <c r="K289" s="6">
        <v>0</v>
      </c>
      <c r="L289" s="6">
        <v>0</v>
      </c>
      <c r="M289" s="6">
        <v>185236</v>
      </c>
      <c r="N289" s="6">
        <v>0</v>
      </c>
      <c r="O289" s="4">
        <v>7469</v>
      </c>
      <c r="P289" s="6">
        <v>89546</v>
      </c>
      <c r="Q289" s="6">
        <v>0</v>
      </c>
      <c r="R289" s="6">
        <v>0</v>
      </c>
      <c r="S289" s="6">
        <v>0</v>
      </c>
      <c r="T289" s="6">
        <v>89546</v>
      </c>
      <c r="U289" s="6">
        <v>0</v>
      </c>
      <c r="V289" s="6">
        <v>274782</v>
      </c>
      <c r="W289" s="6">
        <v>0</v>
      </c>
      <c r="X289" s="6">
        <v>274782</v>
      </c>
      <c r="Y289" s="6">
        <v>9211</v>
      </c>
      <c r="Z289" s="6">
        <v>0</v>
      </c>
      <c r="AA289" s="6">
        <v>283993</v>
      </c>
      <c r="AB289" s="142">
        <f>Table6[[#This Row],[Total Operating Income]]/Table6[[#This Row],[Total Population Served]]</f>
        <v>22.609107555130961</v>
      </c>
    </row>
    <row r="290" spans="1:28" ht="13.5" thickBot="1" x14ac:dyDescent="0.25">
      <c r="A290" s="2" t="s">
        <v>574</v>
      </c>
      <c r="B290" s="1" t="s">
        <v>573</v>
      </c>
      <c r="C290" s="2" t="s">
        <v>29</v>
      </c>
      <c r="D290" s="2" t="s">
        <v>1274</v>
      </c>
      <c r="E290" s="3" t="s">
        <v>22</v>
      </c>
      <c r="F290" s="3" t="s">
        <v>23</v>
      </c>
      <c r="G290" s="4">
        <v>24164</v>
      </c>
      <c r="H290" s="4">
        <v>24164</v>
      </c>
      <c r="I290" s="6">
        <v>162046</v>
      </c>
      <c r="J290" s="6">
        <v>463228</v>
      </c>
      <c r="K290" s="6">
        <v>0</v>
      </c>
      <c r="L290" s="6">
        <v>6803</v>
      </c>
      <c r="M290" s="6">
        <v>632077</v>
      </c>
      <c r="N290" s="6">
        <v>96008</v>
      </c>
      <c r="O290" s="78">
        <v>0</v>
      </c>
      <c r="P290" s="78">
        <v>0</v>
      </c>
      <c r="Q290" s="2">
        <v>0</v>
      </c>
      <c r="R290" s="2">
        <v>0</v>
      </c>
      <c r="S290" s="2">
        <v>0</v>
      </c>
      <c r="T290" s="78">
        <v>0</v>
      </c>
      <c r="U290" s="2">
        <v>0</v>
      </c>
      <c r="V290" s="6">
        <v>632077</v>
      </c>
      <c r="W290" s="6">
        <v>96008</v>
      </c>
      <c r="X290" s="6">
        <v>728085</v>
      </c>
      <c r="Y290" s="6">
        <v>19826</v>
      </c>
      <c r="Z290" s="6">
        <v>1500</v>
      </c>
      <c r="AA290" s="6">
        <v>749411</v>
      </c>
      <c r="AB290" s="142">
        <f>Table6[[#This Row],[Total Operating Income]]/Table6[[#This Row],[Total Population Served]]</f>
        <v>31.013532527727197</v>
      </c>
    </row>
    <row r="291" spans="1:28" ht="13.5" thickBot="1" x14ac:dyDescent="0.25">
      <c r="A291" s="2" t="s">
        <v>576</v>
      </c>
      <c r="B291" s="1" t="s">
        <v>575</v>
      </c>
      <c r="C291" s="2" t="s">
        <v>29</v>
      </c>
      <c r="D291" s="2" t="s">
        <v>1133</v>
      </c>
      <c r="E291" s="3" t="s">
        <v>22</v>
      </c>
      <c r="F291" s="3" t="s">
        <v>23</v>
      </c>
      <c r="G291" s="4">
        <v>14230</v>
      </c>
      <c r="H291" s="4">
        <v>13312</v>
      </c>
      <c r="I291" s="6">
        <v>64201</v>
      </c>
      <c r="J291" s="6">
        <v>396776</v>
      </c>
      <c r="K291" s="78">
        <v>0</v>
      </c>
      <c r="L291" s="78">
        <v>0</v>
      </c>
      <c r="M291" s="6">
        <v>460977</v>
      </c>
      <c r="N291" s="6">
        <v>131688</v>
      </c>
      <c r="O291" s="4">
        <v>918</v>
      </c>
      <c r="P291" s="6">
        <v>11330</v>
      </c>
      <c r="Q291" s="78">
        <v>0</v>
      </c>
      <c r="R291" s="78">
        <v>0</v>
      </c>
      <c r="S291" s="78">
        <v>0</v>
      </c>
      <c r="T291" s="6">
        <v>11330</v>
      </c>
      <c r="U291" s="78">
        <v>0</v>
      </c>
      <c r="V291" s="6">
        <v>472307</v>
      </c>
      <c r="W291" s="6">
        <v>131688</v>
      </c>
      <c r="X291" s="6">
        <v>603995</v>
      </c>
      <c r="Y291" s="6">
        <v>9307</v>
      </c>
      <c r="Z291" s="6">
        <v>3524</v>
      </c>
      <c r="AA291" s="6">
        <v>616826</v>
      </c>
      <c r="AB291" s="142">
        <f>Table6[[#This Row],[Total Operating Income]]/Table6[[#This Row],[Total Population Served]]</f>
        <v>43.346872803935348</v>
      </c>
    </row>
    <row r="292" spans="1:28" ht="13.5" thickBot="1" x14ac:dyDescent="0.25">
      <c r="A292" s="2" t="s">
        <v>580</v>
      </c>
      <c r="B292" s="1" t="s">
        <v>579</v>
      </c>
      <c r="C292" s="2" t="s">
        <v>29</v>
      </c>
      <c r="D292" s="2" t="s">
        <v>1125</v>
      </c>
      <c r="E292" s="3" t="s">
        <v>22</v>
      </c>
      <c r="F292" s="3" t="s">
        <v>23</v>
      </c>
      <c r="G292" s="4">
        <v>20526</v>
      </c>
      <c r="H292" s="4">
        <v>20526</v>
      </c>
      <c r="I292" s="6">
        <v>42922</v>
      </c>
      <c r="J292" s="6">
        <v>1132150</v>
      </c>
      <c r="K292" s="6">
        <v>0</v>
      </c>
      <c r="L292" s="6">
        <v>7219</v>
      </c>
      <c r="M292" s="6">
        <v>1182291</v>
      </c>
      <c r="N292" s="6">
        <v>70665</v>
      </c>
      <c r="O292" s="78">
        <v>0</v>
      </c>
      <c r="P292" s="78">
        <v>0</v>
      </c>
      <c r="Q292" s="78">
        <v>0</v>
      </c>
      <c r="R292" s="2">
        <v>0</v>
      </c>
      <c r="S292" s="78">
        <v>0</v>
      </c>
      <c r="T292" s="78">
        <v>0</v>
      </c>
      <c r="U292" s="2">
        <v>0</v>
      </c>
      <c r="V292" s="6">
        <v>1182291</v>
      </c>
      <c r="W292" s="6">
        <v>70665</v>
      </c>
      <c r="X292" s="6">
        <v>1252956</v>
      </c>
      <c r="Y292" s="6">
        <v>15052</v>
      </c>
      <c r="Z292" s="6">
        <v>0</v>
      </c>
      <c r="AA292" s="6">
        <v>1268008</v>
      </c>
      <c r="AB292" s="142">
        <f>Table6[[#This Row],[Total Operating Income]]/Table6[[#This Row],[Total Population Served]]</f>
        <v>61.775699113319689</v>
      </c>
    </row>
    <row r="293" spans="1:28" ht="13.5" thickBot="1" x14ac:dyDescent="0.25">
      <c r="A293" s="2" t="s">
        <v>588</v>
      </c>
      <c r="B293" s="1" t="s">
        <v>587</v>
      </c>
      <c r="C293" s="2" t="s">
        <v>29</v>
      </c>
      <c r="D293" s="2" t="s">
        <v>1229</v>
      </c>
      <c r="E293" s="3" t="s">
        <v>22</v>
      </c>
      <c r="F293" s="3" t="s">
        <v>23</v>
      </c>
      <c r="G293" s="4">
        <v>13579</v>
      </c>
      <c r="H293" s="4">
        <v>13579</v>
      </c>
      <c r="I293" s="6">
        <v>65245</v>
      </c>
      <c r="J293" s="6">
        <v>850479</v>
      </c>
      <c r="K293" s="6">
        <v>0</v>
      </c>
      <c r="L293" s="6">
        <v>755</v>
      </c>
      <c r="M293" s="6">
        <v>916479</v>
      </c>
      <c r="N293" s="6">
        <v>7512</v>
      </c>
      <c r="O293" s="2">
        <v>0</v>
      </c>
      <c r="P293" s="78">
        <v>0</v>
      </c>
      <c r="Q293" s="78">
        <v>0</v>
      </c>
      <c r="R293" s="78">
        <v>0</v>
      </c>
      <c r="S293" s="78">
        <v>0</v>
      </c>
      <c r="T293" s="78">
        <v>0</v>
      </c>
      <c r="U293" s="78">
        <v>0</v>
      </c>
      <c r="V293" s="6">
        <v>916479</v>
      </c>
      <c r="W293" s="6">
        <v>7512</v>
      </c>
      <c r="X293" s="6">
        <v>923991</v>
      </c>
      <c r="Y293" s="6">
        <v>8882</v>
      </c>
      <c r="Z293" s="6">
        <v>0</v>
      </c>
      <c r="AA293" s="6">
        <v>932873</v>
      </c>
      <c r="AB293" s="142">
        <f>Table6[[#This Row],[Total Operating Income]]/Table6[[#This Row],[Total Population Served]]</f>
        <v>68.699683334560717</v>
      </c>
    </row>
    <row r="294" spans="1:28" ht="13.5" thickBot="1" x14ac:dyDescent="0.25">
      <c r="A294" s="2" t="s">
        <v>600</v>
      </c>
      <c r="B294" s="1" t="s">
        <v>599</v>
      </c>
      <c r="C294" s="2" t="s">
        <v>29</v>
      </c>
      <c r="D294" s="2" t="s">
        <v>1128</v>
      </c>
      <c r="E294" s="3" t="s">
        <v>22</v>
      </c>
      <c r="F294" s="3" t="s">
        <v>23</v>
      </c>
      <c r="G294" s="4">
        <v>16709</v>
      </c>
      <c r="H294" s="4">
        <v>5670</v>
      </c>
      <c r="I294" s="6">
        <v>27593</v>
      </c>
      <c r="J294" s="6">
        <v>527417</v>
      </c>
      <c r="K294" s="78">
        <v>0</v>
      </c>
      <c r="L294" s="78">
        <v>0</v>
      </c>
      <c r="M294" s="6">
        <v>555010</v>
      </c>
      <c r="N294" s="6">
        <v>87094</v>
      </c>
      <c r="O294" s="4">
        <v>11039</v>
      </c>
      <c r="P294" s="6">
        <v>53722</v>
      </c>
      <c r="Q294" s="6">
        <v>473011</v>
      </c>
      <c r="R294" s="78">
        <v>0</v>
      </c>
      <c r="S294" s="78">
        <v>0</v>
      </c>
      <c r="T294" s="6">
        <v>526733</v>
      </c>
      <c r="U294" s="78">
        <v>0</v>
      </c>
      <c r="V294" s="6">
        <v>1081743</v>
      </c>
      <c r="W294" s="6">
        <v>87094</v>
      </c>
      <c r="X294" s="6">
        <v>1168837</v>
      </c>
      <c r="Y294" s="6">
        <v>9529</v>
      </c>
      <c r="Z294" s="6">
        <v>0</v>
      </c>
      <c r="AA294" s="6">
        <v>1178366</v>
      </c>
      <c r="AB294" s="142">
        <f>Table6[[#This Row],[Total Operating Income]]/Table6[[#This Row],[Total Population Served]]</f>
        <v>70.52283200670297</v>
      </c>
    </row>
    <row r="295" spans="1:28" ht="13.5" thickBot="1" x14ac:dyDescent="0.25">
      <c r="A295" s="2" t="s">
        <v>616</v>
      </c>
      <c r="B295" s="1" t="s">
        <v>615</v>
      </c>
      <c r="C295" s="2" t="s">
        <v>29</v>
      </c>
      <c r="D295" s="2" t="s">
        <v>1171</v>
      </c>
      <c r="E295" s="3" t="s">
        <v>27</v>
      </c>
      <c r="F295" s="3" t="s">
        <v>28</v>
      </c>
      <c r="G295" s="4">
        <v>12798</v>
      </c>
      <c r="H295" s="4">
        <v>10929</v>
      </c>
      <c r="I295" s="6">
        <v>15897</v>
      </c>
      <c r="J295" s="6">
        <v>460152</v>
      </c>
      <c r="K295" s="78">
        <v>0</v>
      </c>
      <c r="L295" s="6">
        <v>2000</v>
      </c>
      <c r="M295" s="6">
        <v>478049</v>
      </c>
      <c r="N295" s="6">
        <v>67416</v>
      </c>
      <c r="O295" s="77">
        <v>1869</v>
      </c>
      <c r="P295" s="6">
        <v>2693</v>
      </c>
      <c r="Q295" s="6">
        <v>116542</v>
      </c>
      <c r="R295" s="2">
        <v>0</v>
      </c>
      <c r="S295" s="2">
        <v>0</v>
      </c>
      <c r="T295" s="6">
        <v>119235</v>
      </c>
      <c r="U295" s="2">
        <v>0</v>
      </c>
      <c r="V295" s="6">
        <v>597284</v>
      </c>
      <c r="W295" s="6">
        <v>67416</v>
      </c>
      <c r="X295" s="6">
        <v>664700</v>
      </c>
      <c r="Y295" s="6">
        <v>9386</v>
      </c>
      <c r="Z295" s="6">
        <v>0</v>
      </c>
      <c r="AA295" s="6">
        <v>674086</v>
      </c>
      <c r="AB295" s="142">
        <f>Table6[[#This Row],[Total Operating Income]]/Table6[[#This Row],[Total Population Served]]</f>
        <v>52.67119862478512</v>
      </c>
    </row>
    <row r="296" spans="1:28" ht="13.5" thickBot="1" x14ac:dyDescent="0.25">
      <c r="A296" s="2" t="s">
        <v>618</v>
      </c>
      <c r="B296" s="1" t="s">
        <v>617</v>
      </c>
      <c r="C296" s="2" t="s">
        <v>29</v>
      </c>
      <c r="D296" s="2" t="s">
        <v>1143</v>
      </c>
      <c r="E296" s="3" t="s">
        <v>27</v>
      </c>
      <c r="F296" s="3" t="s">
        <v>28</v>
      </c>
      <c r="G296" s="4">
        <v>13912</v>
      </c>
      <c r="H296" s="4">
        <v>10275</v>
      </c>
      <c r="I296" s="6">
        <v>68242</v>
      </c>
      <c r="J296" s="6">
        <v>272319</v>
      </c>
      <c r="K296" s="6">
        <v>0</v>
      </c>
      <c r="L296" s="6">
        <v>0</v>
      </c>
      <c r="M296" s="6">
        <v>340561</v>
      </c>
      <c r="N296" s="6">
        <v>30352</v>
      </c>
      <c r="O296" s="4">
        <v>3637</v>
      </c>
      <c r="P296" s="6">
        <v>20133</v>
      </c>
      <c r="Q296" s="6">
        <v>40822</v>
      </c>
      <c r="R296" s="6">
        <v>0</v>
      </c>
      <c r="S296" s="6">
        <v>300</v>
      </c>
      <c r="T296" s="6">
        <v>61255</v>
      </c>
      <c r="U296" s="6">
        <v>0</v>
      </c>
      <c r="V296" s="6">
        <v>401816</v>
      </c>
      <c r="W296" s="6">
        <v>30352</v>
      </c>
      <c r="X296" s="6">
        <v>432168</v>
      </c>
      <c r="Y296" s="6">
        <v>9645</v>
      </c>
      <c r="Z296" s="6">
        <v>0</v>
      </c>
      <c r="AA296" s="6">
        <v>441813</v>
      </c>
      <c r="AB296" s="142">
        <f>Table6[[#This Row],[Total Operating Income]]/Table6[[#This Row],[Total Population Served]]</f>
        <v>31.757691201840139</v>
      </c>
    </row>
    <row r="297" spans="1:28" ht="13.5" thickBot="1" x14ac:dyDescent="0.25">
      <c r="A297" s="2" t="s">
        <v>622</v>
      </c>
      <c r="B297" s="1" t="s">
        <v>621</v>
      </c>
      <c r="C297" s="2" t="s">
        <v>29</v>
      </c>
      <c r="D297" s="2" t="s">
        <v>1283</v>
      </c>
      <c r="E297" s="3" t="s">
        <v>22</v>
      </c>
      <c r="F297" s="3" t="s">
        <v>23</v>
      </c>
      <c r="G297" s="4">
        <v>14878</v>
      </c>
      <c r="H297" s="4">
        <v>13376</v>
      </c>
      <c r="I297" s="6">
        <v>29767</v>
      </c>
      <c r="J297" s="6">
        <v>659662</v>
      </c>
      <c r="K297" s="6">
        <v>0</v>
      </c>
      <c r="L297" s="6">
        <v>12776</v>
      </c>
      <c r="M297" s="6">
        <v>702205</v>
      </c>
      <c r="N297" s="6">
        <v>76092</v>
      </c>
      <c r="O297" s="77">
        <v>1502</v>
      </c>
      <c r="P297" s="6">
        <v>10104</v>
      </c>
      <c r="Q297" s="6">
        <v>0</v>
      </c>
      <c r="R297" s="6">
        <v>0</v>
      </c>
      <c r="S297" s="6">
        <v>0</v>
      </c>
      <c r="T297" s="6">
        <v>10104</v>
      </c>
      <c r="U297" s="6">
        <v>0</v>
      </c>
      <c r="V297" s="6">
        <v>712309</v>
      </c>
      <c r="W297" s="6">
        <v>76092</v>
      </c>
      <c r="X297" s="6">
        <v>788401</v>
      </c>
      <c r="Y297" s="6">
        <v>13783</v>
      </c>
      <c r="Z297" s="6">
        <v>0</v>
      </c>
      <c r="AA297" s="6">
        <v>802184</v>
      </c>
      <c r="AB297" s="142">
        <f>Table6[[#This Row],[Total Operating Income]]/Table6[[#This Row],[Total Population Served]]</f>
        <v>53.917462024465657</v>
      </c>
    </row>
    <row r="298" spans="1:28" ht="13.5" thickBot="1" x14ac:dyDescent="0.25">
      <c r="A298" s="2" t="s">
        <v>658</v>
      </c>
      <c r="B298" s="1" t="s">
        <v>657</v>
      </c>
      <c r="C298" s="2" t="s">
        <v>29</v>
      </c>
      <c r="D298" s="2" t="s">
        <v>1134</v>
      </c>
      <c r="E298" s="3" t="s">
        <v>27</v>
      </c>
      <c r="F298" s="3" t="s">
        <v>28</v>
      </c>
      <c r="G298" s="4">
        <v>12486</v>
      </c>
      <c r="H298" s="4">
        <v>12486</v>
      </c>
      <c r="I298" s="6">
        <v>7112</v>
      </c>
      <c r="J298" s="6">
        <v>237921</v>
      </c>
      <c r="K298" s="78">
        <v>0</v>
      </c>
      <c r="L298" s="6">
        <v>87000</v>
      </c>
      <c r="M298" s="6">
        <v>332033</v>
      </c>
      <c r="N298" s="6">
        <v>12085</v>
      </c>
      <c r="O298" s="2">
        <v>0</v>
      </c>
      <c r="P298" s="78">
        <v>0</v>
      </c>
      <c r="Q298" s="78">
        <v>0</v>
      </c>
      <c r="R298" s="78">
        <v>0</v>
      </c>
      <c r="S298" s="78">
        <v>0</v>
      </c>
      <c r="T298" s="78">
        <v>0</v>
      </c>
      <c r="U298" s="78">
        <v>0</v>
      </c>
      <c r="V298" s="6">
        <v>332033</v>
      </c>
      <c r="W298" s="6">
        <v>12085</v>
      </c>
      <c r="X298" s="6">
        <v>344118</v>
      </c>
      <c r="Y298" s="6">
        <v>0</v>
      </c>
      <c r="Z298" s="6">
        <v>0</v>
      </c>
      <c r="AA298" s="6">
        <v>344118</v>
      </c>
      <c r="AB298" s="142">
        <f>Table6[[#This Row],[Total Operating Income]]/Table6[[#This Row],[Total Population Served]]</f>
        <v>27.560307544449785</v>
      </c>
    </row>
    <row r="299" spans="1:28" ht="13.5" thickBot="1" x14ac:dyDescent="0.25">
      <c r="A299" s="2" t="s">
        <v>686</v>
      </c>
      <c r="B299" s="1" t="s">
        <v>685</v>
      </c>
      <c r="C299" s="2" t="s">
        <v>29</v>
      </c>
      <c r="D299" s="2" t="s">
        <v>1144</v>
      </c>
      <c r="E299" s="3" t="s">
        <v>27</v>
      </c>
      <c r="F299" s="3" t="s">
        <v>28</v>
      </c>
      <c r="G299" s="4">
        <v>16753</v>
      </c>
      <c r="H299" s="4">
        <v>16753</v>
      </c>
      <c r="I299" s="6">
        <v>48782</v>
      </c>
      <c r="J299" s="6">
        <v>1376904</v>
      </c>
      <c r="K299" s="6">
        <v>0</v>
      </c>
      <c r="L299" s="6">
        <v>6996</v>
      </c>
      <c r="M299" s="6">
        <v>1432682</v>
      </c>
      <c r="N299" s="6">
        <v>130702</v>
      </c>
      <c r="O299" s="2">
        <v>0</v>
      </c>
      <c r="P299" s="6">
        <v>0</v>
      </c>
      <c r="Q299" s="6">
        <v>0</v>
      </c>
      <c r="R299" s="6">
        <v>0</v>
      </c>
      <c r="S299" s="6">
        <v>0</v>
      </c>
      <c r="T299" s="6">
        <v>0</v>
      </c>
      <c r="U299" s="6">
        <v>0</v>
      </c>
      <c r="V299" s="6">
        <v>1432682</v>
      </c>
      <c r="W299" s="6">
        <v>130702</v>
      </c>
      <c r="X299" s="6">
        <v>1563384</v>
      </c>
      <c r="Y299" s="6">
        <v>17881</v>
      </c>
      <c r="Z299" s="6">
        <v>0</v>
      </c>
      <c r="AA299" s="6">
        <v>1581265</v>
      </c>
      <c r="AB299" s="142">
        <f>Table6[[#This Row],[Total Operating Income]]/Table6[[#This Row],[Total Population Served]]</f>
        <v>94.386975467080518</v>
      </c>
    </row>
    <row r="300" spans="1:28" ht="13.5" thickBot="1" x14ac:dyDescent="0.25">
      <c r="A300" s="2" t="s">
        <v>728</v>
      </c>
      <c r="B300" s="1" t="s">
        <v>727</v>
      </c>
      <c r="C300" s="2" t="s">
        <v>29</v>
      </c>
      <c r="D300" s="2" t="s">
        <v>1136</v>
      </c>
      <c r="E300" s="3" t="s">
        <v>22</v>
      </c>
      <c r="F300" s="3" t="s">
        <v>23</v>
      </c>
      <c r="G300" s="4">
        <v>18260</v>
      </c>
      <c r="H300" s="4">
        <v>14300</v>
      </c>
      <c r="I300" s="6">
        <v>53682</v>
      </c>
      <c r="J300" s="6">
        <v>1288392</v>
      </c>
      <c r="K300" s="6">
        <v>0</v>
      </c>
      <c r="L300" s="6">
        <v>0</v>
      </c>
      <c r="M300" s="6">
        <v>1342074</v>
      </c>
      <c r="N300" s="6">
        <v>103315</v>
      </c>
      <c r="O300" s="77">
        <v>3960</v>
      </c>
      <c r="P300" s="6">
        <v>12588</v>
      </c>
      <c r="Q300" s="6">
        <v>0</v>
      </c>
      <c r="R300" s="6">
        <v>0</v>
      </c>
      <c r="S300" s="6">
        <v>138906</v>
      </c>
      <c r="T300" s="6">
        <v>151494</v>
      </c>
      <c r="U300" s="6">
        <v>0</v>
      </c>
      <c r="V300" s="6">
        <v>1493568</v>
      </c>
      <c r="W300" s="6">
        <v>103315</v>
      </c>
      <c r="X300" s="6">
        <v>1596883</v>
      </c>
      <c r="Y300" s="6">
        <v>13837</v>
      </c>
      <c r="Z300" s="6">
        <v>0</v>
      </c>
      <c r="AA300" s="6">
        <v>1610720</v>
      </c>
      <c r="AB300" s="142">
        <f>Table6[[#This Row],[Total Operating Income]]/Table6[[#This Row],[Total Population Served]]</f>
        <v>88.210295728368024</v>
      </c>
    </row>
    <row r="301" spans="1:28" ht="13.5" thickBot="1" x14ac:dyDescent="0.25">
      <c r="A301" s="2" t="s">
        <v>730</v>
      </c>
      <c r="B301" s="1" t="s">
        <v>729</v>
      </c>
      <c r="C301" s="2" t="s">
        <v>29</v>
      </c>
      <c r="D301" s="2" t="s">
        <v>1125</v>
      </c>
      <c r="E301" s="3" t="s">
        <v>22</v>
      </c>
      <c r="F301" s="3" t="s">
        <v>23</v>
      </c>
      <c r="G301" s="4">
        <v>13940</v>
      </c>
      <c r="H301" s="4">
        <v>13940</v>
      </c>
      <c r="I301" s="6">
        <v>29485</v>
      </c>
      <c r="J301" s="6">
        <v>545464</v>
      </c>
      <c r="K301" s="6">
        <v>647</v>
      </c>
      <c r="L301" s="6">
        <v>24500</v>
      </c>
      <c r="M301" s="6">
        <v>600096</v>
      </c>
      <c r="N301" s="6">
        <v>25000</v>
      </c>
      <c r="O301" s="78">
        <v>0</v>
      </c>
      <c r="P301" s="78">
        <v>0</v>
      </c>
      <c r="Q301" s="78">
        <v>0</v>
      </c>
      <c r="R301" s="78">
        <v>0</v>
      </c>
      <c r="S301" s="78">
        <v>0</v>
      </c>
      <c r="T301" s="78">
        <v>0</v>
      </c>
      <c r="U301" s="78">
        <v>0</v>
      </c>
      <c r="V301" s="6">
        <v>600096</v>
      </c>
      <c r="W301" s="6">
        <v>25000</v>
      </c>
      <c r="X301" s="6">
        <v>625096</v>
      </c>
      <c r="Y301" s="6">
        <v>9118</v>
      </c>
      <c r="Z301" s="6">
        <v>0</v>
      </c>
      <c r="AA301" s="6">
        <v>634214</v>
      </c>
      <c r="AB301" s="142">
        <f>Table6[[#This Row],[Total Operating Income]]/Table6[[#This Row],[Total Population Served]]</f>
        <v>45.495982783357242</v>
      </c>
    </row>
    <row r="302" spans="1:28" ht="13.5" thickBot="1" x14ac:dyDescent="0.25">
      <c r="A302" s="2" t="s">
        <v>736</v>
      </c>
      <c r="B302" s="1" t="s">
        <v>735</v>
      </c>
      <c r="C302" s="2" t="s">
        <v>29</v>
      </c>
      <c r="D302" s="2" t="s">
        <v>1167</v>
      </c>
      <c r="E302" s="3" t="s">
        <v>17</v>
      </c>
      <c r="F302" s="3" t="s">
        <v>18</v>
      </c>
      <c r="G302" s="4">
        <v>17937</v>
      </c>
      <c r="H302" s="4">
        <v>17937</v>
      </c>
      <c r="I302" s="6">
        <v>54248</v>
      </c>
      <c r="J302" s="6">
        <v>493140</v>
      </c>
      <c r="K302" s="6">
        <v>0</v>
      </c>
      <c r="L302" s="6">
        <v>0</v>
      </c>
      <c r="M302" s="6">
        <v>547388</v>
      </c>
      <c r="N302" s="6">
        <v>136275</v>
      </c>
      <c r="O302" s="2">
        <v>0</v>
      </c>
      <c r="P302" s="2">
        <v>0</v>
      </c>
      <c r="Q302" s="2">
        <v>0</v>
      </c>
      <c r="R302" s="2">
        <v>0</v>
      </c>
      <c r="S302" s="2">
        <v>0</v>
      </c>
      <c r="T302" s="2">
        <v>0</v>
      </c>
      <c r="U302" s="2">
        <v>0</v>
      </c>
      <c r="V302" s="6">
        <v>547388</v>
      </c>
      <c r="W302" s="6">
        <v>136275</v>
      </c>
      <c r="X302" s="6">
        <v>683663</v>
      </c>
      <c r="Y302" s="6">
        <v>14234</v>
      </c>
      <c r="Z302" s="6">
        <v>0</v>
      </c>
      <c r="AA302" s="6">
        <v>697897</v>
      </c>
      <c r="AB302" s="142">
        <f>Table6[[#This Row],[Total Operating Income]]/Table6[[#This Row],[Total Population Served]]</f>
        <v>38.908234375871103</v>
      </c>
    </row>
    <row r="303" spans="1:28" ht="13.5" thickBot="1" x14ac:dyDescent="0.25">
      <c r="A303" s="2" t="s">
        <v>755</v>
      </c>
      <c r="B303" s="1" t="s">
        <v>754</v>
      </c>
      <c r="C303" s="2" t="s">
        <v>29</v>
      </c>
      <c r="D303" s="2" t="s">
        <v>1126</v>
      </c>
      <c r="E303" s="3" t="s">
        <v>27</v>
      </c>
      <c r="F303" s="3" t="s">
        <v>28</v>
      </c>
      <c r="G303" s="4">
        <v>18134</v>
      </c>
      <c r="H303" s="4">
        <v>18134</v>
      </c>
      <c r="I303" s="6">
        <v>49601</v>
      </c>
      <c r="J303" s="6">
        <v>731582</v>
      </c>
      <c r="K303" s="78">
        <v>0</v>
      </c>
      <c r="L303" s="78">
        <v>0</v>
      </c>
      <c r="M303" s="6">
        <v>781183</v>
      </c>
      <c r="N303" s="78">
        <v>0</v>
      </c>
      <c r="O303" s="2">
        <v>0</v>
      </c>
      <c r="P303" s="2">
        <v>0</v>
      </c>
      <c r="Q303" s="2">
        <v>0</v>
      </c>
      <c r="R303" s="2">
        <v>0</v>
      </c>
      <c r="S303" s="2">
        <v>0</v>
      </c>
      <c r="T303" s="2">
        <v>0</v>
      </c>
      <c r="U303" s="2">
        <v>0</v>
      </c>
      <c r="V303" s="6">
        <v>781183</v>
      </c>
      <c r="W303" s="78">
        <v>0</v>
      </c>
      <c r="X303" s="6">
        <v>781183</v>
      </c>
      <c r="Y303" s="6">
        <v>12572</v>
      </c>
      <c r="Z303" s="6">
        <v>0</v>
      </c>
      <c r="AA303" s="6">
        <v>793755</v>
      </c>
      <c r="AB303" s="142">
        <f>Table6[[#This Row],[Total Operating Income]]/Table6[[#This Row],[Total Population Served]]</f>
        <v>43.771644424837319</v>
      </c>
    </row>
    <row r="304" spans="1:28" ht="13.5" thickBot="1" x14ac:dyDescent="0.25">
      <c r="A304" s="2" t="s">
        <v>767</v>
      </c>
      <c r="B304" s="1" t="s">
        <v>766</v>
      </c>
      <c r="C304" s="2" t="s">
        <v>29</v>
      </c>
      <c r="D304" s="2" t="s">
        <v>1200</v>
      </c>
      <c r="E304" s="3" t="s">
        <v>27</v>
      </c>
      <c r="F304" s="3" t="s">
        <v>28</v>
      </c>
      <c r="G304" s="4">
        <v>16881</v>
      </c>
      <c r="H304" s="4">
        <v>15303</v>
      </c>
      <c r="I304" s="6">
        <v>14093</v>
      </c>
      <c r="J304" s="78">
        <v>0</v>
      </c>
      <c r="K304" s="2">
        <v>0</v>
      </c>
      <c r="L304" s="6">
        <v>192979</v>
      </c>
      <c r="M304" s="6">
        <v>207072</v>
      </c>
      <c r="N304" s="6">
        <v>3326</v>
      </c>
      <c r="O304" s="77">
        <v>1578</v>
      </c>
      <c r="P304" s="2">
        <v>0</v>
      </c>
      <c r="Q304" s="2">
        <v>0</v>
      </c>
      <c r="R304" s="6">
        <v>2798</v>
      </c>
      <c r="S304" s="2">
        <v>0</v>
      </c>
      <c r="T304" s="6">
        <v>2798</v>
      </c>
      <c r="U304" s="2">
        <v>0</v>
      </c>
      <c r="V304" s="6">
        <v>209870</v>
      </c>
      <c r="W304" s="6">
        <v>3326</v>
      </c>
      <c r="X304" s="6">
        <v>213196</v>
      </c>
      <c r="Y304" s="6">
        <v>12379</v>
      </c>
      <c r="Z304" s="6">
        <v>0</v>
      </c>
      <c r="AA304" s="6">
        <v>225575</v>
      </c>
      <c r="AB304" s="142">
        <f>Table6[[#This Row],[Total Operating Income]]/Table6[[#This Row],[Total Population Served]]</f>
        <v>13.362656240744032</v>
      </c>
    </row>
    <row r="305" spans="1:28" ht="13.5" thickBot="1" x14ac:dyDescent="0.25">
      <c r="A305" s="2" t="s">
        <v>771</v>
      </c>
      <c r="B305" s="1" t="s">
        <v>770</v>
      </c>
      <c r="C305" s="2" t="s">
        <v>29</v>
      </c>
      <c r="D305" s="2" t="s">
        <v>1167</v>
      </c>
      <c r="E305" s="3" t="s">
        <v>27</v>
      </c>
      <c r="F305" s="3" t="s">
        <v>28</v>
      </c>
      <c r="G305" s="4">
        <v>14253</v>
      </c>
      <c r="H305" s="4">
        <v>7811</v>
      </c>
      <c r="I305" s="6">
        <v>56850</v>
      </c>
      <c r="J305" s="6">
        <v>267854</v>
      </c>
      <c r="K305" s="6">
        <v>0</v>
      </c>
      <c r="L305" s="6">
        <v>0</v>
      </c>
      <c r="M305" s="6">
        <v>324704</v>
      </c>
      <c r="N305" s="6">
        <v>327642</v>
      </c>
      <c r="O305" s="77">
        <v>6442</v>
      </c>
      <c r="P305" s="6">
        <v>0</v>
      </c>
      <c r="Q305" s="2">
        <v>0</v>
      </c>
      <c r="R305" s="2">
        <v>0</v>
      </c>
      <c r="S305" s="6">
        <v>69242</v>
      </c>
      <c r="T305" s="6">
        <v>69242</v>
      </c>
      <c r="U305" s="2">
        <v>0</v>
      </c>
      <c r="V305" s="6">
        <v>393946</v>
      </c>
      <c r="W305" s="6">
        <v>327642</v>
      </c>
      <c r="X305" s="6">
        <v>721588</v>
      </c>
      <c r="Y305" s="6">
        <v>5187</v>
      </c>
      <c r="Z305" s="6">
        <v>0</v>
      </c>
      <c r="AA305" s="6">
        <v>726775</v>
      </c>
      <c r="AB305" s="142">
        <f>Table6[[#This Row],[Total Operating Income]]/Table6[[#This Row],[Total Population Served]]</f>
        <v>50.991019434505013</v>
      </c>
    </row>
    <row r="306" spans="1:28" ht="13.5" thickBot="1" x14ac:dyDescent="0.25">
      <c r="A306" s="2" t="s">
        <v>791</v>
      </c>
      <c r="B306" s="1" t="s">
        <v>790</v>
      </c>
      <c r="C306" s="2" t="s">
        <v>29</v>
      </c>
      <c r="D306" s="2" t="s">
        <v>1149</v>
      </c>
      <c r="E306" s="3" t="s">
        <v>264</v>
      </c>
      <c r="F306" s="3" t="s">
        <v>265</v>
      </c>
      <c r="G306" s="4">
        <v>12238</v>
      </c>
      <c r="H306" s="4">
        <v>10937</v>
      </c>
      <c r="I306" s="6">
        <v>13134</v>
      </c>
      <c r="J306" s="6">
        <v>277988</v>
      </c>
      <c r="K306" s="78">
        <v>0</v>
      </c>
      <c r="L306" s="6">
        <v>15291</v>
      </c>
      <c r="M306" s="6">
        <v>306413</v>
      </c>
      <c r="N306" s="6">
        <v>19592</v>
      </c>
      <c r="O306" s="4">
        <v>1301</v>
      </c>
      <c r="P306" s="6">
        <v>1562</v>
      </c>
      <c r="Q306" s="78">
        <v>0</v>
      </c>
      <c r="R306" s="78">
        <v>0</v>
      </c>
      <c r="S306" s="78">
        <v>0</v>
      </c>
      <c r="T306" s="6">
        <v>1562</v>
      </c>
      <c r="U306" s="78">
        <v>0</v>
      </c>
      <c r="V306" s="6">
        <v>307975</v>
      </c>
      <c r="W306" s="6">
        <v>19592</v>
      </c>
      <c r="X306" s="6">
        <v>327567</v>
      </c>
      <c r="Y306" s="6">
        <v>7201</v>
      </c>
      <c r="Z306" s="6">
        <v>757</v>
      </c>
      <c r="AA306" s="6">
        <v>335525</v>
      </c>
      <c r="AB306" s="142">
        <f>Table6[[#This Row],[Total Operating Income]]/Table6[[#This Row],[Total Population Served]]</f>
        <v>27.416653047883642</v>
      </c>
    </row>
    <row r="307" spans="1:28" ht="13.5" thickBot="1" x14ac:dyDescent="0.25">
      <c r="A307" s="2" t="s">
        <v>813</v>
      </c>
      <c r="B307" s="1" t="s">
        <v>812</v>
      </c>
      <c r="C307" s="2" t="s">
        <v>29</v>
      </c>
      <c r="D307" s="2" t="s">
        <v>1134</v>
      </c>
      <c r="E307" s="3" t="s">
        <v>27</v>
      </c>
      <c r="F307" s="3" t="s">
        <v>28</v>
      </c>
      <c r="G307" s="4">
        <v>17593</v>
      </c>
      <c r="H307" s="4">
        <v>17593</v>
      </c>
      <c r="I307" s="6">
        <v>0</v>
      </c>
      <c r="J307" s="6">
        <v>0</v>
      </c>
      <c r="K307" s="6">
        <v>378548</v>
      </c>
      <c r="L307" s="6">
        <v>0</v>
      </c>
      <c r="M307" s="6">
        <v>378548</v>
      </c>
      <c r="N307" s="6">
        <v>24404</v>
      </c>
      <c r="O307" s="2">
        <v>0</v>
      </c>
      <c r="P307" s="2">
        <v>0</v>
      </c>
      <c r="Q307" s="2">
        <v>0</v>
      </c>
      <c r="R307" s="2">
        <v>0</v>
      </c>
      <c r="S307" s="2">
        <v>0</v>
      </c>
      <c r="T307" s="2">
        <v>0</v>
      </c>
      <c r="U307" s="2">
        <v>0</v>
      </c>
      <c r="V307" s="6">
        <v>378548</v>
      </c>
      <c r="W307" s="6">
        <v>24404</v>
      </c>
      <c r="X307" s="6">
        <v>402952</v>
      </c>
      <c r="Y307" s="6">
        <v>12901</v>
      </c>
      <c r="Z307" s="6">
        <v>3899</v>
      </c>
      <c r="AA307" s="6">
        <v>419752</v>
      </c>
      <c r="AB307" s="142">
        <f>Table6[[#This Row],[Total Operating Income]]/Table6[[#This Row],[Total Population Served]]</f>
        <v>23.859034843403627</v>
      </c>
    </row>
    <row r="308" spans="1:28" ht="13.5" thickBot="1" x14ac:dyDescent="0.25">
      <c r="A308" s="2" t="s">
        <v>839</v>
      </c>
      <c r="B308" s="1" t="s">
        <v>838</v>
      </c>
      <c r="C308" s="2" t="s">
        <v>29</v>
      </c>
      <c r="D308" s="2" t="s">
        <v>1125</v>
      </c>
      <c r="E308" s="3" t="s">
        <v>27</v>
      </c>
      <c r="F308" s="3" t="s">
        <v>28</v>
      </c>
      <c r="G308" s="4">
        <v>13498</v>
      </c>
      <c r="H308" s="4">
        <v>13498</v>
      </c>
      <c r="I308" s="6">
        <v>28226</v>
      </c>
      <c r="J308" s="6">
        <v>723054</v>
      </c>
      <c r="K308" s="78">
        <v>0</v>
      </c>
      <c r="L308" s="78">
        <v>0</v>
      </c>
      <c r="M308" s="6">
        <v>751280</v>
      </c>
      <c r="N308" s="6">
        <v>116166</v>
      </c>
      <c r="O308" s="78">
        <v>0</v>
      </c>
      <c r="P308" s="78">
        <v>0</v>
      </c>
      <c r="Q308" s="78">
        <v>0</v>
      </c>
      <c r="R308" s="78">
        <v>0</v>
      </c>
      <c r="S308" s="78">
        <v>0</v>
      </c>
      <c r="T308" s="78">
        <v>0</v>
      </c>
      <c r="U308" s="78">
        <v>0</v>
      </c>
      <c r="V308" s="6">
        <v>751280</v>
      </c>
      <c r="W308" s="6">
        <v>116166</v>
      </c>
      <c r="X308" s="6">
        <v>867446</v>
      </c>
      <c r="Y308" s="6">
        <v>9898</v>
      </c>
      <c r="Z308" s="6">
        <v>0</v>
      </c>
      <c r="AA308" s="6">
        <v>877344</v>
      </c>
      <c r="AB308" s="142">
        <f>Table6[[#This Row],[Total Operating Income]]/Table6[[#This Row],[Total Population Served]]</f>
        <v>64.998073788709434</v>
      </c>
    </row>
    <row r="309" spans="1:28" ht="13.5" thickBot="1" x14ac:dyDescent="0.25">
      <c r="A309" s="2" t="s">
        <v>44</v>
      </c>
      <c r="B309" s="1" t="s">
        <v>43</v>
      </c>
      <c r="C309" s="2" t="s">
        <v>45</v>
      </c>
      <c r="D309" s="2" t="s">
        <v>1134</v>
      </c>
      <c r="E309" s="3" t="s">
        <v>27</v>
      </c>
      <c r="F309" s="3" t="s">
        <v>28</v>
      </c>
      <c r="G309" s="4">
        <v>28210</v>
      </c>
      <c r="H309" s="4">
        <v>28210</v>
      </c>
      <c r="I309" s="6">
        <v>72146</v>
      </c>
      <c r="J309" s="6">
        <v>0</v>
      </c>
      <c r="K309" s="6">
        <v>576094</v>
      </c>
      <c r="L309" s="6">
        <v>45119</v>
      </c>
      <c r="M309" s="6">
        <v>693359</v>
      </c>
      <c r="N309" s="6">
        <v>11404</v>
      </c>
      <c r="O309" s="2">
        <v>0</v>
      </c>
      <c r="P309" s="78">
        <v>0</v>
      </c>
      <c r="Q309" s="2">
        <v>0</v>
      </c>
      <c r="R309" s="78">
        <v>0</v>
      </c>
      <c r="S309" s="2">
        <v>0</v>
      </c>
      <c r="T309" s="78">
        <v>0</v>
      </c>
      <c r="U309" s="2">
        <v>0</v>
      </c>
      <c r="V309" s="6">
        <v>693359</v>
      </c>
      <c r="W309" s="6">
        <v>11404</v>
      </c>
      <c r="X309" s="6">
        <v>704763</v>
      </c>
      <c r="Y309" s="6">
        <v>20687</v>
      </c>
      <c r="Z309" s="6">
        <v>0</v>
      </c>
      <c r="AA309" s="6">
        <v>725450</v>
      </c>
      <c r="AB309" s="142">
        <f>Table6[[#This Row],[Total Operating Income]]/Table6[[#This Row],[Total Population Served]]</f>
        <v>25.716058135412975</v>
      </c>
    </row>
    <row r="310" spans="1:28" ht="13.5" thickBot="1" x14ac:dyDescent="0.25">
      <c r="A310" s="2" t="s">
        <v>47</v>
      </c>
      <c r="B310" s="1" t="s">
        <v>46</v>
      </c>
      <c r="C310" s="2" t="s">
        <v>45</v>
      </c>
      <c r="D310" s="2" t="s">
        <v>1136</v>
      </c>
      <c r="E310" s="3" t="s">
        <v>22</v>
      </c>
      <c r="F310" s="3" t="s">
        <v>23</v>
      </c>
      <c r="G310" s="4">
        <v>28283</v>
      </c>
      <c r="H310" s="4">
        <v>20708</v>
      </c>
      <c r="I310" s="6">
        <v>64889</v>
      </c>
      <c r="J310" s="6">
        <v>171668</v>
      </c>
      <c r="K310" s="78">
        <v>0</v>
      </c>
      <c r="L310" s="6">
        <v>0</v>
      </c>
      <c r="M310" s="6">
        <v>236557</v>
      </c>
      <c r="N310" s="6">
        <v>17506</v>
      </c>
      <c r="O310" s="77">
        <v>7575</v>
      </c>
      <c r="P310" s="6">
        <v>23737</v>
      </c>
      <c r="Q310" s="6">
        <v>86127</v>
      </c>
      <c r="R310" s="2">
        <v>0</v>
      </c>
      <c r="S310" s="2">
        <v>0</v>
      </c>
      <c r="T310" s="6">
        <v>109864</v>
      </c>
      <c r="U310" s="2">
        <v>0</v>
      </c>
      <c r="V310" s="6">
        <v>346421</v>
      </c>
      <c r="W310" s="6">
        <v>17506</v>
      </c>
      <c r="X310" s="6">
        <v>363927</v>
      </c>
      <c r="Y310" s="6">
        <v>20341</v>
      </c>
      <c r="Z310" s="6">
        <v>0</v>
      </c>
      <c r="AA310" s="6">
        <v>384268</v>
      </c>
      <c r="AB310" s="142">
        <f>Table6[[#This Row],[Total Operating Income]]/Table6[[#This Row],[Total Population Served]]</f>
        <v>13.586536081745217</v>
      </c>
    </row>
    <row r="311" spans="1:28" ht="13.5" thickBot="1" x14ac:dyDescent="0.25">
      <c r="A311" s="2" t="s">
        <v>55</v>
      </c>
      <c r="B311" s="1" t="s">
        <v>54</v>
      </c>
      <c r="C311" s="2" t="s">
        <v>45</v>
      </c>
      <c r="D311" s="2" t="s">
        <v>1142</v>
      </c>
      <c r="E311" s="3" t="s">
        <v>22</v>
      </c>
      <c r="F311" s="3" t="s">
        <v>23</v>
      </c>
      <c r="G311" s="4">
        <v>29598</v>
      </c>
      <c r="H311" s="4">
        <v>29598</v>
      </c>
      <c r="I311" s="6">
        <v>130707</v>
      </c>
      <c r="J311" s="6">
        <v>900739</v>
      </c>
      <c r="K311" s="6">
        <v>25768</v>
      </c>
      <c r="L311" s="78">
        <v>0</v>
      </c>
      <c r="M311" s="6">
        <v>1057214</v>
      </c>
      <c r="N311" s="6">
        <v>81881</v>
      </c>
      <c r="O311" s="2">
        <v>0</v>
      </c>
      <c r="P311" s="2">
        <v>0</v>
      </c>
      <c r="Q311" s="2">
        <v>0</v>
      </c>
      <c r="R311" s="2">
        <v>0</v>
      </c>
      <c r="S311" s="2">
        <v>0</v>
      </c>
      <c r="T311" s="2">
        <v>0</v>
      </c>
      <c r="U311" s="2">
        <v>0</v>
      </c>
      <c r="V311" s="6">
        <v>1057214</v>
      </c>
      <c r="W311" s="6">
        <v>81881</v>
      </c>
      <c r="X311" s="6">
        <v>1139095</v>
      </c>
      <c r="Y311" s="6">
        <v>30277</v>
      </c>
      <c r="Z311" s="6">
        <v>1600</v>
      </c>
      <c r="AA311" s="6">
        <v>1170972</v>
      </c>
      <c r="AB311" s="142">
        <f>Table6[[#This Row],[Total Operating Income]]/Table6[[#This Row],[Total Population Served]]</f>
        <v>39.562538009324953</v>
      </c>
    </row>
    <row r="312" spans="1:28" ht="13.5" thickBot="1" x14ac:dyDescent="0.25">
      <c r="A312" s="2" t="s">
        <v>80</v>
      </c>
      <c r="B312" s="1" t="s">
        <v>79</v>
      </c>
      <c r="C312" s="2" t="s">
        <v>45</v>
      </c>
      <c r="D312" s="2" t="s">
        <v>1125</v>
      </c>
      <c r="E312" s="3" t="s">
        <v>27</v>
      </c>
      <c r="F312" s="3" t="s">
        <v>28</v>
      </c>
      <c r="G312" s="4">
        <v>35350</v>
      </c>
      <c r="H312" s="4">
        <v>20103</v>
      </c>
      <c r="I312" s="6">
        <v>42038</v>
      </c>
      <c r="J312" s="6">
        <v>3114286</v>
      </c>
      <c r="K312" s="6">
        <v>0</v>
      </c>
      <c r="L312" s="6">
        <v>0</v>
      </c>
      <c r="M312" s="6">
        <v>3156324</v>
      </c>
      <c r="N312" s="6">
        <v>101662</v>
      </c>
      <c r="O312" s="77">
        <v>15247</v>
      </c>
      <c r="P312" s="6">
        <v>31884</v>
      </c>
      <c r="Q312" s="6">
        <v>0</v>
      </c>
      <c r="R312" s="6">
        <v>0</v>
      </c>
      <c r="S312" s="6">
        <v>879115</v>
      </c>
      <c r="T312" s="6">
        <v>910999</v>
      </c>
      <c r="U312" s="6">
        <v>0</v>
      </c>
      <c r="V312" s="6">
        <v>4067323</v>
      </c>
      <c r="W312" s="6">
        <v>101662</v>
      </c>
      <c r="X312" s="6">
        <v>4168985</v>
      </c>
      <c r="Y312" s="6">
        <v>25923</v>
      </c>
      <c r="Z312" s="6">
        <v>0</v>
      </c>
      <c r="AA312" s="6">
        <v>4194908</v>
      </c>
      <c r="AB312" s="142">
        <f>Table6[[#This Row],[Total Operating Income]]/Table6[[#This Row],[Total Population Served]]</f>
        <v>118.66783592644978</v>
      </c>
    </row>
    <row r="313" spans="1:28" ht="13.5" thickBot="1" x14ac:dyDescent="0.25">
      <c r="A313" s="2" t="s">
        <v>92</v>
      </c>
      <c r="B313" s="1" t="s">
        <v>91</v>
      </c>
      <c r="C313" s="2" t="s">
        <v>45</v>
      </c>
      <c r="D313" s="2" t="s">
        <v>1134</v>
      </c>
      <c r="E313" s="3" t="s">
        <v>27</v>
      </c>
      <c r="F313" s="3" t="s">
        <v>28</v>
      </c>
      <c r="G313" s="4">
        <v>42361</v>
      </c>
      <c r="H313" s="4">
        <v>42361</v>
      </c>
      <c r="I313" s="6">
        <v>94426</v>
      </c>
      <c r="J313" s="6">
        <v>1869955</v>
      </c>
      <c r="K313" s="2">
        <v>0</v>
      </c>
      <c r="L313" s="6">
        <v>181050</v>
      </c>
      <c r="M313" s="6">
        <v>2145431</v>
      </c>
      <c r="N313" s="6">
        <v>41124</v>
      </c>
      <c r="O313" s="2">
        <v>0</v>
      </c>
      <c r="P313" s="2">
        <v>0</v>
      </c>
      <c r="Q313" s="2">
        <v>0</v>
      </c>
      <c r="R313" s="2">
        <v>0</v>
      </c>
      <c r="S313" s="2">
        <v>0</v>
      </c>
      <c r="T313" s="2">
        <v>0</v>
      </c>
      <c r="U313" s="2">
        <v>0</v>
      </c>
      <c r="V313" s="6">
        <v>2145431</v>
      </c>
      <c r="W313" s="6">
        <v>41124</v>
      </c>
      <c r="X313" s="6">
        <v>2186555</v>
      </c>
      <c r="Y313" s="6">
        <v>29368</v>
      </c>
      <c r="Z313" s="6">
        <v>4795</v>
      </c>
      <c r="AA313" s="6">
        <v>2220718</v>
      </c>
      <c r="AB313" s="142">
        <f>Table6[[#This Row],[Total Operating Income]]/Table6[[#This Row],[Total Population Served]]</f>
        <v>52.423644389886924</v>
      </c>
    </row>
    <row r="314" spans="1:28" ht="13.5" thickBot="1" x14ac:dyDescent="0.25">
      <c r="A314" s="2" t="s">
        <v>114</v>
      </c>
      <c r="B314" s="1" t="s">
        <v>113</v>
      </c>
      <c r="C314" s="2" t="s">
        <v>45</v>
      </c>
      <c r="D314" s="2" t="s">
        <v>1125</v>
      </c>
      <c r="E314" s="3" t="s">
        <v>67</v>
      </c>
      <c r="F314" s="3" t="s">
        <v>68</v>
      </c>
      <c r="G314" s="4">
        <v>41070</v>
      </c>
      <c r="H314" s="4">
        <v>41070</v>
      </c>
      <c r="I314" s="6">
        <v>83174</v>
      </c>
      <c r="J314" s="6">
        <v>6958097</v>
      </c>
      <c r="K314" s="6">
        <v>0</v>
      </c>
      <c r="L314" s="6">
        <v>0</v>
      </c>
      <c r="M314" s="6">
        <v>7041271</v>
      </c>
      <c r="N314" s="6">
        <v>218945</v>
      </c>
      <c r="O314" s="2">
        <v>0</v>
      </c>
      <c r="P314" s="2">
        <v>0</v>
      </c>
      <c r="Q314" s="2">
        <v>0</v>
      </c>
      <c r="R314" s="2">
        <v>0</v>
      </c>
      <c r="S314" s="2">
        <v>0</v>
      </c>
      <c r="T314" s="2">
        <v>0</v>
      </c>
      <c r="U314" s="2">
        <v>0</v>
      </c>
      <c r="V314" s="6">
        <v>7041271</v>
      </c>
      <c r="W314" s="6">
        <v>218945</v>
      </c>
      <c r="X314" s="6">
        <v>7260216</v>
      </c>
      <c r="Y314" s="6">
        <v>26864</v>
      </c>
      <c r="Z314" s="6">
        <v>0</v>
      </c>
      <c r="AA314" s="6">
        <v>7287080</v>
      </c>
      <c r="AB314" s="142">
        <f>Table6[[#This Row],[Total Operating Income]]/Table6[[#This Row],[Total Population Served]]</f>
        <v>177.43072802532262</v>
      </c>
    </row>
    <row r="315" spans="1:28" ht="13.5" thickBot="1" x14ac:dyDescent="0.25">
      <c r="A315" s="2" t="s">
        <v>120</v>
      </c>
      <c r="B315" s="1" t="s">
        <v>119</v>
      </c>
      <c r="C315" s="2" t="s">
        <v>45</v>
      </c>
      <c r="D315" s="2" t="s">
        <v>1162</v>
      </c>
      <c r="E315" s="3" t="s">
        <v>22</v>
      </c>
      <c r="F315" s="3" t="s">
        <v>23</v>
      </c>
      <c r="G315" s="4">
        <v>46905</v>
      </c>
      <c r="H315" s="4">
        <v>45248</v>
      </c>
      <c r="I315" s="6">
        <v>184242</v>
      </c>
      <c r="J315" s="6">
        <v>1322422</v>
      </c>
      <c r="K315" s="6">
        <v>10932</v>
      </c>
      <c r="L315" s="6">
        <v>30680</v>
      </c>
      <c r="M315" s="6">
        <v>1548276</v>
      </c>
      <c r="N315" s="6">
        <v>121338</v>
      </c>
      <c r="O315" s="4">
        <v>1657</v>
      </c>
      <c r="P315" s="6">
        <v>5525</v>
      </c>
      <c r="Q315" s="6">
        <v>0</v>
      </c>
      <c r="R315" s="78">
        <v>0</v>
      </c>
      <c r="S315" s="78">
        <v>0</v>
      </c>
      <c r="T315" s="6">
        <v>5525</v>
      </c>
      <c r="U315" s="78">
        <v>0</v>
      </c>
      <c r="V315" s="6">
        <v>1553801</v>
      </c>
      <c r="W315" s="6">
        <v>121338</v>
      </c>
      <c r="X315" s="6">
        <v>1675139</v>
      </c>
      <c r="Y315" s="6">
        <v>30680</v>
      </c>
      <c r="Z315" s="6">
        <v>0</v>
      </c>
      <c r="AA315" s="6">
        <v>1705819</v>
      </c>
      <c r="AB315" s="142">
        <f>Table6[[#This Row],[Total Operating Income]]/Table6[[#This Row],[Total Population Served]]</f>
        <v>36.367530114060337</v>
      </c>
    </row>
    <row r="316" spans="1:28" ht="13.5" thickBot="1" x14ac:dyDescent="0.25">
      <c r="A316" s="2" t="s">
        <v>130</v>
      </c>
      <c r="B316" s="1" t="s">
        <v>129</v>
      </c>
      <c r="C316" s="2" t="s">
        <v>45</v>
      </c>
      <c r="D316" s="2" t="s">
        <v>1165</v>
      </c>
      <c r="E316" s="3" t="s">
        <v>52</v>
      </c>
      <c r="F316" s="3" t="s">
        <v>53</v>
      </c>
      <c r="G316" s="4">
        <v>43254</v>
      </c>
      <c r="H316" s="4">
        <v>43254</v>
      </c>
      <c r="I316" s="6">
        <v>101738</v>
      </c>
      <c r="J316" s="6">
        <v>1825022</v>
      </c>
      <c r="K316" s="78">
        <v>0</v>
      </c>
      <c r="L316" s="6">
        <v>69263</v>
      </c>
      <c r="M316" s="6">
        <v>1996023</v>
      </c>
      <c r="N316" s="6">
        <v>94409</v>
      </c>
      <c r="O316" s="2">
        <v>0</v>
      </c>
      <c r="P316" s="78">
        <v>0</v>
      </c>
      <c r="Q316" s="2">
        <v>0</v>
      </c>
      <c r="R316" s="2">
        <v>0</v>
      </c>
      <c r="S316" s="2">
        <v>0</v>
      </c>
      <c r="T316" s="78">
        <v>0</v>
      </c>
      <c r="U316" s="2">
        <v>0</v>
      </c>
      <c r="V316" s="6">
        <v>1996023</v>
      </c>
      <c r="W316" s="6">
        <v>94409</v>
      </c>
      <c r="X316" s="6">
        <v>2090432</v>
      </c>
      <c r="Y316" s="6">
        <v>23151</v>
      </c>
      <c r="Z316" s="6">
        <v>0</v>
      </c>
      <c r="AA316" s="6">
        <v>2113583</v>
      </c>
      <c r="AB316" s="142">
        <f>Table6[[#This Row],[Total Operating Income]]/Table6[[#This Row],[Total Population Served]]</f>
        <v>48.864451842604154</v>
      </c>
    </row>
    <row r="317" spans="1:28" ht="13.5" thickBot="1" x14ac:dyDescent="0.25">
      <c r="A317" s="2" t="s">
        <v>142</v>
      </c>
      <c r="B317" s="1" t="s">
        <v>141</v>
      </c>
      <c r="C317" s="2" t="s">
        <v>45</v>
      </c>
      <c r="D317" s="2" t="s">
        <v>1169</v>
      </c>
      <c r="E317" s="3" t="s">
        <v>22</v>
      </c>
      <c r="F317" s="3" t="s">
        <v>23</v>
      </c>
      <c r="G317" s="4">
        <v>35087</v>
      </c>
      <c r="H317" s="4">
        <v>32714</v>
      </c>
      <c r="I317" s="6">
        <v>189723</v>
      </c>
      <c r="J317" s="6">
        <v>692892</v>
      </c>
      <c r="K317" s="78">
        <v>0</v>
      </c>
      <c r="L317" s="78">
        <v>0</v>
      </c>
      <c r="M317" s="6">
        <v>882615</v>
      </c>
      <c r="N317" s="6">
        <v>43626</v>
      </c>
      <c r="O317" s="4">
        <v>2373</v>
      </c>
      <c r="P317" s="6">
        <v>15212</v>
      </c>
      <c r="Q317" s="6">
        <v>35426</v>
      </c>
      <c r="R317" s="78">
        <v>0</v>
      </c>
      <c r="S317" s="78">
        <v>0</v>
      </c>
      <c r="T317" s="6">
        <v>50638</v>
      </c>
      <c r="U317" s="6">
        <v>830</v>
      </c>
      <c r="V317" s="6">
        <v>933253</v>
      </c>
      <c r="W317" s="6">
        <v>44456</v>
      </c>
      <c r="X317" s="6">
        <v>977709</v>
      </c>
      <c r="Y317" s="6">
        <v>81081</v>
      </c>
      <c r="Z317" s="6">
        <v>0</v>
      </c>
      <c r="AA317" s="6">
        <v>1058790</v>
      </c>
      <c r="AB317" s="142">
        <f>Table6[[#This Row],[Total Operating Income]]/Table6[[#This Row],[Total Population Served]]</f>
        <v>30.176133610739019</v>
      </c>
    </row>
    <row r="318" spans="1:28" ht="13.5" thickBot="1" x14ac:dyDescent="0.25">
      <c r="A318" s="2" t="s">
        <v>158</v>
      </c>
      <c r="B318" s="1" t="s">
        <v>157</v>
      </c>
      <c r="C318" s="2" t="s">
        <v>45</v>
      </c>
      <c r="D318" s="2" t="s">
        <v>1179</v>
      </c>
      <c r="E318" s="3" t="s">
        <v>22</v>
      </c>
      <c r="F318" s="3" t="s">
        <v>23</v>
      </c>
      <c r="G318" s="4">
        <v>38002</v>
      </c>
      <c r="H318" s="4">
        <v>38002</v>
      </c>
      <c r="I318" s="6">
        <v>125317</v>
      </c>
      <c r="J318" s="6">
        <v>1032807</v>
      </c>
      <c r="K318" s="78">
        <v>0</v>
      </c>
      <c r="L318" s="6">
        <v>29876</v>
      </c>
      <c r="M318" s="6">
        <v>1188000</v>
      </c>
      <c r="N318" s="6">
        <v>55849</v>
      </c>
      <c r="O318" s="78">
        <v>0</v>
      </c>
      <c r="P318" s="78">
        <v>0</v>
      </c>
      <c r="Q318" s="78">
        <v>0</v>
      </c>
      <c r="R318" s="78">
        <v>0</v>
      </c>
      <c r="S318" s="2">
        <v>0</v>
      </c>
      <c r="T318" s="78">
        <v>0</v>
      </c>
      <c r="U318" s="78">
        <v>0</v>
      </c>
      <c r="V318" s="6">
        <v>1188000</v>
      </c>
      <c r="W318" s="6">
        <v>55849</v>
      </c>
      <c r="X318" s="6">
        <v>1243849</v>
      </c>
      <c r="Y318" s="6">
        <v>24437</v>
      </c>
      <c r="Z318" s="6">
        <v>0</v>
      </c>
      <c r="AA318" s="6">
        <v>1268286</v>
      </c>
      <c r="AB318" s="142">
        <f>Table6[[#This Row],[Total Operating Income]]/Table6[[#This Row],[Total Population Served]]</f>
        <v>33.374190832061473</v>
      </c>
    </row>
    <row r="319" spans="1:28" ht="13.5" thickBot="1" x14ac:dyDescent="0.25">
      <c r="A319" s="2" t="s">
        <v>178</v>
      </c>
      <c r="B319" s="1" t="s">
        <v>177</v>
      </c>
      <c r="C319" s="2" t="s">
        <v>45</v>
      </c>
      <c r="D319" s="2" t="s">
        <v>1146</v>
      </c>
      <c r="E319" s="3" t="s">
        <v>22</v>
      </c>
      <c r="F319" s="3" t="s">
        <v>23</v>
      </c>
      <c r="G319" s="4">
        <v>43381</v>
      </c>
      <c r="H319" s="4">
        <v>43381</v>
      </c>
      <c r="I319" s="6">
        <v>34863</v>
      </c>
      <c r="J319" s="6">
        <v>953819</v>
      </c>
      <c r="K319" s="78">
        <v>0</v>
      </c>
      <c r="L319" s="6">
        <v>56263</v>
      </c>
      <c r="M319" s="6">
        <v>1044945</v>
      </c>
      <c r="N319" s="6">
        <v>164376</v>
      </c>
      <c r="O319" s="2">
        <v>0</v>
      </c>
      <c r="P319" s="78">
        <v>0</v>
      </c>
      <c r="Q319" s="78">
        <v>0</v>
      </c>
      <c r="R319" s="78">
        <v>0</v>
      </c>
      <c r="S319" s="78">
        <v>0</v>
      </c>
      <c r="T319" s="78">
        <v>0</v>
      </c>
      <c r="U319" s="78">
        <v>0</v>
      </c>
      <c r="V319" s="6">
        <v>1044945</v>
      </c>
      <c r="W319" s="6">
        <v>164376</v>
      </c>
      <c r="X319" s="6">
        <v>1209321</v>
      </c>
      <c r="Y319" s="6">
        <v>28375</v>
      </c>
      <c r="Z319" s="6">
        <v>0</v>
      </c>
      <c r="AA319" s="6">
        <v>1237696</v>
      </c>
      <c r="AB319" s="142">
        <f>Table6[[#This Row],[Total Operating Income]]/Table6[[#This Row],[Total Population Served]]</f>
        <v>28.530831469998386</v>
      </c>
    </row>
    <row r="320" spans="1:28" ht="13.5" thickBot="1" x14ac:dyDescent="0.25">
      <c r="A320" s="2" t="s">
        <v>182</v>
      </c>
      <c r="B320" s="1" t="s">
        <v>181</v>
      </c>
      <c r="C320" s="2" t="s">
        <v>45</v>
      </c>
      <c r="D320" s="2" t="s">
        <v>1125</v>
      </c>
      <c r="E320" s="3" t="s">
        <v>22</v>
      </c>
      <c r="F320" s="3" t="s">
        <v>23</v>
      </c>
      <c r="G320" s="4">
        <v>35563</v>
      </c>
      <c r="H320" s="4">
        <v>35563</v>
      </c>
      <c r="I320" s="6">
        <v>72021</v>
      </c>
      <c r="J320" s="6">
        <v>1829268</v>
      </c>
      <c r="K320" s="2">
        <v>0</v>
      </c>
      <c r="L320" s="2">
        <v>0</v>
      </c>
      <c r="M320" s="6">
        <v>1901289</v>
      </c>
      <c r="N320" s="6">
        <v>22800</v>
      </c>
      <c r="O320" s="2">
        <v>0</v>
      </c>
      <c r="P320" s="2">
        <v>0</v>
      </c>
      <c r="Q320" s="2">
        <v>0</v>
      </c>
      <c r="R320" s="2">
        <v>0</v>
      </c>
      <c r="S320" s="2">
        <v>0</v>
      </c>
      <c r="T320" s="2">
        <v>0</v>
      </c>
      <c r="U320" s="2">
        <v>0</v>
      </c>
      <c r="V320" s="6">
        <v>1901289</v>
      </c>
      <c r="W320" s="6">
        <v>22800</v>
      </c>
      <c r="X320" s="6">
        <v>1924089</v>
      </c>
      <c r="Y320" s="6">
        <v>23262</v>
      </c>
      <c r="Z320" s="6">
        <v>0</v>
      </c>
      <c r="AA320" s="6">
        <v>1947351</v>
      </c>
      <c r="AB320" s="142">
        <f>Table6[[#This Row],[Total Operating Income]]/Table6[[#This Row],[Total Population Served]]</f>
        <v>54.757781964401204</v>
      </c>
    </row>
    <row r="321" spans="1:28" ht="13.5" thickBot="1" x14ac:dyDescent="0.25">
      <c r="A321" s="2" t="s">
        <v>196</v>
      </c>
      <c r="B321" s="1" t="s">
        <v>195</v>
      </c>
      <c r="C321" s="2" t="s">
        <v>45</v>
      </c>
      <c r="D321" s="2" t="s">
        <v>1125</v>
      </c>
      <c r="E321" s="3" t="s">
        <v>22</v>
      </c>
      <c r="F321" s="3" t="s">
        <v>23</v>
      </c>
      <c r="G321" s="4">
        <v>40186</v>
      </c>
      <c r="H321" s="4">
        <v>40186</v>
      </c>
      <c r="I321" s="6">
        <v>81383</v>
      </c>
      <c r="J321" s="6">
        <v>1689121</v>
      </c>
      <c r="K321" s="2">
        <v>0</v>
      </c>
      <c r="L321" s="6">
        <v>25755</v>
      </c>
      <c r="M321" s="6">
        <v>1796259</v>
      </c>
      <c r="N321" s="6">
        <v>21334</v>
      </c>
      <c r="O321" s="78">
        <v>0</v>
      </c>
      <c r="P321" s="2">
        <v>0</v>
      </c>
      <c r="Q321" s="2">
        <v>0</v>
      </c>
      <c r="R321" s="2">
        <v>0</v>
      </c>
      <c r="S321" s="2">
        <v>0</v>
      </c>
      <c r="T321" s="2">
        <v>0</v>
      </c>
      <c r="U321" s="2">
        <v>0</v>
      </c>
      <c r="V321" s="6">
        <v>1796259</v>
      </c>
      <c r="W321" s="6">
        <v>21334</v>
      </c>
      <c r="X321" s="6">
        <v>1817593</v>
      </c>
      <c r="Y321" s="6">
        <v>26755</v>
      </c>
      <c r="Z321" s="6">
        <v>0</v>
      </c>
      <c r="AA321" s="6">
        <v>1844348</v>
      </c>
      <c r="AB321" s="142">
        <f>Table6[[#This Row],[Total Operating Income]]/Table6[[#This Row],[Total Population Served]]</f>
        <v>45.895286915841339</v>
      </c>
    </row>
    <row r="322" spans="1:28" ht="13.5" thickBot="1" x14ac:dyDescent="0.25">
      <c r="A322" s="2" t="s">
        <v>198</v>
      </c>
      <c r="B322" s="1" t="s">
        <v>197</v>
      </c>
      <c r="C322" s="2" t="s">
        <v>45</v>
      </c>
      <c r="D322" s="2" t="s">
        <v>1190</v>
      </c>
      <c r="E322" s="3" t="s">
        <v>27</v>
      </c>
      <c r="F322" s="3" t="s">
        <v>28</v>
      </c>
      <c r="G322" s="4">
        <v>28263</v>
      </c>
      <c r="H322" s="4">
        <v>25433</v>
      </c>
      <c r="I322" s="6">
        <v>63890</v>
      </c>
      <c r="J322" s="6">
        <v>452381</v>
      </c>
      <c r="K322" s="78">
        <v>0</v>
      </c>
      <c r="L322" s="78">
        <v>0</v>
      </c>
      <c r="M322" s="6">
        <v>516271</v>
      </c>
      <c r="N322" s="78">
        <v>0</v>
      </c>
      <c r="O322" s="4">
        <v>2830</v>
      </c>
      <c r="P322" s="6">
        <v>8099</v>
      </c>
      <c r="Q322" s="78">
        <v>0</v>
      </c>
      <c r="R322" s="78">
        <v>0</v>
      </c>
      <c r="S322" s="78">
        <v>0</v>
      </c>
      <c r="T322" s="6">
        <v>8099</v>
      </c>
      <c r="U322" s="78">
        <v>0</v>
      </c>
      <c r="V322" s="6">
        <v>524370</v>
      </c>
      <c r="W322" s="78">
        <v>0</v>
      </c>
      <c r="X322" s="6">
        <v>524370</v>
      </c>
      <c r="Y322" s="6">
        <v>20726</v>
      </c>
      <c r="Z322" s="6">
        <v>0</v>
      </c>
      <c r="AA322" s="6">
        <v>545096</v>
      </c>
      <c r="AB322" s="142">
        <f>Table6[[#This Row],[Total Operating Income]]/Table6[[#This Row],[Total Population Served]]</f>
        <v>19.286558397905388</v>
      </c>
    </row>
    <row r="323" spans="1:28" ht="13.5" thickBot="1" x14ac:dyDescent="0.25">
      <c r="A323" s="2" t="s">
        <v>208</v>
      </c>
      <c r="B323" s="1" t="s">
        <v>207</v>
      </c>
      <c r="C323" s="2" t="s">
        <v>45</v>
      </c>
      <c r="D323" s="2" t="s">
        <v>1165</v>
      </c>
      <c r="E323" s="3" t="s">
        <v>27</v>
      </c>
      <c r="F323" s="3" t="s">
        <v>28</v>
      </c>
      <c r="G323" s="4">
        <v>26391</v>
      </c>
      <c r="H323" s="4">
        <v>26391</v>
      </c>
      <c r="I323" s="6">
        <v>75859</v>
      </c>
      <c r="J323" s="6">
        <v>1812945</v>
      </c>
      <c r="K323" s="6">
        <v>0</v>
      </c>
      <c r="L323" s="6">
        <v>0</v>
      </c>
      <c r="M323" s="6">
        <v>1888804</v>
      </c>
      <c r="N323" s="6">
        <v>0</v>
      </c>
      <c r="O323" s="78">
        <v>0</v>
      </c>
      <c r="P323" s="78">
        <v>0</v>
      </c>
      <c r="Q323" s="78">
        <v>0</v>
      </c>
      <c r="R323" s="2">
        <v>0</v>
      </c>
      <c r="S323" s="2">
        <v>0</v>
      </c>
      <c r="T323" s="78">
        <v>0</v>
      </c>
      <c r="U323" s="2">
        <v>0</v>
      </c>
      <c r="V323" s="6">
        <v>1888804</v>
      </c>
      <c r="W323" s="6">
        <v>0</v>
      </c>
      <c r="X323" s="6">
        <v>1888804</v>
      </c>
      <c r="Y323" s="6">
        <v>18297</v>
      </c>
      <c r="Z323" s="6">
        <v>0</v>
      </c>
      <c r="AA323" s="6">
        <v>1907101</v>
      </c>
      <c r="AB323" s="142">
        <f>Table6[[#This Row],[Total Operating Income]]/Table6[[#This Row],[Total Population Served]]</f>
        <v>72.263309461558862</v>
      </c>
    </row>
    <row r="324" spans="1:28" ht="13.5" thickBot="1" x14ac:dyDescent="0.25">
      <c r="A324" s="2" t="s">
        <v>227</v>
      </c>
      <c r="B324" s="1" t="s">
        <v>226</v>
      </c>
      <c r="C324" s="2" t="s">
        <v>45</v>
      </c>
      <c r="D324" s="2" t="s">
        <v>1155</v>
      </c>
      <c r="E324" s="3" t="s">
        <v>22</v>
      </c>
      <c r="F324" s="3" t="s">
        <v>23</v>
      </c>
      <c r="G324" s="4">
        <v>32799</v>
      </c>
      <c r="H324" s="4">
        <v>32799</v>
      </c>
      <c r="I324" s="6">
        <v>102260</v>
      </c>
      <c r="J324" s="6">
        <v>1391399</v>
      </c>
      <c r="K324" s="2">
        <v>0</v>
      </c>
      <c r="L324" s="78">
        <v>0</v>
      </c>
      <c r="M324" s="6">
        <v>1493659</v>
      </c>
      <c r="N324" s="6">
        <v>84537</v>
      </c>
      <c r="O324" s="2">
        <v>0</v>
      </c>
      <c r="P324" s="2">
        <v>0</v>
      </c>
      <c r="Q324" s="2">
        <v>0</v>
      </c>
      <c r="R324" s="2">
        <v>0</v>
      </c>
      <c r="S324" s="2">
        <v>0</v>
      </c>
      <c r="T324" s="2">
        <v>0</v>
      </c>
      <c r="U324" s="2">
        <v>0</v>
      </c>
      <c r="V324" s="6">
        <v>1493659</v>
      </c>
      <c r="W324" s="6">
        <v>84537</v>
      </c>
      <c r="X324" s="6">
        <v>1578196</v>
      </c>
      <c r="Y324" s="6">
        <v>21454</v>
      </c>
      <c r="Z324" s="6">
        <v>0</v>
      </c>
      <c r="AA324" s="6">
        <v>1599650</v>
      </c>
      <c r="AB324" s="142">
        <f>Table6[[#This Row],[Total Operating Income]]/Table6[[#This Row],[Total Population Served]]</f>
        <v>48.771304003170826</v>
      </c>
    </row>
    <row r="325" spans="1:28" ht="13.5" thickBot="1" x14ac:dyDescent="0.25">
      <c r="A325" s="2" t="s">
        <v>239</v>
      </c>
      <c r="B325" s="1" t="s">
        <v>238</v>
      </c>
      <c r="C325" s="2" t="s">
        <v>45</v>
      </c>
      <c r="D325" s="2" t="s">
        <v>1203</v>
      </c>
      <c r="E325" s="3" t="s">
        <v>22</v>
      </c>
      <c r="F325" s="3" t="s">
        <v>23</v>
      </c>
      <c r="G325" s="4">
        <v>26168</v>
      </c>
      <c r="H325" s="4">
        <v>26168</v>
      </c>
      <c r="I325" s="6">
        <v>128712</v>
      </c>
      <c r="J325" s="6">
        <v>758041</v>
      </c>
      <c r="K325" s="78">
        <v>0</v>
      </c>
      <c r="L325" s="6">
        <v>188348</v>
      </c>
      <c r="M325" s="6">
        <v>1075101</v>
      </c>
      <c r="N325" s="6">
        <v>99772</v>
      </c>
      <c r="O325" s="78">
        <v>0</v>
      </c>
      <c r="P325" s="78">
        <v>0</v>
      </c>
      <c r="Q325" s="78">
        <v>0</v>
      </c>
      <c r="R325" s="78">
        <v>0</v>
      </c>
      <c r="S325" s="2">
        <v>0</v>
      </c>
      <c r="T325" s="78">
        <v>0</v>
      </c>
      <c r="U325" s="2">
        <v>0</v>
      </c>
      <c r="V325" s="6">
        <v>1075101</v>
      </c>
      <c r="W325" s="6">
        <v>99772</v>
      </c>
      <c r="X325" s="6">
        <v>1174873</v>
      </c>
      <c r="Y325" s="6">
        <v>32705</v>
      </c>
      <c r="Z325" s="6">
        <v>0</v>
      </c>
      <c r="AA325" s="6">
        <v>1207578</v>
      </c>
      <c r="AB325" s="142">
        <f>Table6[[#This Row],[Total Operating Income]]/Table6[[#This Row],[Total Population Served]]</f>
        <v>46.147126261082235</v>
      </c>
    </row>
    <row r="326" spans="1:28" ht="13.5" thickBot="1" x14ac:dyDescent="0.25">
      <c r="A326" s="2" t="s">
        <v>251</v>
      </c>
      <c r="B326" s="1" t="s">
        <v>250</v>
      </c>
      <c r="C326" s="2" t="s">
        <v>45</v>
      </c>
      <c r="D326" s="2" t="s">
        <v>1176</v>
      </c>
      <c r="E326" s="3" t="s">
        <v>27</v>
      </c>
      <c r="F326" s="3" t="s">
        <v>28</v>
      </c>
      <c r="G326" s="4">
        <v>48579</v>
      </c>
      <c r="H326" s="4">
        <v>48579</v>
      </c>
      <c r="I326" s="6">
        <v>118909</v>
      </c>
      <c r="J326" s="6">
        <v>1847555</v>
      </c>
      <c r="K326" s="78">
        <v>0</v>
      </c>
      <c r="L326" s="78">
        <v>0</v>
      </c>
      <c r="M326" s="6">
        <v>1966464</v>
      </c>
      <c r="N326" s="6">
        <v>353002</v>
      </c>
      <c r="O326" s="78">
        <v>0</v>
      </c>
      <c r="P326" s="78">
        <v>0</v>
      </c>
      <c r="Q326" s="78">
        <v>0</v>
      </c>
      <c r="R326" s="78">
        <v>0</v>
      </c>
      <c r="S326" s="78">
        <v>0</v>
      </c>
      <c r="T326" s="78">
        <v>0</v>
      </c>
      <c r="U326" s="78">
        <v>0</v>
      </c>
      <c r="V326" s="6">
        <v>1966464</v>
      </c>
      <c r="W326" s="6">
        <v>353002</v>
      </c>
      <c r="X326" s="6">
        <v>2319466</v>
      </c>
      <c r="Y326" s="6">
        <v>33679</v>
      </c>
      <c r="Z326" s="6">
        <v>1444</v>
      </c>
      <c r="AA326" s="6">
        <v>2354589</v>
      </c>
      <c r="AB326" s="142">
        <f>Table6[[#This Row],[Total Operating Income]]/Table6[[#This Row],[Total Population Served]]</f>
        <v>48.469276848020748</v>
      </c>
    </row>
    <row r="327" spans="1:28" ht="13.5" thickBot="1" x14ac:dyDescent="0.25">
      <c r="A327" s="2" t="s">
        <v>253</v>
      </c>
      <c r="B327" s="1" t="s">
        <v>252</v>
      </c>
      <c r="C327" s="2" t="s">
        <v>45</v>
      </c>
      <c r="D327" s="2" t="s">
        <v>1146</v>
      </c>
      <c r="E327" s="3" t="s">
        <v>27</v>
      </c>
      <c r="F327" s="3" t="s">
        <v>28</v>
      </c>
      <c r="G327" s="4">
        <v>32442</v>
      </c>
      <c r="H327" s="4">
        <v>32442</v>
      </c>
      <c r="I327" s="6">
        <v>26072</v>
      </c>
      <c r="J327" s="6">
        <v>421826</v>
      </c>
      <c r="K327" s="6">
        <v>452530</v>
      </c>
      <c r="L327" s="6">
        <v>0</v>
      </c>
      <c r="M327" s="6">
        <v>900428</v>
      </c>
      <c r="N327" s="6">
        <v>21162</v>
      </c>
      <c r="O327" s="78">
        <v>0</v>
      </c>
      <c r="P327" s="78">
        <v>0</v>
      </c>
      <c r="Q327" s="78">
        <v>0</v>
      </c>
      <c r="R327" s="2">
        <v>0</v>
      </c>
      <c r="S327" s="2">
        <v>0</v>
      </c>
      <c r="T327" s="78">
        <v>0</v>
      </c>
      <c r="U327" s="2">
        <v>0</v>
      </c>
      <c r="V327" s="6">
        <v>900428</v>
      </c>
      <c r="W327" s="6">
        <v>21162</v>
      </c>
      <c r="X327" s="6">
        <v>921590</v>
      </c>
      <c r="Y327" s="6">
        <v>22492</v>
      </c>
      <c r="Z327" s="6">
        <v>0</v>
      </c>
      <c r="AA327" s="6">
        <v>944082</v>
      </c>
      <c r="AB327" s="142">
        <f>Table6[[#This Row],[Total Operating Income]]/Table6[[#This Row],[Total Population Served]]</f>
        <v>29.100610319955614</v>
      </c>
    </row>
    <row r="328" spans="1:28" ht="13.5" thickBot="1" x14ac:dyDescent="0.25">
      <c r="A328" s="2" t="s">
        <v>313</v>
      </c>
      <c r="B328" s="1" t="s">
        <v>312</v>
      </c>
      <c r="C328" s="2" t="s">
        <v>45</v>
      </c>
      <c r="D328" s="2" t="s">
        <v>1134</v>
      </c>
      <c r="E328" s="3" t="s">
        <v>27</v>
      </c>
      <c r="F328" s="3" t="s">
        <v>28</v>
      </c>
      <c r="G328" s="4">
        <v>27692</v>
      </c>
      <c r="H328" s="4">
        <v>27692</v>
      </c>
      <c r="I328" s="6">
        <v>23785</v>
      </c>
      <c r="J328" s="6">
        <v>484901</v>
      </c>
      <c r="K328" s="78">
        <v>0</v>
      </c>
      <c r="L328" s="78">
        <v>0</v>
      </c>
      <c r="M328" s="6">
        <v>508686</v>
      </c>
      <c r="N328" s="6">
        <v>13435</v>
      </c>
      <c r="O328" s="78">
        <v>0</v>
      </c>
      <c r="P328" s="78">
        <v>0</v>
      </c>
      <c r="Q328" s="78">
        <v>0</v>
      </c>
      <c r="R328" s="78">
        <v>0</v>
      </c>
      <c r="S328" s="78">
        <v>0</v>
      </c>
      <c r="T328" s="78">
        <v>0</v>
      </c>
      <c r="U328" s="2">
        <v>0</v>
      </c>
      <c r="V328" s="6">
        <v>508686</v>
      </c>
      <c r="W328" s="6">
        <v>13435</v>
      </c>
      <c r="X328" s="6">
        <v>522121</v>
      </c>
      <c r="Y328" s="6">
        <v>19198</v>
      </c>
      <c r="Z328" s="6">
        <v>0</v>
      </c>
      <c r="AA328" s="6">
        <v>541319</v>
      </c>
      <c r="AB328" s="142">
        <f>Table6[[#This Row],[Total Operating Income]]/Table6[[#This Row],[Total Population Served]]</f>
        <v>19.54784775386393</v>
      </c>
    </row>
    <row r="329" spans="1:28" ht="13.5" thickBot="1" x14ac:dyDescent="0.25">
      <c r="A329" s="2" t="s">
        <v>321</v>
      </c>
      <c r="B329" s="1" t="s">
        <v>320</v>
      </c>
      <c r="C329" s="2" t="s">
        <v>45</v>
      </c>
      <c r="D329" s="2" t="s">
        <v>1136</v>
      </c>
      <c r="E329" s="3" t="s">
        <v>22</v>
      </c>
      <c r="F329" s="3" t="s">
        <v>23</v>
      </c>
      <c r="G329" s="4">
        <v>46985</v>
      </c>
      <c r="H329" s="4">
        <v>46985</v>
      </c>
      <c r="I329" s="6">
        <v>147230</v>
      </c>
      <c r="J329" s="78">
        <v>0</v>
      </c>
      <c r="K329" s="6">
        <v>865000</v>
      </c>
      <c r="L329" s="6">
        <v>0</v>
      </c>
      <c r="M329" s="6">
        <v>1012230</v>
      </c>
      <c r="N329" s="6">
        <v>35328</v>
      </c>
      <c r="O329" s="78">
        <v>0</v>
      </c>
      <c r="P329" s="78">
        <v>0</v>
      </c>
      <c r="Q329" s="2">
        <v>0</v>
      </c>
      <c r="R329" s="78">
        <v>0</v>
      </c>
      <c r="S329" s="78">
        <v>0</v>
      </c>
      <c r="T329" s="78">
        <v>0</v>
      </c>
      <c r="U329" s="2">
        <v>0</v>
      </c>
      <c r="V329" s="6">
        <v>1012230</v>
      </c>
      <c r="W329" s="6">
        <v>35328</v>
      </c>
      <c r="X329" s="6">
        <v>1047558</v>
      </c>
      <c r="Y329" s="6">
        <v>30733</v>
      </c>
      <c r="Z329" s="6">
        <v>3491</v>
      </c>
      <c r="AA329" s="6">
        <v>1081782</v>
      </c>
      <c r="AB329" s="142">
        <f>Table6[[#This Row],[Total Operating Income]]/Table6[[#This Row],[Total Population Served]]</f>
        <v>23.023986378631477</v>
      </c>
    </row>
    <row r="330" spans="1:28" ht="13.5" thickBot="1" x14ac:dyDescent="0.25">
      <c r="A330" s="2" t="s">
        <v>341</v>
      </c>
      <c r="B330" s="1" t="s">
        <v>340</v>
      </c>
      <c r="C330" s="2" t="s">
        <v>45</v>
      </c>
      <c r="D330" s="2" t="s">
        <v>1216</v>
      </c>
      <c r="E330" s="3" t="s">
        <v>27</v>
      </c>
      <c r="F330" s="3" t="s">
        <v>28</v>
      </c>
      <c r="G330" s="4">
        <v>40898</v>
      </c>
      <c r="H330" s="4">
        <v>40898</v>
      </c>
      <c r="I330" s="6">
        <v>83891</v>
      </c>
      <c r="J330" s="6">
        <v>1379108</v>
      </c>
      <c r="K330" s="6">
        <v>0</v>
      </c>
      <c r="L330" s="6">
        <v>107648</v>
      </c>
      <c r="M330" s="6">
        <v>1570647</v>
      </c>
      <c r="N330" s="6">
        <v>64873</v>
      </c>
      <c r="O330" s="2">
        <v>0</v>
      </c>
      <c r="P330" s="6">
        <v>0</v>
      </c>
      <c r="Q330" s="6">
        <v>0</v>
      </c>
      <c r="R330" s="6">
        <v>0</v>
      </c>
      <c r="S330" s="6">
        <v>0</v>
      </c>
      <c r="T330" s="6">
        <v>0</v>
      </c>
      <c r="U330" s="6">
        <v>0</v>
      </c>
      <c r="V330" s="6">
        <v>1570647</v>
      </c>
      <c r="W330" s="6">
        <v>64873</v>
      </c>
      <c r="X330" s="6">
        <v>1635520</v>
      </c>
      <c r="Y330" s="6">
        <v>296982</v>
      </c>
      <c r="Z330" s="6">
        <v>0</v>
      </c>
      <c r="AA330" s="6">
        <v>1932502</v>
      </c>
      <c r="AB330" s="142">
        <f>Table6[[#This Row],[Total Operating Income]]/Table6[[#This Row],[Total Population Served]]</f>
        <v>47.251748251748253</v>
      </c>
    </row>
    <row r="331" spans="1:28" ht="13.5" thickBot="1" x14ac:dyDescent="0.25">
      <c r="A331" s="2" t="s">
        <v>401</v>
      </c>
      <c r="B331" s="1" t="s">
        <v>400</v>
      </c>
      <c r="C331" s="2" t="s">
        <v>45</v>
      </c>
      <c r="D331" s="2" t="s">
        <v>1236</v>
      </c>
      <c r="E331" s="3" t="s">
        <v>22</v>
      </c>
      <c r="F331" s="3" t="s">
        <v>23</v>
      </c>
      <c r="G331" s="4">
        <v>41786</v>
      </c>
      <c r="H331" s="4">
        <v>41786</v>
      </c>
      <c r="I331" s="6">
        <v>277379</v>
      </c>
      <c r="J331" s="6">
        <v>808859</v>
      </c>
      <c r="K331" s="2">
        <v>0</v>
      </c>
      <c r="L331" s="6">
        <v>20377</v>
      </c>
      <c r="M331" s="6">
        <v>1106615</v>
      </c>
      <c r="N331" s="6">
        <v>10703</v>
      </c>
      <c r="O331" s="78">
        <v>0</v>
      </c>
      <c r="P331" s="78">
        <v>0</v>
      </c>
      <c r="Q331" s="2">
        <v>0</v>
      </c>
      <c r="R331" s="2">
        <v>0</v>
      </c>
      <c r="S331" s="2">
        <v>0</v>
      </c>
      <c r="T331" s="78">
        <v>0</v>
      </c>
      <c r="U331" s="2">
        <v>0</v>
      </c>
      <c r="V331" s="6">
        <v>1106615</v>
      </c>
      <c r="W331" s="6">
        <v>10703</v>
      </c>
      <c r="X331" s="6">
        <v>1117318</v>
      </c>
      <c r="Y331" s="6">
        <v>47258</v>
      </c>
      <c r="Z331" s="6">
        <v>0</v>
      </c>
      <c r="AA331" s="6">
        <v>1164576</v>
      </c>
      <c r="AB331" s="142">
        <f>Table6[[#This Row],[Total Operating Income]]/Table6[[#This Row],[Total Population Served]]</f>
        <v>27.870004307662853</v>
      </c>
    </row>
    <row r="332" spans="1:28" ht="13.5" thickBot="1" x14ac:dyDescent="0.25">
      <c r="A332" s="2" t="s">
        <v>445</v>
      </c>
      <c r="B332" s="1" t="s">
        <v>444</v>
      </c>
      <c r="C332" s="2" t="s">
        <v>45</v>
      </c>
      <c r="D332" s="2" t="s">
        <v>1126</v>
      </c>
      <c r="E332" s="3" t="s">
        <v>22</v>
      </c>
      <c r="F332" s="3" t="s">
        <v>23</v>
      </c>
      <c r="G332" s="4">
        <v>40771</v>
      </c>
      <c r="H332" s="4">
        <v>40771</v>
      </c>
      <c r="I332" s="6">
        <v>111520</v>
      </c>
      <c r="J332" s="6">
        <v>977076</v>
      </c>
      <c r="K332" s="78">
        <v>0</v>
      </c>
      <c r="L332" s="78">
        <v>0</v>
      </c>
      <c r="M332" s="6">
        <v>1088596</v>
      </c>
      <c r="N332" s="6">
        <v>76459</v>
      </c>
      <c r="O332" s="2">
        <v>0</v>
      </c>
      <c r="P332" s="2">
        <v>0</v>
      </c>
      <c r="Q332" s="2">
        <v>0</v>
      </c>
      <c r="R332" s="2">
        <v>0</v>
      </c>
      <c r="S332" s="2">
        <v>0</v>
      </c>
      <c r="T332" s="2">
        <v>0</v>
      </c>
      <c r="U332" s="2">
        <v>0</v>
      </c>
      <c r="V332" s="6">
        <v>1088596</v>
      </c>
      <c r="W332" s="6">
        <v>76459</v>
      </c>
      <c r="X332" s="6">
        <v>1165055</v>
      </c>
      <c r="Y332" s="6">
        <v>26668</v>
      </c>
      <c r="Z332" s="6">
        <v>0</v>
      </c>
      <c r="AA332" s="6">
        <v>1191723</v>
      </c>
      <c r="AB332" s="142">
        <f>Table6[[#This Row],[Total Operating Income]]/Table6[[#This Row],[Total Population Served]]</f>
        <v>29.229673051924163</v>
      </c>
    </row>
    <row r="333" spans="1:28" ht="13.5" thickBot="1" x14ac:dyDescent="0.25">
      <c r="A333" s="2" t="s">
        <v>451</v>
      </c>
      <c r="B333" s="1" t="s">
        <v>450</v>
      </c>
      <c r="C333" s="2" t="s">
        <v>45</v>
      </c>
      <c r="D333" s="2" t="s">
        <v>1134</v>
      </c>
      <c r="E333" s="3" t="s">
        <v>27</v>
      </c>
      <c r="F333" s="3" t="s">
        <v>28</v>
      </c>
      <c r="G333" s="4">
        <v>38144</v>
      </c>
      <c r="H333" s="4">
        <v>38144</v>
      </c>
      <c r="I333" s="6">
        <v>58637</v>
      </c>
      <c r="J333" s="6">
        <v>291479</v>
      </c>
      <c r="K333" s="78">
        <v>0</v>
      </c>
      <c r="L333" s="78">
        <v>0</v>
      </c>
      <c r="M333" s="6">
        <v>350116</v>
      </c>
      <c r="N333" s="6">
        <v>3531</v>
      </c>
      <c r="O333" s="78">
        <v>0</v>
      </c>
      <c r="P333" s="78">
        <v>0</v>
      </c>
      <c r="Q333" s="78">
        <v>0</v>
      </c>
      <c r="R333" s="78">
        <v>0</v>
      </c>
      <c r="S333" s="78">
        <v>0</v>
      </c>
      <c r="T333" s="78">
        <v>0</v>
      </c>
      <c r="U333" s="78">
        <v>0</v>
      </c>
      <c r="V333" s="6">
        <v>350116</v>
      </c>
      <c r="W333" s="6">
        <v>3531</v>
      </c>
      <c r="X333" s="6">
        <v>353647</v>
      </c>
      <c r="Y333" s="6">
        <v>26445</v>
      </c>
      <c r="Z333" s="6">
        <v>0</v>
      </c>
      <c r="AA333" s="6">
        <v>380092</v>
      </c>
      <c r="AB333" s="142">
        <f>Table6[[#This Row],[Total Operating Income]]/Table6[[#This Row],[Total Population Served]]</f>
        <v>9.9646602348993287</v>
      </c>
    </row>
    <row r="334" spans="1:28" ht="13.5" thickBot="1" x14ac:dyDescent="0.25">
      <c r="A334" s="2" t="s">
        <v>463</v>
      </c>
      <c r="B334" s="1" t="s">
        <v>462</v>
      </c>
      <c r="C334" s="2" t="s">
        <v>45</v>
      </c>
      <c r="D334" s="2" t="s">
        <v>1136</v>
      </c>
      <c r="E334" s="3" t="s">
        <v>27</v>
      </c>
      <c r="F334" s="3" t="s">
        <v>28</v>
      </c>
      <c r="G334" s="4">
        <v>35540</v>
      </c>
      <c r="H334" s="4">
        <v>35540</v>
      </c>
      <c r="I334" s="6">
        <v>111367</v>
      </c>
      <c r="J334" s="6">
        <v>2161158</v>
      </c>
      <c r="K334" s="6">
        <v>0</v>
      </c>
      <c r="L334" s="6">
        <v>112678</v>
      </c>
      <c r="M334" s="6">
        <v>2385203</v>
      </c>
      <c r="N334" s="6">
        <v>94713</v>
      </c>
      <c r="O334" s="2">
        <v>0</v>
      </c>
      <c r="P334" s="2">
        <v>0</v>
      </c>
      <c r="Q334" s="2">
        <v>0</v>
      </c>
      <c r="R334" s="2">
        <v>0</v>
      </c>
      <c r="S334" s="2">
        <v>0</v>
      </c>
      <c r="T334" s="2">
        <v>0</v>
      </c>
      <c r="U334" s="2">
        <v>0</v>
      </c>
      <c r="V334" s="6">
        <v>2385203</v>
      </c>
      <c r="W334" s="6">
        <v>94713</v>
      </c>
      <c r="X334" s="6">
        <v>2479916</v>
      </c>
      <c r="Y334" s="6">
        <v>26062</v>
      </c>
      <c r="Z334" s="6">
        <v>0</v>
      </c>
      <c r="AA334" s="6">
        <v>2505978</v>
      </c>
      <c r="AB334" s="142">
        <f>Table6[[#This Row],[Total Operating Income]]/Table6[[#This Row],[Total Population Served]]</f>
        <v>70.511480022509843</v>
      </c>
    </row>
    <row r="335" spans="1:28" ht="13.5" thickBot="1" x14ac:dyDescent="0.25">
      <c r="A335" s="2" t="s">
        <v>480</v>
      </c>
      <c r="B335" s="1" t="s">
        <v>479</v>
      </c>
      <c r="C335" s="2" t="s">
        <v>45</v>
      </c>
      <c r="D335" s="2" t="s">
        <v>1125</v>
      </c>
      <c r="E335" s="3" t="s">
        <v>27</v>
      </c>
      <c r="F335" s="3" t="s">
        <v>28</v>
      </c>
      <c r="G335" s="4">
        <v>29694</v>
      </c>
      <c r="H335" s="4">
        <v>29694</v>
      </c>
      <c r="I335" s="6">
        <v>62094</v>
      </c>
      <c r="J335" s="6">
        <v>615443</v>
      </c>
      <c r="K335" s="78">
        <v>0</v>
      </c>
      <c r="L335" s="6">
        <v>0</v>
      </c>
      <c r="M335" s="6">
        <v>677537</v>
      </c>
      <c r="N335" s="6">
        <v>12842</v>
      </c>
      <c r="O335" s="78">
        <v>0</v>
      </c>
      <c r="P335" s="78">
        <v>0</v>
      </c>
      <c r="Q335" s="78">
        <v>0</v>
      </c>
      <c r="R335" s="78">
        <v>0</v>
      </c>
      <c r="S335" s="78">
        <v>0</v>
      </c>
      <c r="T335" s="78">
        <v>0</v>
      </c>
      <c r="U335" s="78">
        <v>0</v>
      </c>
      <c r="V335" s="6">
        <v>677537</v>
      </c>
      <c r="W335" s="6">
        <v>12842</v>
      </c>
      <c r="X335" s="6">
        <v>690379</v>
      </c>
      <c r="Y335" s="6">
        <v>22495</v>
      </c>
      <c r="Z335" s="6">
        <v>0</v>
      </c>
      <c r="AA335" s="6">
        <v>712874</v>
      </c>
      <c r="AB335" s="142">
        <f>Table6[[#This Row],[Total Operating Income]]/Table6[[#This Row],[Total Population Served]]</f>
        <v>24.007341550481577</v>
      </c>
    </row>
    <row r="336" spans="1:28" ht="13.5" thickBot="1" x14ac:dyDescent="0.25">
      <c r="A336" s="2" t="s">
        <v>500</v>
      </c>
      <c r="B336" s="1" t="s">
        <v>499</v>
      </c>
      <c r="C336" s="2" t="s">
        <v>45</v>
      </c>
      <c r="D336" s="2" t="s">
        <v>1257</v>
      </c>
      <c r="E336" s="3" t="s">
        <v>22</v>
      </c>
      <c r="F336" s="3" t="s">
        <v>23</v>
      </c>
      <c r="G336" s="4">
        <v>28646</v>
      </c>
      <c r="H336" s="4">
        <v>28646</v>
      </c>
      <c r="I336" s="6">
        <v>118854</v>
      </c>
      <c r="J336" s="6">
        <v>930033</v>
      </c>
      <c r="K336" s="6">
        <v>0</v>
      </c>
      <c r="L336" s="6">
        <v>0</v>
      </c>
      <c r="M336" s="6">
        <v>1048887</v>
      </c>
      <c r="N336" s="6">
        <v>104349</v>
      </c>
      <c r="O336" s="78">
        <v>0</v>
      </c>
      <c r="P336" s="78">
        <v>0</v>
      </c>
      <c r="Q336" s="78">
        <v>0</v>
      </c>
      <c r="R336" s="78">
        <v>0</v>
      </c>
      <c r="S336" s="78">
        <v>0</v>
      </c>
      <c r="T336" s="78">
        <v>0</v>
      </c>
      <c r="U336" s="78">
        <v>0</v>
      </c>
      <c r="V336" s="6">
        <v>1048887</v>
      </c>
      <c r="W336" s="6">
        <v>104349</v>
      </c>
      <c r="X336" s="6">
        <v>1153236</v>
      </c>
      <c r="Y336" s="6">
        <v>18737</v>
      </c>
      <c r="Z336" s="6">
        <v>22412</v>
      </c>
      <c r="AA336" s="6">
        <v>1194385</v>
      </c>
      <c r="AB336" s="142">
        <f>Table6[[#This Row],[Total Operating Income]]/Table6[[#This Row],[Total Population Served]]</f>
        <v>41.694651958388604</v>
      </c>
    </row>
    <row r="337" spans="1:28" ht="13.5" thickBot="1" x14ac:dyDescent="0.25">
      <c r="A337" s="2" t="s">
        <v>556</v>
      </c>
      <c r="B337" s="1" t="s">
        <v>555</v>
      </c>
      <c r="C337" s="2" t="s">
        <v>45</v>
      </c>
      <c r="D337" s="2" t="s">
        <v>1134</v>
      </c>
      <c r="E337" s="3" t="s">
        <v>52</v>
      </c>
      <c r="F337" s="3" t="s">
        <v>53</v>
      </c>
      <c r="G337" s="4">
        <v>34467</v>
      </c>
      <c r="H337" s="4">
        <v>34467</v>
      </c>
      <c r="I337" s="6">
        <v>33373</v>
      </c>
      <c r="J337" s="6">
        <v>2625307</v>
      </c>
      <c r="K337" s="6">
        <v>0</v>
      </c>
      <c r="L337" s="6">
        <v>64957</v>
      </c>
      <c r="M337" s="6">
        <v>2723637</v>
      </c>
      <c r="N337" s="6">
        <v>137451</v>
      </c>
      <c r="O337" s="2">
        <v>0</v>
      </c>
      <c r="P337" s="2">
        <v>0</v>
      </c>
      <c r="Q337" s="2">
        <v>0</v>
      </c>
      <c r="R337" s="2">
        <v>0</v>
      </c>
      <c r="S337" s="2">
        <v>0</v>
      </c>
      <c r="T337" s="2">
        <v>0</v>
      </c>
      <c r="U337" s="2">
        <v>0</v>
      </c>
      <c r="V337" s="6">
        <v>2723637</v>
      </c>
      <c r="W337" s="6">
        <v>137451</v>
      </c>
      <c r="X337" s="6">
        <v>2861088</v>
      </c>
      <c r="Y337" s="6">
        <v>22545</v>
      </c>
      <c r="Z337" s="6">
        <v>2592</v>
      </c>
      <c r="AA337" s="6">
        <v>2886225</v>
      </c>
      <c r="AB337" s="142">
        <f>Table6[[#This Row],[Total Operating Income]]/Table6[[#This Row],[Total Population Served]]</f>
        <v>83.738793628688313</v>
      </c>
    </row>
    <row r="338" spans="1:28" ht="13.5" thickBot="1" x14ac:dyDescent="0.25">
      <c r="A338" s="2" t="s">
        <v>562</v>
      </c>
      <c r="B338" s="1" t="s">
        <v>561</v>
      </c>
      <c r="C338" s="2" t="s">
        <v>45</v>
      </c>
      <c r="D338" s="2" t="s">
        <v>1125</v>
      </c>
      <c r="E338" s="3" t="s">
        <v>27</v>
      </c>
      <c r="F338" s="3" t="s">
        <v>28</v>
      </c>
      <c r="G338" s="4">
        <v>29319</v>
      </c>
      <c r="H338" s="4">
        <v>29319</v>
      </c>
      <c r="I338" s="6">
        <v>59375</v>
      </c>
      <c r="J338" s="6">
        <v>652080</v>
      </c>
      <c r="K338" s="6">
        <v>109174</v>
      </c>
      <c r="L338" s="6">
        <v>0</v>
      </c>
      <c r="M338" s="6">
        <v>820629</v>
      </c>
      <c r="N338" s="6">
        <v>14378</v>
      </c>
      <c r="O338" s="2">
        <v>0</v>
      </c>
      <c r="P338" s="6">
        <v>0</v>
      </c>
      <c r="Q338" s="78">
        <v>0</v>
      </c>
      <c r="R338" s="78">
        <v>0</v>
      </c>
      <c r="S338" s="78">
        <v>0</v>
      </c>
      <c r="T338" s="6">
        <v>0</v>
      </c>
      <c r="U338" s="78">
        <v>0</v>
      </c>
      <c r="V338" s="6">
        <v>820629</v>
      </c>
      <c r="W338" s="6">
        <v>14378</v>
      </c>
      <c r="X338" s="6">
        <v>835007</v>
      </c>
      <c r="Y338" s="6">
        <v>10671</v>
      </c>
      <c r="Z338" s="6">
        <v>0</v>
      </c>
      <c r="AA338" s="6">
        <v>845678</v>
      </c>
      <c r="AB338" s="142">
        <f>Table6[[#This Row],[Total Operating Income]]/Table6[[#This Row],[Total Population Served]]</f>
        <v>28.844026058187524</v>
      </c>
    </row>
    <row r="339" spans="1:28" ht="13.5" thickBot="1" x14ac:dyDescent="0.25">
      <c r="A339" s="2" t="s">
        <v>568</v>
      </c>
      <c r="B339" s="1" t="s">
        <v>567</v>
      </c>
      <c r="C339" s="2" t="s">
        <v>45</v>
      </c>
      <c r="D339" s="2" t="s">
        <v>1125</v>
      </c>
      <c r="E339" s="3" t="s">
        <v>22</v>
      </c>
      <c r="F339" s="3" t="s">
        <v>23</v>
      </c>
      <c r="G339" s="4">
        <v>35394</v>
      </c>
      <c r="H339" s="4">
        <v>35394</v>
      </c>
      <c r="I339" s="6">
        <v>71679</v>
      </c>
      <c r="J339" s="6">
        <v>2106506</v>
      </c>
      <c r="K339" s="6">
        <v>0</v>
      </c>
      <c r="L339" s="6">
        <v>0</v>
      </c>
      <c r="M339" s="6">
        <v>2178185</v>
      </c>
      <c r="N339" s="6">
        <v>127857</v>
      </c>
      <c r="O339" s="78">
        <v>0</v>
      </c>
      <c r="P339" s="78">
        <v>0</v>
      </c>
      <c r="Q339" s="78">
        <v>0</v>
      </c>
      <c r="R339" s="78">
        <v>0</v>
      </c>
      <c r="S339" s="78">
        <v>0</v>
      </c>
      <c r="T339" s="78">
        <v>0</v>
      </c>
      <c r="U339" s="78">
        <v>0</v>
      </c>
      <c r="V339" s="6">
        <v>2178185</v>
      </c>
      <c r="W339" s="6">
        <v>127857</v>
      </c>
      <c r="X339" s="6">
        <v>2306042</v>
      </c>
      <c r="Y339" s="6">
        <v>23783</v>
      </c>
      <c r="Z339" s="6">
        <v>0</v>
      </c>
      <c r="AA339" s="6">
        <v>2329825</v>
      </c>
      <c r="AB339" s="142">
        <f>Table6[[#This Row],[Total Operating Income]]/Table6[[#This Row],[Total Population Served]]</f>
        <v>65.825422387975365</v>
      </c>
    </row>
    <row r="340" spans="1:28" ht="13.5" thickBot="1" x14ac:dyDescent="0.25">
      <c r="A340" s="2" t="s">
        <v>598</v>
      </c>
      <c r="B340" s="1" t="s">
        <v>597</v>
      </c>
      <c r="C340" s="2" t="s">
        <v>45</v>
      </c>
      <c r="D340" s="2" t="s">
        <v>1213</v>
      </c>
      <c r="E340" s="3" t="s">
        <v>17</v>
      </c>
      <c r="F340" s="3" t="s">
        <v>18</v>
      </c>
      <c r="G340" s="4">
        <v>36441</v>
      </c>
      <c r="H340" s="4">
        <v>21355</v>
      </c>
      <c r="I340" s="6">
        <v>60086</v>
      </c>
      <c r="J340" s="6">
        <v>890272</v>
      </c>
      <c r="K340" s="6">
        <v>42008</v>
      </c>
      <c r="L340" s="78">
        <v>0</v>
      </c>
      <c r="M340" s="6">
        <v>992366</v>
      </c>
      <c r="N340" s="6">
        <v>335741</v>
      </c>
      <c r="O340" s="4">
        <v>15086</v>
      </c>
      <c r="P340" s="6">
        <v>43510</v>
      </c>
      <c r="Q340" s="6">
        <v>483939</v>
      </c>
      <c r="R340" s="78">
        <v>0</v>
      </c>
      <c r="S340" s="78">
        <v>0</v>
      </c>
      <c r="T340" s="6">
        <v>527449</v>
      </c>
      <c r="U340" s="78">
        <v>0</v>
      </c>
      <c r="V340" s="6">
        <v>1519815</v>
      </c>
      <c r="W340" s="6">
        <v>335741</v>
      </c>
      <c r="X340" s="6">
        <v>1855556</v>
      </c>
      <c r="Y340" s="6">
        <v>26723</v>
      </c>
      <c r="Z340" s="6">
        <v>0</v>
      </c>
      <c r="AA340" s="6">
        <v>1882279</v>
      </c>
      <c r="AB340" s="142">
        <f>Table6[[#This Row],[Total Operating Income]]/Table6[[#This Row],[Total Population Served]]</f>
        <v>51.65278120798002</v>
      </c>
    </row>
    <row r="341" spans="1:28" ht="13.5" thickBot="1" x14ac:dyDescent="0.25">
      <c r="A341" s="2" t="s">
        <v>608</v>
      </c>
      <c r="B341" s="1" t="s">
        <v>607</v>
      </c>
      <c r="C341" s="2" t="s">
        <v>45</v>
      </c>
      <c r="D341" s="2" t="s">
        <v>1134</v>
      </c>
      <c r="E341" s="3" t="s">
        <v>22</v>
      </c>
      <c r="F341" s="3" t="s">
        <v>23</v>
      </c>
      <c r="G341" s="4">
        <v>36656</v>
      </c>
      <c r="H341" s="4">
        <v>36656</v>
      </c>
      <c r="I341" s="6">
        <v>77707</v>
      </c>
      <c r="J341" s="6">
        <v>3455428</v>
      </c>
      <c r="K341" s="6">
        <v>0</v>
      </c>
      <c r="L341" s="6">
        <v>0</v>
      </c>
      <c r="M341" s="6">
        <v>3533135</v>
      </c>
      <c r="N341" s="6">
        <v>185942</v>
      </c>
      <c r="O341" s="2">
        <v>0</v>
      </c>
      <c r="P341" s="2">
        <v>0</v>
      </c>
      <c r="Q341" s="2">
        <v>0</v>
      </c>
      <c r="R341" s="2">
        <v>0</v>
      </c>
      <c r="S341" s="2">
        <v>0</v>
      </c>
      <c r="T341" s="2">
        <v>0</v>
      </c>
      <c r="U341" s="2">
        <v>0</v>
      </c>
      <c r="V341" s="6">
        <v>3533135</v>
      </c>
      <c r="W341" s="6">
        <v>185942</v>
      </c>
      <c r="X341" s="6">
        <v>3719077</v>
      </c>
      <c r="Y341" s="6">
        <v>23977</v>
      </c>
      <c r="Z341" s="6">
        <v>0</v>
      </c>
      <c r="AA341" s="6">
        <v>3743054</v>
      </c>
      <c r="AB341" s="142">
        <f>Table6[[#This Row],[Total Operating Income]]/Table6[[#This Row],[Total Population Served]]</f>
        <v>102.11299650807507</v>
      </c>
    </row>
    <row r="342" spans="1:28" ht="13.5" thickBot="1" x14ac:dyDescent="0.25">
      <c r="A342" s="2" t="s">
        <v>636</v>
      </c>
      <c r="B342" s="1" t="s">
        <v>635</v>
      </c>
      <c r="C342" s="2" t="s">
        <v>45</v>
      </c>
      <c r="D342" s="2" t="s">
        <v>1134</v>
      </c>
      <c r="E342" s="3" t="s">
        <v>67</v>
      </c>
      <c r="F342" s="3" t="s">
        <v>68</v>
      </c>
      <c r="G342" s="4">
        <v>48362</v>
      </c>
      <c r="H342" s="4">
        <v>48362</v>
      </c>
      <c r="I342" s="6">
        <v>43065</v>
      </c>
      <c r="J342" s="6">
        <v>1797139</v>
      </c>
      <c r="K342" s="6">
        <v>0</v>
      </c>
      <c r="L342" s="6">
        <v>240037</v>
      </c>
      <c r="M342" s="6">
        <v>2080241</v>
      </c>
      <c r="N342" s="6">
        <v>174998</v>
      </c>
      <c r="O342" s="2">
        <v>0</v>
      </c>
      <c r="P342" s="6">
        <v>0</v>
      </c>
      <c r="Q342" s="2">
        <v>0</v>
      </c>
      <c r="R342" s="2">
        <v>0</v>
      </c>
      <c r="S342" s="2">
        <v>0</v>
      </c>
      <c r="T342" s="6">
        <v>0</v>
      </c>
      <c r="U342" s="2">
        <v>0</v>
      </c>
      <c r="V342" s="6">
        <v>2080241</v>
      </c>
      <c r="W342" s="6">
        <v>174998</v>
      </c>
      <c r="X342" s="6">
        <v>2255239</v>
      </c>
      <c r="Y342" s="6">
        <v>31633</v>
      </c>
      <c r="Z342" s="6">
        <v>0</v>
      </c>
      <c r="AA342" s="6">
        <v>2286872</v>
      </c>
      <c r="AB342" s="142">
        <f>Table6[[#This Row],[Total Operating Income]]/Table6[[#This Row],[Total Population Served]]</f>
        <v>47.286547289193997</v>
      </c>
    </row>
    <row r="343" spans="1:28" ht="13.5" thickBot="1" x14ac:dyDescent="0.25">
      <c r="A343" s="2" t="s">
        <v>662</v>
      </c>
      <c r="B343" s="1" t="s">
        <v>661</v>
      </c>
      <c r="C343" s="2" t="s">
        <v>45</v>
      </c>
      <c r="D343" s="2" t="s">
        <v>1146</v>
      </c>
      <c r="E343" s="3" t="s">
        <v>27</v>
      </c>
      <c r="F343" s="3" t="s">
        <v>28</v>
      </c>
      <c r="G343" s="4">
        <v>33839</v>
      </c>
      <c r="H343" s="4">
        <v>33839</v>
      </c>
      <c r="I343" s="6">
        <v>27195</v>
      </c>
      <c r="J343" s="6">
        <v>1979982</v>
      </c>
      <c r="K343" s="6">
        <v>151894</v>
      </c>
      <c r="L343" s="6">
        <v>2148</v>
      </c>
      <c r="M343" s="6">
        <v>2161219</v>
      </c>
      <c r="N343" s="6">
        <v>61093</v>
      </c>
      <c r="O343" s="2">
        <v>0</v>
      </c>
      <c r="P343" s="2">
        <v>0</v>
      </c>
      <c r="Q343" s="2">
        <v>0</v>
      </c>
      <c r="R343" s="2">
        <v>0</v>
      </c>
      <c r="S343" s="2">
        <v>0</v>
      </c>
      <c r="T343" s="2">
        <v>0</v>
      </c>
      <c r="U343" s="2">
        <v>0</v>
      </c>
      <c r="V343" s="6">
        <v>2161219</v>
      </c>
      <c r="W343" s="6">
        <v>61093</v>
      </c>
      <c r="X343" s="6">
        <v>2222312</v>
      </c>
      <c r="Y343" s="6">
        <v>23460</v>
      </c>
      <c r="Z343" s="6">
        <v>0</v>
      </c>
      <c r="AA343" s="6">
        <v>2245772</v>
      </c>
      <c r="AB343" s="142">
        <f>Table6[[#This Row],[Total Operating Income]]/Table6[[#This Row],[Total Population Served]]</f>
        <v>66.366381985283255</v>
      </c>
    </row>
    <row r="344" spans="1:28" ht="13.5" thickBot="1" x14ac:dyDescent="0.25">
      <c r="A344" s="2" t="s">
        <v>664</v>
      </c>
      <c r="B344" s="1" t="s">
        <v>663</v>
      </c>
      <c r="C344" s="2" t="s">
        <v>45</v>
      </c>
      <c r="D344" s="2" t="s">
        <v>1134</v>
      </c>
      <c r="E344" s="3" t="s">
        <v>27</v>
      </c>
      <c r="F344" s="3" t="s">
        <v>28</v>
      </c>
      <c r="G344" s="4">
        <v>39868</v>
      </c>
      <c r="H344" s="4">
        <v>23989</v>
      </c>
      <c r="I344" s="6">
        <v>161540</v>
      </c>
      <c r="J344" s="6">
        <v>0</v>
      </c>
      <c r="K344" s="6">
        <v>519726</v>
      </c>
      <c r="L344" s="6">
        <v>0</v>
      </c>
      <c r="M344" s="6">
        <v>681266</v>
      </c>
      <c r="N344" s="6">
        <v>33344</v>
      </c>
      <c r="O344" s="77">
        <v>15879</v>
      </c>
      <c r="P344" s="6">
        <v>9084</v>
      </c>
      <c r="Q344" s="6">
        <v>0</v>
      </c>
      <c r="R344" s="6">
        <v>0</v>
      </c>
      <c r="S344" s="6">
        <v>25000</v>
      </c>
      <c r="T344" s="6">
        <v>34084</v>
      </c>
      <c r="U344" s="6">
        <v>0</v>
      </c>
      <c r="V344" s="6">
        <v>715350</v>
      </c>
      <c r="W344" s="6">
        <v>33344</v>
      </c>
      <c r="X344" s="6">
        <v>748694</v>
      </c>
      <c r="Y344" s="6">
        <v>27640</v>
      </c>
      <c r="Z344" s="6">
        <v>0</v>
      </c>
      <c r="AA344" s="6">
        <v>776334</v>
      </c>
      <c r="AB344" s="142">
        <f>Table6[[#This Row],[Total Operating Income]]/Table6[[#This Row],[Total Population Served]]</f>
        <v>19.472609611718671</v>
      </c>
    </row>
    <row r="345" spans="1:28" ht="13.5" thickBot="1" x14ac:dyDescent="0.25">
      <c r="A345" s="2" t="s">
        <v>668</v>
      </c>
      <c r="B345" s="1" t="s">
        <v>667</v>
      </c>
      <c r="C345" s="2" t="s">
        <v>45</v>
      </c>
      <c r="D345" s="2" t="s">
        <v>1146</v>
      </c>
      <c r="E345" s="3" t="s">
        <v>27</v>
      </c>
      <c r="F345" s="3" t="s">
        <v>28</v>
      </c>
      <c r="G345" s="4">
        <v>47299</v>
      </c>
      <c r="H345" s="4">
        <v>47299</v>
      </c>
      <c r="I345" s="6">
        <v>40958</v>
      </c>
      <c r="J345" s="6">
        <v>431810</v>
      </c>
      <c r="K345" s="6">
        <v>863620</v>
      </c>
      <c r="L345" s="78">
        <v>0</v>
      </c>
      <c r="M345" s="6">
        <v>1336388</v>
      </c>
      <c r="N345" s="6">
        <v>53250</v>
      </c>
      <c r="O345" s="78">
        <v>0</v>
      </c>
      <c r="P345" s="78">
        <v>0</v>
      </c>
      <c r="Q345" s="78">
        <v>0</v>
      </c>
      <c r="R345" s="78">
        <v>0</v>
      </c>
      <c r="S345" s="78">
        <v>0</v>
      </c>
      <c r="T345" s="78">
        <v>0</v>
      </c>
      <c r="U345" s="78">
        <v>0</v>
      </c>
      <c r="V345" s="6">
        <v>1336388</v>
      </c>
      <c r="W345" s="6">
        <v>53250</v>
      </c>
      <c r="X345" s="6">
        <v>1389638</v>
      </c>
      <c r="Y345" s="6">
        <v>35146</v>
      </c>
      <c r="Z345" s="6">
        <v>1500</v>
      </c>
      <c r="AA345" s="6">
        <v>1426284</v>
      </c>
      <c r="AB345" s="142">
        <f>Table6[[#This Row],[Total Operating Income]]/Table6[[#This Row],[Total Population Served]]</f>
        <v>30.154633290344403</v>
      </c>
    </row>
    <row r="346" spans="1:28" ht="13.5" thickBot="1" x14ac:dyDescent="0.25">
      <c r="A346" s="2" t="s">
        <v>688</v>
      </c>
      <c r="B346" s="1" t="s">
        <v>687</v>
      </c>
      <c r="C346" s="2" t="s">
        <v>45</v>
      </c>
      <c r="D346" s="2" t="s">
        <v>1144</v>
      </c>
      <c r="E346" s="3" t="s">
        <v>52</v>
      </c>
      <c r="F346" s="3" t="s">
        <v>53</v>
      </c>
      <c r="G346" s="4">
        <v>26376</v>
      </c>
      <c r="H346" s="4">
        <v>26376</v>
      </c>
      <c r="I346" s="6">
        <v>39482</v>
      </c>
      <c r="J346" s="6">
        <v>2213880</v>
      </c>
      <c r="K346" s="78">
        <v>0</v>
      </c>
      <c r="L346" s="78">
        <v>0</v>
      </c>
      <c r="M346" s="6">
        <v>2253362</v>
      </c>
      <c r="N346" s="6">
        <v>77802</v>
      </c>
      <c r="O346" s="2">
        <v>0</v>
      </c>
      <c r="P346" s="2">
        <v>0</v>
      </c>
      <c r="Q346" s="78">
        <v>0</v>
      </c>
      <c r="R346" s="2">
        <v>0</v>
      </c>
      <c r="S346" s="2">
        <v>0</v>
      </c>
      <c r="T346" s="78">
        <v>0</v>
      </c>
      <c r="U346" s="78">
        <v>0</v>
      </c>
      <c r="V346" s="6">
        <v>2253362</v>
      </c>
      <c r="W346" s="6">
        <v>77802</v>
      </c>
      <c r="X346" s="6">
        <v>2331164</v>
      </c>
      <c r="Y346" s="6">
        <v>119648</v>
      </c>
      <c r="Z346" s="6">
        <v>0</v>
      </c>
      <c r="AA346" s="6">
        <v>2450812</v>
      </c>
      <c r="AB346" s="142">
        <f>Table6[[#This Row],[Total Operating Income]]/Table6[[#This Row],[Total Population Served]]</f>
        <v>92.918259023354565</v>
      </c>
    </row>
    <row r="347" spans="1:28" ht="13.5" thickBot="1" x14ac:dyDescent="0.25">
      <c r="A347" s="2" t="s">
        <v>712</v>
      </c>
      <c r="B347" s="1" t="s">
        <v>711</v>
      </c>
      <c r="C347" s="2" t="s">
        <v>45</v>
      </c>
      <c r="D347" s="2" t="s">
        <v>1190</v>
      </c>
      <c r="E347" s="3" t="s">
        <v>52</v>
      </c>
      <c r="F347" s="3" t="s">
        <v>53</v>
      </c>
      <c r="G347" s="4">
        <v>27920</v>
      </c>
      <c r="H347" s="4">
        <v>27920</v>
      </c>
      <c r="I347" s="6">
        <v>62526</v>
      </c>
      <c r="J347" s="6">
        <v>725783</v>
      </c>
      <c r="K347" s="6">
        <v>0</v>
      </c>
      <c r="L347" s="6">
        <v>0</v>
      </c>
      <c r="M347" s="6">
        <v>788309</v>
      </c>
      <c r="N347" s="6">
        <v>17569</v>
      </c>
      <c r="O347" s="78">
        <v>0</v>
      </c>
      <c r="P347" s="78">
        <v>0</v>
      </c>
      <c r="Q347" s="78">
        <v>0</v>
      </c>
      <c r="R347" s="78">
        <v>0</v>
      </c>
      <c r="S347" s="78">
        <v>0</v>
      </c>
      <c r="T347" s="78">
        <v>0</v>
      </c>
      <c r="U347" s="2">
        <v>0</v>
      </c>
      <c r="V347" s="6">
        <v>788309</v>
      </c>
      <c r="W347" s="6">
        <v>17569</v>
      </c>
      <c r="X347" s="6">
        <v>805878</v>
      </c>
      <c r="Y347" s="6">
        <v>19712</v>
      </c>
      <c r="Z347" s="6">
        <v>0</v>
      </c>
      <c r="AA347" s="6">
        <v>825590</v>
      </c>
      <c r="AB347" s="142">
        <f>Table6[[#This Row],[Total Operating Income]]/Table6[[#This Row],[Total Population Served]]</f>
        <v>29.569842406876791</v>
      </c>
    </row>
    <row r="348" spans="1:28" ht="13.5" thickBot="1" x14ac:dyDescent="0.25">
      <c r="A348" s="2" t="s">
        <v>722</v>
      </c>
      <c r="B348" s="1" t="s">
        <v>721</v>
      </c>
      <c r="C348" s="2" t="s">
        <v>45</v>
      </c>
      <c r="D348" s="2" t="s">
        <v>1134</v>
      </c>
      <c r="E348" s="3" t="s">
        <v>27</v>
      </c>
      <c r="F348" s="3" t="s">
        <v>28</v>
      </c>
      <c r="G348" s="4">
        <v>30047</v>
      </c>
      <c r="H348" s="4">
        <v>30047</v>
      </c>
      <c r="I348" s="6">
        <v>25808</v>
      </c>
      <c r="J348" s="6">
        <v>558143</v>
      </c>
      <c r="K348" s="6">
        <v>0</v>
      </c>
      <c r="L348" s="6">
        <v>0</v>
      </c>
      <c r="M348" s="6">
        <v>583951</v>
      </c>
      <c r="N348" s="6">
        <v>31291</v>
      </c>
      <c r="O348" s="2">
        <v>0</v>
      </c>
      <c r="P348" s="78">
        <v>0</v>
      </c>
      <c r="Q348" s="78">
        <v>0</v>
      </c>
      <c r="R348" s="78">
        <v>0</v>
      </c>
      <c r="S348" s="78">
        <v>0</v>
      </c>
      <c r="T348" s="78">
        <v>0</v>
      </c>
      <c r="U348" s="78">
        <v>0</v>
      </c>
      <c r="V348" s="6">
        <v>583951</v>
      </c>
      <c r="W348" s="6">
        <v>31291</v>
      </c>
      <c r="X348" s="6">
        <v>615242</v>
      </c>
      <c r="Y348" s="6">
        <v>20831</v>
      </c>
      <c r="Z348" s="6">
        <v>0</v>
      </c>
      <c r="AA348" s="6">
        <v>636073</v>
      </c>
      <c r="AB348" s="142">
        <f>Table6[[#This Row],[Total Operating Income]]/Table6[[#This Row],[Total Population Served]]</f>
        <v>21.169268146570374</v>
      </c>
    </row>
    <row r="349" spans="1:28" ht="13.5" thickBot="1" x14ac:dyDescent="0.25">
      <c r="A349" s="2" t="s">
        <v>740</v>
      </c>
      <c r="B349" s="1" t="s">
        <v>739</v>
      </c>
      <c r="C349" s="2" t="s">
        <v>45</v>
      </c>
      <c r="D349" s="2" t="s">
        <v>1201</v>
      </c>
      <c r="E349" s="3" t="s">
        <v>27</v>
      </c>
      <c r="F349" s="3" t="s">
        <v>28</v>
      </c>
      <c r="G349" s="4">
        <v>40841</v>
      </c>
      <c r="H349" s="4">
        <v>40841</v>
      </c>
      <c r="I349" s="6">
        <v>177721</v>
      </c>
      <c r="J349" s="6">
        <v>617148</v>
      </c>
      <c r="K349" s="6">
        <v>2000</v>
      </c>
      <c r="L349" s="6">
        <v>108834</v>
      </c>
      <c r="M349" s="6">
        <v>905703</v>
      </c>
      <c r="N349" s="6">
        <v>127229</v>
      </c>
      <c r="O349" s="2">
        <v>0</v>
      </c>
      <c r="P349" s="2">
        <v>0</v>
      </c>
      <c r="Q349" s="6">
        <v>0</v>
      </c>
      <c r="R349" s="2">
        <v>0</v>
      </c>
      <c r="S349" s="2">
        <v>0</v>
      </c>
      <c r="T349" s="6">
        <v>0</v>
      </c>
      <c r="U349" s="6">
        <v>0</v>
      </c>
      <c r="V349" s="6">
        <v>905703</v>
      </c>
      <c r="W349" s="6">
        <v>127229</v>
      </c>
      <c r="X349" s="6">
        <v>1032932</v>
      </c>
      <c r="Y349" s="6">
        <v>29730</v>
      </c>
      <c r="Z349" s="6">
        <v>2500</v>
      </c>
      <c r="AA349" s="6">
        <v>1065162</v>
      </c>
      <c r="AB349" s="142">
        <f>Table6[[#This Row],[Total Operating Income]]/Table6[[#This Row],[Total Population Served]]</f>
        <v>26.080703214906588</v>
      </c>
    </row>
    <row r="350" spans="1:28" ht="13.5" thickBot="1" x14ac:dyDescent="0.25">
      <c r="A350" s="2" t="s">
        <v>785</v>
      </c>
      <c r="B350" s="1" t="s">
        <v>784</v>
      </c>
      <c r="C350" s="2" t="s">
        <v>45</v>
      </c>
      <c r="D350" s="2" t="s">
        <v>1229</v>
      </c>
      <c r="E350" s="3" t="s">
        <v>22</v>
      </c>
      <c r="F350" s="3" t="s">
        <v>23</v>
      </c>
      <c r="G350" s="4">
        <v>44265</v>
      </c>
      <c r="H350" s="4">
        <v>40692</v>
      </c>
      <c r="I350" s="6">
        <v>185662</v>
      </c>
      <c r="J350" s="6">
        <v>1759694</v>
      </c>
      <c r="K350" s="6">
        <v>0</v>
      </c>
      <c r="L350" s="6">
        <v>25909</v>
      </c>
      <c r="M350" s="6">
        <v>1971265</v>
      </c>
      <c r="N350" s="6">
        <v>193717</v>
      </c>
      <c r="O350" s="4">
        <v>3573</v>
      </c>
      <c r="P350" s="6">
        <v>17165</v>
      </c>
      <c r="Q350" s="78">
        <v>0</v>
      </c>
      <c r="R350" s="2">
        <v>0</v>
      </c>
      <c r="S350" s="6">
        <v>1000</v>
      </c>
      <c r="T350" s="6">
        <v>18165</v>
      </c>
      <c r="U350" s="78">
        <v>0</v>
      </c>
      <c r="V350" s="6">
        <v>1989430</v>
      </c>
      <c r="W350" s="6">
        <v>193717</v>
      </c>
      <c r="X350" s="6">
        <v>2183147</v>
      </c>
      <c r="Y350" s="6">
        <v>28283</v>
      </c>
      <c r="Z350" s="6">
        <v>0</v>
      </c>
      <c r="AA350" s="6">
        <v>2211430</v>
      </c>
      <c r="AB350" s="142">
        <f>Table6[[#This Row],[Total Operating Income]]/Table6[[#This Row],[Total Population Served]]</f>
        <v>49.958883994126282</v>
      </c>
    </row>
    <row r="351" spans="1:28" ht="13.5" thickBot="1" x14ac:dyDescent="0.25">
      <c r="A351" s="2" t="s">
        <v>827</v>
      </c>
      <c r="B351" s="1" t="s">
        <v>826</v>
      </c>
      <c r="C351" s="2" t="s">
        <v>45</v>
      </c>
      <c r="D351" s="2" t="s">
        <v>1125</v>
      </c>
      <c r="E351" s="3" t="s">
        <v>22</v>
      </c>
      <c r="F351" s="3" t="s">
        <v>23</v>
      </c>
      <c r="G351" s="4">
        <v>30019</v>
      </c>
      <c r="H351" s="4">
        <v>30019</v>
      </c>
      <c r="I351" s="6">
        <v>60793</v>
      </c>
      <c r="J351" s="6">
        <v>1076986</v>
      </c>
      <c r="K351" s="6">
        <v>0</v>
      </c>
      <c r="L351" s="6">
        <v>0</v>
      </c>
      <c r="M351" s="6">
        <v>1137779</v>
      </c>
      <c r="N351" s="6">
        <v>52378</v>
      </c>
      <c r="O351" s="2">
        <v>0</v>
      </c>
      <c r="P351" s="6">
        <v>0</v>
      </c>
      <c r="Q351" s="6">
        <v>0</v>
      </c>
      <c r="R351" s="6">
        <v>0</v>
      </c>
      <c r="S351" s="6">
        <v>0</v>
      </c>
      <c r="T351" s="6">
        <v>0</v>
      </c>
      <c r="U351" s="6">
        <v>0</v>
      </c>
      <c r="V351" s="6">
        <v>1137779</v>
      </c>
      <c r="W351" s="6">
        <v>52378</v>
      </c>
      <c r="X351" s="6">
        <v>1190157</v>
      </c>
      <c r="Y351" s="6">
        <v>19635</v>
      </c>
      <c r="Z351" s="6">
        <v>0</v>
      </c>
      <c r="AA351" s="6">
        <v>1209792</v>
      </c>
      <c r="AB351" s="142">
        <f>Table6[[#This Row],[Total Operating Income]]/Table6[[#This Row],[Total Population Served]]</f>
        <v>40.300876111795866</v>
      </c>
    </row>
    <row r="352" spans="1:28" ht="13.5" thickBot="1" x14ac:dyDescent="0.25">
      <c r="A352" s="2" t="s">
        <v>59</v>
      </c>
      <c r="B352" s="1" t="s">
        <v>58</v>
      </c>
      <c r="C352" s="2" t="s">
        <v>60</v>
      </c>
      <c r="D352" s="2" t="s">
        <v>1144</v>
      </c>
      <c r="E352" s="3" t="s">
        <v>27</v>
      </c>
      <c r="F352" s="3" t="s">
        <v>28</v>
      </c>
      <c r="G352" s="4">
        <v>163590</v>
      </c>
      <c r="H352" s="4">
        <v>163590</v>
      </c>
      <c r="I352" s="6">
        <v>228869</v>
      </c>
      <c r="J352" s="6">
        <v>15613343</v>
      </c>
      <c r="K352" s="6">
        <v>0</v>
      </c>
      <c r="L352" s="6">
        <v>0</v>
      </c>
      <c r="M352" s="6">
        <v>15842212</v>
      </c>
      <c r="N352" s="6">
        <v>465793</v>
      </c>
      <c r="O352" s="78">
        <v>0</v>
      </c>
      <c r="P352" s="6">
        <v>0</v>
      </c>
      <c r="Q352" s="6">
        <v>0</v>
      </c>
      <c r="R352" s="6">
        <v>0</v>
      </c>
      <c r="S352" s="6">
        <v>0</v>
      </c>
      <c r="T352" s="6">
        <v>0</v>
      </c>
      <c r="U352" s="6">
        <v>0</v>
      </c>
      <c r="V352" s="6">
        <v>15842212</v>
      </c>
      <c r="W352" s="6">
        <v>465793</v>
      </c>
      <c r="X352" s="6">
        <v>16308005</v>
      </c>
      <c r="Y352" s="6">
        <v>122546</v>
      </c>
      <c r="Z352" s="6">
        <v>0</v>
      </c>
      <c r="AA352" s="6">
        <v>16430551</v>
      </c>
      <c r="AB352" s="142">
        <f>Table6[[#This Row],[Total Operating Income]]/Table6[[#This Row],[Total Population Served]]</f>
        <v>100.4373800354545</v>
      </c>
    </row>
    <row r="353" spans="1:28" ht="13.5" thickBot="1" x14ac:dyDescent="0.25">
      <c r="A353" s="2" t="s">
        <v>86</v>
      </c>
      <c r="B353" s="1" t="s">
        <v>85</v>
      </c>
      <c r="C353" s="2" t="s">
        <v>60</v>
      </c>
      <c r="D353" s="2" t="s">
        <v>1153</v>
      </c>
      <c r="E353" s="3" t="s">
        <v>22</v>
      </c>
      <c r="F353" s="3" t="s">
        <v>23</v>
      </c>
      <c r="G353" s="4">
        <v>107681</v>
      </c>
      <c r="H353" s="4">
        <v>107681</v>
      </c>
      <c r="I353" s="6">
        <v>312717</v>
      </c>
      <c r="J353" s="6">
        <v>5588638</v>
      </c>
      <c r="K353" s="6">
        <v>0</v>
      </c>
      <c r="L353" s="6">
        <v>373412</v>
      </c>
      <c r="M353" s="6">
        <v>6274767</v>
      </c>
      <c r="N353" s="6">
        <v>179990</v>
      </c>
      <c r="O353" s="2">
        <v>0</v>
      </c>
      <c r="P353" s="6">
        <v>0</v>
      </c>
      <c r="Q353" s="6">
        <v>0</v>
      </c>
      <c r="R353" s="6">
        <v>0</v>
      </c>
      <c r="S353" s="6">
        <v>0</v>
      </c>
      <c r="T353" s="6">
        <v>0</v>
      </c>
      <c r="U353" s="6">
        <v>0</v>
      </c>
      <c r="V353" s="6">
        <v>6274767</v>
      </c>
      <c r="W353" s="6">
        <v>179990</v>
      </c>
      <c r="X353" s="6">
        <v>6454757</v>
      </c>
      <c r="Y353" s="6">
        <v>71285</v>
      </c>
      <c r="Z353" s="6">
        <v>0</v>
      </c>
      <c r="AA353" s="6">
        <v>6526042</v>
      </c>
      <c r="AB353" s="142">
        <f>Table6[[#This Row],[Total Operating Income]]/Table6[[#This Row],[Total Population Served]]</f>
        <v>60.605324987695134</v>
      </c>
    </row>
    <row r="354" spans="1:28" ht="13.5" thickBot="1" x14ac:dyDescent="0.25">
      <c r="A354" s="2" t="s">
        <v>148</v>
      </c>
      <c r="B354" s="1" t="s">
        <v>147</v>
      </c>
      <c r="C354" s="2" t="s">
        <v>60</v>
      </c>
      <c r="D354" s="2" t="s">
        <v>1134</v>
      </c>
      <c r="E354" s="3" t="s">
        <v>22</v>
      </c>
      <c r="F354" s="3" t="s">
        <v>23</v>
      </c>
      <c r="G354" s="4">
        <v>90173</v>
      </c>
      <c r="H354" s="4">
        <v>90173</v>
      </c>
      <c r="I354" s="6">
        <v>77452</v>
      </c>
      <c r="J354" s="6">
        <v>5373695</v>
      </c>
      <c r="K354" s="6">
        <v>0</v>
      </c>
      <c r="L354" s="6">
        <v>0</v>
      </c>
      <c r="M354" s="6">
        <v>5451147</v>
      </c>
      <c r="N354" s="6">
        <v>207217</v>
      </c>
      <c r="O354" s="78">
        <v>0</v>
      </c>
      <c r="P354" s="78">
        <v>0</v>
      </c>
      <c r="Q354" s="78">
        <v>0</v>
      </c>
      <c r="R354" s="78">
        <v>0</v>
      </c>
      <c r="S354" s="78">
        <v>0</v>
      </c>
      <c r="T354" s="78">
        <v>0</v>
      </c>
      <c r="U354" s="78">
        <v>0</v>
      </c>
      <c r="V354" s="6">
        <v>5451147</v>
      </c>
      <c r="W354" s="6">
        <v>207217</v>
      </c>
      <c r="X354" s="6">
        <v>5658364</v>
      </c>
      <c r="Y354" s="6">
        <v>58982</v>
      </c>
      <c r="Z354" s="6">
        <v>0</v>
      </c>
      <c r="AA354" s="6">
        <v>5717346</v>
      </c>
      <c r="AB354" s="142">
        <f>Table6[[#This Row],[Total Operating Income]]/Table6[[#This Row],[Total Population Served]]</f>
        <v>63.404189724196819</v>
      </c>
    </row>
    <row r="355" spans="1:28" ht="13.5" thickBot="1" x14ac:dyDescent="0.25">
      <c r="A355" s="2" t="s">
        <v>150</v>
      </c>
      <c r="B355" s="1" t="s">
        <v>149</v>
      </c>
      <c r="C355" s="2" t="s">
        <v>60</v>
      </c>
      <c r="D355" s="2" t="s">
        <v>1176</v>
      </c>
      <c r="E355" s="3" t="s">
        <v>22</v>
      </c>
      <c r="F355" s="3" t="s">
        <v>23</v>
      </c>
      <c r="G355" s="4">
        <v>238859</v>
      </c>
      <c r="H355" s="4">
        <v>238859</v>
      </c>
      <c r="I355" s="6">
        <v>558316</v>
      </c>
      <c r="J355" s="6">
        <v>9934673</v>
      </c>
      <c r="K355" s="6">
        <v>0</v>
      </c>
      <c r="L355" s="6">
        <v>0</v>
      </c>
      <c r="M355" s="6">
        <v>10492989</v>
      </c>
      <c r="N355" s="6">
        <v>626572</v>
      </c>
      <c r="O355" s="78">
        <v>0</v>
      </c>
      <c r="P355" s="78">
        <v>0</v>
      </c>
      <c r="Q355" s="78">
        <v>0</v>
      </c>
      <c r="R355" s="78">
        <v>0</v>
      </c>
      <c r="S355" s="78">
        <v>0</v>
      </c>
      <c r="T355" s="78">
        <v>0</v>
      </c>
      <c r="U355" s="78">
        <v>0</v>
      </c>
      <c r="V355" s="6">
        <v>10492989</v>
      </c>
      <c r="W355" s="6">
        <v>626572</v>
      </c>
      <c r="X355" s="6">
        <v>11119561</v>
      </c>
      <c r="Y355" s="6">
        <v>267948</v>
      </c>
      <c r="Z355" s="6">
        <v>0</v>
      </c>
      <c r="AA355" s="6">
        <v>11387509</v>
      </c>
      <c r="AB355" s="142">
        <f>Table6[[#This Row],[Total Operating Income]]/Table6[[#This Row],[Total Population Served]]</f>
        <v>47.674607195039755</v>
      </c>
    </row>
    <row r="356" spans="1:28" ht="13.5" thickBot="1" x14ac:dyDescent="0.25">
      <c r="A356" s="2" t="s">
        <v>180</v>
      </c>
      <c r="B356" s="1" t="s">
        <v>179</v>
      </c>
      <c r="C356" s="2" t="s">
        <v>60</v>
      </c>
      <c r="D356" s="2" t="s">
        <v>1186</v>
      </c>
      <c r="E356" s="3" t="s">
        <v>22</v>
      </c>
      <c r="F356" s="3" t="s">
        <v>23</v>
      </c>
      <c r="G356" s="4">
        <v>51640</v>
      </c>
      <c r="H356" s="4">
        <v>51640</v>
      </c>
      <c r="I356" s="6">
        <v>221359</v>
      </c>
      <c r="J356" s="6">
        <v>1928724</v>
      </c>
      <c r="K356" s="6">
        <v>0</v>
      </c>
      <c r="L356" s="78">
        <v>0</v>
      </c>
      <c r="M356" s="6">
        <v>2150083</v>
      </c>
      <c r="N356" s="6">
        <v>129504</v>
      </c>
      <c r="O356" s="2">
        <v>0</v>
      </c>
      <c r="P356" s="2">
        <v>0</v>
      </c>
      <c r="Q356" s="2">
        <v>0</v>
      </c>
      <c r="R356" s="2">
        <v>0</v>
      </c>
      <c r="S356" s="2">
        <v>0</v>
      </c>
      <c r="T356" s="2">
        <v>0</v>
      </c>
      <c r="U356" s="2">
        <v>0</v>
      </c>
      <c r="V356" s="6">
        <v>2150083</v>
      </c>
      <c r="W356" s="6">
        <v>129504</v>
      </c>
      <c r="X356" s="6">
        <v>2279587</v>
      </c>
      <c r="Y356" s="6">
        <v>33778</v>
      </c>
      <c r="Z356" s="6">
        <v>0</v>
      </c>
      <c r="AA356" s="6">
        <v>2313365</v>
      </c>
      <c r="AB356" s="142">
        <f>Table6[[#This Row],[Total Operating Income]]/Table6[[#This Row],[Total Population Served]]</f>
        <v>44.797927962819521</v>
      </c>
    </row>
    <row r="357" spans="1:28" ht="13.5" thickBot="1" x14ac:dyDescent="0.25">
      <c r="A357" s="2" t="s">
        <v>186</v>
      </c>
      <c r="B357" s="1" t="s">
        <v>185</v>
      </c>
      <c r="C357" s="2" t="s">
        <v>60</v>
      </c>
      <c r="D357" s="2" t="s">
        <v>1146</v>
      </c>
      <c r="E357" s="3" t="s">
        <v>52</v>
      </c>
      <c r="F357" s="3" t="s">
        <v>53</v>
      </c>
      <c r="G357" s="4">
        <v>169833</v>
      </c>
      <c r="H357" s="4">
        <v>169833</v>
      </c>
      <c r="I357" s="6">
        <v>136485</v>
      </c>
      <c r="J357" s="6">
        <v>7296927</v>
      </c>
      <c r="K357" s="6">
        <v>0</v>
      </c>
      <c r="L357" s="6">
        <v>154241</v>
      </c>
      <c r="M357" s="6">
        <v>7587653</v>
      </c>
      <c r="N357" s="6">
        <v>89024</v>
      </c>
      <c r="O357" s="2">
        <v>0</v>
      </c>
      <c r="P357" s="2">
        <v>0</v>
      </c>
      <c r="Q357" s="2">
        <v>0</v>
      </c>
      <c r="R357" s="2">
        <v>0</v>
      </c>
      <c r="S357" s="2">
        <v>0</v>
      </c>
      <c r="T357" s="2">
        <v>0</v>
      </c>
      <c r="U357" s="2">
        <v>0</v>
      </c>
      <c r="V357" s="6">
        <v>7587653</v>
      </c>
      <c r="W357" s="6">
        <v>89024</v>
      </c>
      <c r="X357" s="6">
        <v>7676677</v>
      </c>
      <c r="Y357" s="6">
        <v>111087</v>
      </c>
      <c r="Z357" s="6">
        <v>0</v>
      </c>
      <c r="AA357" s="6">
        <v>7787764</v>
      </c>
      <c r="AB357" s="142">
        <f>Table6[[#This Row],[Total Operating Income]]/Table6[[#This Row],[Total Population Served]]</f>
        <v>45.855422679926754</v>
      </c>
    </row>
    <row r="358" spans="1:28" ht="13.5" thickBot="1" x14ac:dyDescent="0.25">
      <c r="A358" s="2" t="s">
        <v>221</v>
      </c>
      <c r="B358" s="1" t="s">
        <v>220</v>
      </c>
      <c r="C358" s="2" t="s">
        <v>60</v>
      </c>
      <c r="D358" s="2" t="s">
        <v>1134</v>
      </c>
      <c r="E358" s="3" t="s">
        <v>27</v>
      </c>
      <c r="F358" s="3" t="s">
        <v>28</v>
      </c>
      <c r="G358" s="4">
        <v>57774</v>
      </c>
      <c r="H358" s="4">
        <v>57774</v>
      </c>
      <c r="I358" s="6">
        <v>68649</v>
      </c>
      <c r="J358" s="6">
        <v>2093025</v>
      </c>
      <c r="K358" s="6">
        <v>0</v>
      </c>
      <c r="L358" s="6">
        <v>229763</v>
      </c>
      <c r="M358" s="6">
        <v>2391437</v>
      </c>
      <c r="N358" s="6">
        <v>55889</v>
      </c>
      <c r="O358" s="78">
        <v>0</v>
      </c>
      <c r="P358" s="78">
        <v>0</v>
      </c>
      <c r="Q358" s="78">
        <v>0</v>
      </c>
      <c r="R358" s="2">
        <v>0</v>
      </c>
      <c r="S358" s="2">
        <v>0</v>
      </c>
      <c r="T358" s="78">
        <v>0</v>
      </c>
      <c r="U358" s="2">
        <v>0</v>
      </c>
      <c r="V358" s="6">
        <v>2391437</v>
      </c>
      <c r="W358" s="6">
        <v>55889</v>
      </c>
      <c r="X358" s="6">
        <v>2447326</v>
      </c>
      <c r="Y358" s="6">
        <v>21028</v>
      </c>
      <c r="Z358" s="6">
        <v>0</v>
      </c>
      <c r="AA358" s="6">
        <v>2468354</v>
      </c>
      <c r="AB358" s="142">
        <f>Table6[[#This Row],[Total Operating Income]]/Table6[[#This Row],[Total Population Served]]</f>
        <v>42.724305050714854</v>
      </c>
    </row>
    <row r="359" spans="1:28" ht="13.5" thickBot="1" x14ac:dyDescent="0.25">
      <c r="A359" s="2" t="s">
        <v>223</v>
      </c>
      <c r="B359" s="1" t="s">
        <v>222</v>
      </c>
      <c r="C359" s="2" t="s">
        <v>60</v>
      </c>
      <c r="D359" s="2" t="s">
        <v>1134</v>
      </c>
      <c r="E359" s="3" t="s">
        <v>27</v>
      </c>
      <c r="F359" s="3" t="s">
        <v>28</v>
      </c>
      <c r="G359" s="4">
        <v>98153</v>
      </c>
      <c r="H359" s="4">
        <v>98153</v>
      </c>
      <c r="I359" s="6">
        <v>84906</v>
      </c>
      <c r="J359" s="6">
        <v>5560755</v>
      </c>
      <c r="K359" s="6">
        <v>0</v>
      </c>
      <c r="L359" s="6">
        <v>41887</v>
      </c>
      <c r="M359" s="6">
        <v>5687548</v>
      </c>
      <c r="N359" s="6">
        <v>152968</v>
      </c>
      <c r="O359" s="78">
        <v>0</v>
      </c>
      <c r="P359" s="6">
        <v>0</v>
      </c>
      <c r="Q359" s="6">
        <v>0</v>
      </c>
      <c r="R359" s="6">
        <v>0</v>
      </c>
      <c r="S359" s="6">
        <v>0</v>
      </c>
      <c r="T359" s="6">
        <v>0</v>
      </c>
      <c r="U359" s="6">
        <v>0</v>
      </c>
      <c r="V359" s="6">
        <v>5687548</v>
      </c>
      <c r="W359" s="6">
        <v>152968</v>
      </c>
      <c r="X359" s="6">
        <v>5840516</v>
      </c>
      <c r="Y359" s="6">
        <v>1076177</v>
      </c>
      <c r="Z359" s="6">
        <v>0</v>
      </c>
      <c r="AA359" s="6">
        <v>6916693</v>
      </c>
      <c r="AB359" s="142">
        <f>Table6[[#This Row],[Total Operating Income]]/Table6[[#This Row],[Total Population Served]]</f>
        <v>70.468482878770899</v>
      </c>
    </row>
    <row r="360" spans="1:28" ht="13.5" thickBot="1" x14ac:dyDescent="0.25">
      <c r="A360" s="2" t="s">
        <v>233</v>
      </c>
      <c r="B360" s="1" t="s">
        <v>232</v>
      </c>
      <c r="C360" s="2" t="s">
        <v>60</v>
      </c>
      <c r="D360" s="2" t="s">
        <v>1134</v>
      </c>
      <c r="E360" s="3" t="s">
        <v>27</v>
      </c>
      <c r="F360" s="3" t="s">
        <v>28</v>
      </c>
      <c r="G360" s="4">
        <v>713777</v>
      </c>
      <c r="H360" s="4">
        <v>713777</v>
      </c>
      <c r="I360" s="6">
        <v>406596</v>
      </c>
      <c r="J360" s="6">
        <v>27182711</v>
      </c>
      <c r="K360" s="6">
        <v>0</v>
      </c>
      <c r="L360" s="6">
        <v>0</v>
      </c>
      <c r="M360" s="6">
        <v>27589307</v>
      </c>
      <c r="N360" s="6">
        <v>1471563</v>
      </c>
      <c r="O360" s="78">
        <v>0</v>
      </c>
      <c r="P360" s="78">
        <v>0</v>
      </c>
      <c r="Q360" s="78">
        <v>0</v>
      </c>
      <c r="R360" s="78">
        <v>0</v>
      </c>
      <c r="S360" s="78">
        <v>0</v>
      </c>
      <c r="T360" s="78">
        <v>0</v>
      </c>
      <c r="U360" s="78">
        <v>0</v>
      </c>
      <c r="V360" s="6">
        <v>27589307</v>
      </c>
      <c r="W360" s="6">
        <v>1471563</v>
      </c>
      <c r="X360" s="6">
        <v>29060870</v>
      </c>
      <c r="Y360" s="6">
        <v>2780879</v>
      </c>
      <c r="Z360" s="6">
        <v>35010</v>
      </c>
      <c r="AA360" s="6">
        <v>31876759</v>
      </c>
      <c r="AB360" s="142">
        <f>Table6[[#This Row],[Total Operating Income]]/Table6[[#This Row],[Total Population Served]]</f>
        <v>44.659268931332896</v>
      </c>
    </row>
    <row r="361" spans="1:28" ht="13.5" thickBot="1" x14ac:dyDescent="0.25">
      <c r="A361" s="2" t="s">
        <v>277</v>
      </c>
      <c r="B361" s="1" t="s">
        <v>276</v>
      </c>
      <c r="C361" s="2" t="s">
        <v>60</v>
      </c>
      <c r="D361" s="2" t="s">
        <v>1125</v>
      </c>
      <c r="E361" s="3" t="s">
        <v>27</v>
      </c>
      <c r="F361" s="3" t="s">
        <v>28</v>
      </c>
      <c r="G361" s="4">
        <v>90112</v>
      </c>
      <c r="H361" s="4">
        <v>90112</v>
      </c>
      <c r="I361" s="6">
        <v>182492</v>
      </c>
      <c r="J361" s="6">
        <v>5485015</v>
      </c>
      <c r="K361" s="6">
        <v>0</v>
      </c>
      <c r="L361" s="6">
        <v>379140</v>
      </c>
      <c r="M361" s="6">
        <v>6046647</v>
      </c>
      <c r="N361" s="6">
        <v>261758</v>
      </c>
      <c r="O361" s="78">
        <v>0</v>
      </c>
      <c r="P361" s="78">
        <v>0</v>
      </c>
      <c r="Q361" s="2">
        <v>0</v>
      </c>
      <c r="R361" s="2">
        <v>0</v>
      </c>
      <c r="S361" s="78">
        <v>0</v>
      </c>
      <c r="T361" s="78">
        <v>0</v>
      </c>
      <c r="U361" s="2">
        <v>0</v>
      </c>
      <c r="V361" s="6">
        <v>6046647</v>
      </c>
      <c r="W361" s="6">
        <v>261758</v>
      </c>
      <c r="X361" s="6">
        <v>6308405</v>
      </c>
      <c r="Y361" s="6">
        <v>62474</v>
      </c>
      <c r="Z361" s="6">
        <v>0</v>
      </c>
      <c r="AA361" s="6">
        <v>6370879</v>
      </c>
      <c r="AB361" s="142">
        <f>Table6[[#This Row],[Total Operating Income]]/Table6[[#This Row],[Total Population Served]]</f>
        <v>70.699562766335234</v>
      </c>
    </row>
    <row r="362" spans="1:28" ht="13.5" thickBot="1" x14ac:dyDescent="0.25">
      <c r="A362" s="2" t="s">
        <v>291</v>
      </c>
      <c r="B362" s="1" t="s">
        <v>290</v>
      </c>
      <c r="C362" s="2" t="s">
        <v>60</v>
      </c>
      <c r="D362" s="2" t="s">
        <v>1212</v>
      </c>
      <c r="E362" s="3" t="s">
        <v>27</v>
      </c>
      <c r="F362" s="3" t="s">
        <v>28</v>
      </c>
      <c r="G362" s="4">
        <v>102434</v>
      </c>
      <c r="H362" s="4">
        <v>102434</v>
      </c>
      <c r="I362" s="6">
        <v>175562</v>
      </c>
      <c r="J362" s="6">
        <v>2846539</v>
      </c>
      <c r="K362" s="6">
        <v>0</v>
      </c>
      <c r="L362" s="6">
        <v>0</v>
      </c>
      <c r="M362" s="6">
        <v>3022101</v>
      </c>
      <c r="N362" s="6">
        <v>688333</v>
      </c>
      <c r="O362" s="78">
        <v>0</v>
      </c>
      <c r="P362" s="6">
        <v>0</v>
      </c>
      <c r="Q362" s="6">
        <v>0</v>
      </c>
      <c r="R362" s="6">
        <v>0</v>
      </c>
      <c r="S362" s="6">
        <v>0</v>
      </c>
      <c r="T362" s="6">
        <v>0</v>
      </c>
      <c r="U362" s="6">
        <v>0</v>
      </c>
      <c r="V362" s="6">
        <v>3022101</v>
      </c>
      <c r="W362" s="6">
        <v>688333</v>
      </c>
      <c r="X362" s="6">
        <v>3710434</v>
      </c>
      <c r="Y362" s="6">
        <v>561573</v>
      </c>
      <c r="Z362" s="6">
        <v>0</v>
      </c>
      <c r="AA362" s="6">
        <v>4272007</v>
      </c>
      <c r="AB362" s="142">
        <f>Table6[[#This Row],[Total Operating Income]]/Table6[[#This Row],[Total Population Served]]</f>
        <v>41.704971005720758</v>
      </c>
    </row>
    <row r="363" spans="1:28" ht="13.5" thickBot="1" x14ac:dyDescent="0.25">
      <c r="A363" s="2" t="s">
        <v>317</v>
      </c>
      <c r="B363" s="1" t="s">
        <v>316</v>
      </c>
      <c r="C363" s="2" t="s">
        <v>60</v>
      </c>
      <c r="D363" s="2" t="s">
        <v>1212</v>
      </c>
      <c r="E363" s="3" t="s">
        <v>22</v>
      </c>
      <c r="F363" s="3" t="s">
        <v>23</v>
      </c>
      <c r="G363" s="4">
        <v>332567</v>
      </c>
      <c r="H363" s="4">
        <v>323366</v>
      </c>
      <c r="I363" s="6">
        <v>279293</v>
      </c>
      <c r="J363" s="6">
        <v>7980655</v>
      </c>
      <c r="K363" s="6">
        <v>0</v>
      </c>
      <c r="L363" s="6">
        <v>0</v>
      </c>
      <c r="M363" s="6">
        <v>8259948</v>
      </c>
      <c r="N363" s="6">
        <v>489161</v>
      </c>
      <c r="O363" s="4">
        <v>9201</v>
      </c>
      <c r="P363" s="6">
        <v>26447</v>
      </c>
      <c r="Q363" s="6">
        <v>0</v>
      </c>
      <c r="R363" s="6">
        <v>0</v>
      </c>
      <c r="S363" s="6">
        <v>0</v>
      </c>
      <c r="T363" s="6">
        <v>26447</v>
      </c>
      <c r="U363" s="6">
        <v>0</v>
      </c>
      <c r="V363" s="6">
        <v>8286395</v>
      </c>
      <c r="W363" s="6">
        <v>489161</v>
      </c>
      <c r="X363" s="6">
        <v>8775556</v>
      </c>
      <c r="Y363" s="6">
        <v>258603</v>
      </c>
      <c r="Z363" s="6">
        <v>0</v>
      </c>
      <c r="AA363" s="6">
        <v>9034159</v>
      </c>
      <c r="AB363" s="142">
        <f>Table6[[#This Row],[Total Operating Income]]/Table6[[#This Row],[Total Population Served]]</f>
        <v>27.164929172166811</v>
      </c>
    </row>
    <row r="364" spans="1:28" ht="13.5" thickBot="1" x14ac:dyDescent="0.25">
      <c r="A364" s="2" t="s">
        <v>331</v>
      </c>
      <c r="B364" s="1" t="s">
        <v>330</v>
      </c>
      <c r="C364" s="2" t="s">
        <v>60</v>
      </c>
      <c r="D364" s="2" t="s">
        <v>1187</v>
      </c>
      <c r="E364" s="3" t="s">
        <v>27</v>
      </c>
      <c r="F364" s="3" t="s">
        <v>28</v>
      </c>
      <c r="G364" s="4">
        <v>76707</v>
      </c>
      <c r="H364" s="4">
        <v>41863</v>
      </c>
      <c r="I364" s="6">
        <v>83883</v>
      </c>
      <c r="J364" s="6">
        <v>0</v>
      </c>
      <c r="K364" s="6">
        <v>2079544</v>
      </c>
      <c r="L364" s="6">
        <v>1388179</v>
      </c>
      <c r="M364" s="6">
        <v>3551606</v>
      </c>
      <c r="N364" s="6">
        <v>227610</v>
      </c>
      <c r="O364" s="4">
        <v>34844</v>
      </c>
      <c r="P364" s="6">
        <v>69360</v>
      </c>
      <c r="Q364" s="6">
        <v>0</v>
      </c>
      <c r="R364" s="6">
        <v>0</v>
      </c>
      <c r="S364" s="6">
        <v>230810</v>
      </c>
      <c r="T364" s="6">
        <v>300170</v>
      </c>
      <c r="U364" s="6">
        <v>0</v>
      </c>
      <c r="V364" s="6">
        <v>3851776</v>
      </c>
      <c r="W364" s="6">
        <v>227610</v>
      </c>
      <c r="X364" s="6">
        <v>4079386</v>
      </c>
      <c r="Y364" s="6">
        <v>53180</v>
      </c>
      <c r="Z364" s="6">
        <v>0</v>
      </c>
      <c r="AA364" s="6">
        <v>4132566</v>
      </c>
      <c r="AB364" s="142">
        <f>Table6[[#This Row],[Total Operating Income]]/Table6[[#This Row],[Total Population Served]]</f>
        <v>53.874692009855686</v>
      </c>
    </row>
    <row r="365" spans="1:28" ht="13.5" thickBot="1" x14ac:dyDescent="0.25">
      <c r="A365" s="2" t="s">
        <v>335</v>
      </c>
      <c r="B365" s="1" t="s">
        <v>334</v>
      </c>
      <c r="C365" s="2" t="s">
        <v>60</v>
      </c>
      <c r="D365" s="2" t="s">
        <v>1180</v>
      </c>
      <c r="E365" s="3" t="s">
        <v>27</v>
      </c>
      <c r="F365" s="3" t="s">
        <v>28</v>
      </c>
      <c r="G365" s="4">
        <v>188040</v>
      </c>
      <c r="H365" s="4">
        <v>188040</v>
      </c>
      <c r="I365" s="6">
        <v>375342</v>
      </c>
      <c r="J365" s="6">
        <v>8722418</v>
      </c>
      <c r="K365" s="78">
        <v>0</v>
      </c>
      <c r="L365" s="6">
        <v>0</v>
      </c>
      <c r="M365" s="6">
        <v>9097760</v>
      </c>
      <c r="N365" s="6">
        <v>376537</v>
      </c>
      <c r="O365" s="78">
        <v>0</v>
      </c>
      <c r="P365" s="6">
        <v>0</v>
      </c>
      <c r="Q365" s="78">
        <v>0</v>
      </c>
      <c r="R365" s="78">
        <v>0</v>
      </c>
      <c r="S365" s="78">
        <v>0</v>
      </c>
      <c r="T365" s="6">
        <v>0</v>
      </c>
      <c r="U365" s="2">
        <v>0</v>
      </c>
      <c r="V365" s="6">
        <v>9097760</v>
      </c>
      <c r="W365" s="6">
        <v>376537</v>
      </c>
      <c r="X365" s="6">
        <v>9474297</v>
      </c>
      <c r="Y365" s="6">
        <v>137894</v>
      </c>
      <c r="Z365" s="6">
        <v>0</v>
      </c>
      <c r="AA365" s="6">
        <v>9612191</v>
      </c>
      <c r="AB365" s="142">
        <f>Table6[[#This Row],[Total Operating Income]]/Table6[[#This Row],[Total Population Served]]</f>
        <v>51.117799404382048</v>
      </c>
    </row>
    <row r="366" spans="1:28" ht="13.5" thickBot="1" x14ac:dyDescent="0.25">
      <c r="A366" s="2" t="s">
        <v>339</v>
      </c>
      <c r="B366" s="1" t="s">
        <v>338</v>
      </c>
      <c r="C366" s="2" t="s">
        <v>60</v>
      </c>
      <c r="D366" s="2" t="s">
        <v>1134</v>
      </c>
      <c r="E366" s="3" t="s">
        <v>27</v>
      </c>
      <c r="F366" s="3" t="s">
        <v>28</v>
      </c>
      <c r="G366" s="4">
        <v>51133</v>
      </c>
      <c r="H366" s="4">
        <v>51133</v>
      </c>
      <c r="I366" s="6">
        <v>29441</v>
      </c>
      <c r="J366" s="6">
        <v>5941172</v>
      </c>
      <c r="K366" s="6">
        <v>0</v>
      </c>
      <c r="L366" s="6">
        <v>0</v>
      </c>
      <c r="M366" s="6">
        <v>5970613</v>
      </c>
      <c r="N366" s="6">
        <v>303402</v>
      </c>
      <c r="O366" s="2">
        <v>0</v>
      </c>
      <c r="P366" s="6">
        <v>0</v>
      </c>
      <c r="Q366" s="6">
        <v>0</v>
      </c>
      <c r="R366" s="6">
        <v>0</v>
      </c>
      <c r="S366" s="6">
        <v>0</v>
      </c>
      <c r="T366" s="6">
        <v>0</v>
      </c>
      <c r="U366" s="6">
        <v>0</v>
      </c>
      <c r="V366" s="6">
        <v>5970613</v>
      </c>
      <c r="W366" s="6">
        <v>303402</v>
      </c>
      <c r="X366" s="6">
        <v>6274015</v>
      </c>
      <c r="Y366" s="6">
        <v>32080</v>
      </c>
      <c r="Z366" s="6">
        <v>0</v>
      </c>
      <c r="AA366" s="6">
        <v>6306095</v>
      </c>
      <c r="AB366" s="142">
        <f>Table6[[#This Row],[Total Operating Income]]/Table6[[#This Row],[Total Population Served]]</f>
        <v>123.32730330706198</v>
      </c>
    </row>
    <row r="367" spans="1:28" ht="13.5" thickBot="1" x14ac:dyDescent="0.25">
      <c r="A367" s="2" t="s">
        <v>367</v>
      </c>
      <c r="B367" s="1" t="s">
        <v>366</v>
      </c>
      <c r="C367" s="2" t="s">
        <v>60</v>
      </c>
      <c r="D367" s="2" t="s">
        <v>1136</v>
      </c>
      <c r="E367" s="3" t="s">
        <v>27</v>
      </c>
      <c r="F367" s="3" t="s">
        <v>28</v>
      </c>
      <c r="G367" s="4">
        <v>102423</v>
      </c>
      <c r="H367" s="4">
        <v>91994</v>
      </c>
      <c r="I367" s="6">
        <v>290666</v>
      </c>
      <c r="J367" s="6">
        <v>5362503</v>
      </c>
      <c r="K367" s="78">
        <v>0</v>
      </c>
      <c r="L367" s="78">
        <v>0</v>
      </c>
      <c r="M367" s="6">
        <v>5653169</v>
      </c>
      <c r="N367" s="6">
        <v>208332</v>
      </c>
      <c r="O367" s="77">
        <v>10429</v>
      </c>
      <c r="P367" s="6">
        <v>57337</v>
      </c>
      <c r="Q367" s="78">
        <v>0</v>
      </c>
      <c r="R367" s="78">
        <v>0</v>
      </c>
      <c r="S367" s="6">
        <v>89617</v>
      </c>
      <c r="T367" s="6">
        <v>146954</v>
      </c>
      <c r="U367" s="78">
        <v>0</v>
      </c>
      <c r="V367" s="6">
        <v>5800123</v>
      </c>
      <c r="W367" s="6">
        <v>208332</v>
      </c>
      <c r="X367" s="6">
        <v>6008455</v>
      </c>
      <c r="Y367" s="6">
        <v>520913</v>
      </c>
      <c r="Z367" s="6">
        <v>38268</v>
      </c>
      <c r="AA367" s="6">
        <v>6567636</v>
      </c>
      <c r="AB367" s="142">
        <f>Table6[[#This Row],[Total Operating Income]]/Table6[[#This Row],[Total Population Served]]</f>
        <v>64.122667760171055</v>
      </c>
    </row>
    <row r="368" spans="1:28" ht="13.5" thickBot="1" x14ac:dyDescent="0.25">
      <c r="A368" s="2" t="s">
        <v>389</v>
      </c>
      <c r="B368" s="1" t="s">
        <v>388</v>
      </c>
      <c r="C368" s="2" t="s">
        <v>60</v>
      </c>
      <c r="D368" s="2" t="s">
        <v>1165</v>
      </c>
      <c r="E368" s="3" t="s">
        <v>27</v>
      </c>
      <c r="F368" s="3" t="s">
        <v>28</v>
      </c>
      <c r="G368" s="4">
        <v>52529</v>
      </c>
      <c r="H368" s="4">
        <v>52529</v>
      </c>
      <c r="I368" s="6">
        <v>146066</v>
      </c>
      <c r="J368" s="6">
        <v>2581595</v>
      </c>
      <c r="K368" s="6">
        <v>0</v>
      </c>
      <c r="L368" s="6">
        <v>0</v>
      </c>
      <c r="M368" s="6">
        <v>2727661</v>
      </c>
      <c r="N368" s="6">
        <v>99035</v>
      </c>
      <c r="O368" s="78">
        <v>0</v>
      </c>
      <c r="P368" s="78">
        <v>0</v>
      </c>
      <c r="Q368" s="2">
        <v>0</v>
      </c>
      <c r="R368" s="2">
        <v>0</v>
      </c>
      <c r="S368" s="78">
        <v>0</v>
      </c>
      <c r="T368" s="78">
        <v>0</v>
      </c>
      <c r="U368" s="2">
        <v>0</v>
      </c>
      <c r="V368" s="6">
        <v>2727661</v>
      </c>
      <c r="W368" s="6">
        <v>99035</v>
      </c>
      <c r="X368" s="6">
        <v>2826696</v>
      </c>
      <c r="Y368" s="6">
        <v>38521</v>
      </c>
      <c r="Z368" s="6">
        <v>0</v>
      </c>
      <c r="AA368" s="6">
        <v>2865217</v>
      </c>
      <c r="AB368" s="142">
        <f>Table6[[#This Row],[Total Operating Income]]/Table6[[#This Row],[Total Population Served]]</f>
        <v>54.54543204705972</v>
      </c>
    </row>
    <row r="369" spans="1:28" ht="13.5" thickBot="1" x14ac:dyDescent="0.25">
      <c r="A369" s="2" t="s">
        <v>409</v>
      </c>
      <c r="B369" s="1" t="s">
        <v>408</v>
      </c>
      <c r="C369" s="2" t="s">
        <v>60</v>
      </c>
      <c r="D369" s="2" t="s">
        <v>1239</v>
      </c>
      <c r="E369" s="3" t="s">
        <v>22</v>
      </c>
      <c r="F369" s="3" t="s">
        <v>23</v>
      </c>
      <c r="G369" s="4">
        <v>160248</v>
      </c>
      <c r="H369" s="4">
        <v>160248</v>
      </c>
      <c r="I369" s="6">
        <v>701201</v>
      </c>
      <c r="J369" s="6">
        <v>5656418</v>
      </c>
      <c r="K369" s="6">
        <v>0</v>
      </c>
      <c r="L369" s="6">
        <v>0</v>
      </c>
      <c r="M369" s="6">
        <v>6357619</v>
      </c>
      <c r="N369" s="6">
        <v>500648</v>
      </c>
      <c r="O369" s="78">
        <v>0</v>
      </c>
      <c r="P369" s="78">
        <v>0</v>
      </c>
      <c r="Q369" s="2">
        <v>0</v>
      </c>
      <c r="R369" s="2">
        <v>0</v>
      </c>
      <c r="S369" s="78">
        <v>0</v>
      </c>
      <c r="T369" s="78">
        <v>0</v>
      </c>
      <c r="U369" s="2">
        <v>0</v>
      </c>
      <c r="V369" s="6">
        <v>6357619</v>
      </c>
      <c r="W369" s="6">
        <v>500648</v>
      </c>
      <c r="X369" s="6">
        <v>6858267</v>
      </c>
      <c r="Y369" s="6">
        <v>137572</v>
      </c>
      <c r="Z369" s="6">
        <v>0</v>
      </c>
      <c r="AA369" s="6">
        <v>6995839</v>
      </c>
      <c r="AB369" s="142">
        <f>Table6[[#This Row],[Total Operating Income]]/Table6[[#This Row],[Total Population Served]]</f>
        <v>43.656326444011782</v>
      </c>
    </row>
    <row r="370" spans="1:28" ht="13.5" thickBot="1" x14ac:dyDescent="0.25">
      <c r="A370" s="2" t="s">
        <v>417</v>
      </c>
      <c r="B370" s="1" t="s">
        <v>416</v>
      </c>
      <c r="C370" s="2" t="s">
        <v>60</v>
      </c>
      <c r="D370" s="2" t="s">
        <v>1149</v>
      </c>
      <c r="E370" s="3" t="s">
        <v>27</v>
      </c>
      <c r="F370" s="3" t="s">
        <v>28</v>
      </c>
      <c r="G370" s="4">
        <v>116445</v>
      </c>
      <c r="H370" s="4">
        <v>116445</v>
      </c>
      <c r="I370" s="6">
        <v>139847</v>
      </c>
      <c r="J370" s="6">
        <v>10855903</v>
      </c>
      <c r="K370" s="6">
        <v>0</v>
      </c>
      <c r="L370" s="6">
        <v>0</v>
      </c>
      <c r="M370" s="6">
        <v>10995750</v>
      </c>
      <c r="N370" s="6">
        <v>154785</v>
      </c>
      <c r="O370" s="2">
        <v>0</v>
      </c>
      <c r="P370" s="2">
        <v>0</v>
      </c>
      <c r="Q370" s="2">
        <v>0</v>
      </c>
      <c r="R370" s="2">
        <v>0</v>
      </c>
      <c r="S370" s="2">
        <v>0</v>
      </c>
      <c r="T370" s="2">
        <v>0</v>
      </c>
      <c r="U370" s="2">
        <v>0</v>
      </c>
      <c r="V370" s="6">
        <v>10995750</v>
      </c>
      <c r="W370" s="6">
        <v>154785</v>
      </c>
      <c r="X370" s="6">
        <v>11150535</v>
      </c>
      <c r="Y370" s="6">
        <v>1039818</v>
      </c>
      <c r="Z370" s="6">
        <v>0</v>
      </c>
      <c r="AA370" s="6">
        <v>12190353</v>
      </c>
      <c r="AB370" s="142">
        <f>Table6[[#This Row],[Total Operating Income]]/Table6[[#This Row],[Total Population Served]]</f>
        <v>104.68764652840397</v>
      </c>
    </row>
    <row r="371" spans="1:28" ht="13.5" thickBot="1" x14ac:dyDescent="0.25">
      <c r="A371" s="2" t="s">
        <v>421</v>
      </c>
      <c r="B371" s="1" t="s">
        <v>420</v>
      </c>
      <c r="C371" s="2" t="s">
        <v>60</v>
      </c>
      <c r="D371" s="2" t="s">
        <v>1180</v>
      </c>
      <c r="E371" s="3" t="s">
        <v>22</v>
      </c>
      <c r="F371" s="3" t="s">
        <v>23</v>
      </c>
      <c r="G371" s="4">
        <v>395660</v>
      </c>
      <c r="H371" s="4">
        <v>395660</v>
      </c>
      <c r="I371" s="6">
        <v>790073</v>
      </c>
      <c r="J371" s="6">
        <v>20545654</v>
      </c>
      <c r="K371" s="2">
        <v>0</v>
      </c>
      <c r="L371" s="6">
        <v>11085</v>
      </c>
      <c r="M371" s="6">
        <v>21346812</v>
      </c>
      <c r="N371" s="6">
        <v>1597630</v>
      </c>
      <c r="O371" s="78">
        <v>0</v>
      </c>
      <c r="P371" s="78">
        <v>0</v>
      </c>
      <c r="Q371" s="2">
        <v>0</v>
      </c>
      <c r="R371" s="2">
        <v>0</v>
      </c>
      <c r="S371" s="2">
        <v>0</v>
      </c>
      <c r="T371" s="78">
        <v>0</v>
      </c>
      <c r="U371" s="2">
        <v>0</v>
      </c>
      <c r="V371" s="6">
        <v>21346812</v>
      </c>
      <c r="W371" s="6">
        <v>1597630</v>
      </c>
      <c r="X371" s="6">
        <v>22944442</v>
      </c>
      <c r="Y371" s="6">
        <v>1182711</v>
      </c>
      <c r="Z371" s="6">
        <v>0</v>
      </c>
      <c r="AA371" s="6">
        <v>24127153</v>
      </c>
      <c r="AB371" s="142">
        <f>Table6[[#This Row],[Total Operating Income]]/Table6[[#This Row],[Total Population Served]]</f>
        <v>60.979510185512815</v>
      </c>
    </row>
    <row r="372" spans="1:28" ht="13.5" thickBot="1" x14ac:dyDescent="0.25">
      <c r="A372" s="2" t="s">
        <v>431</v>
      </c>
      <c r="B372" s="1" t="s">
        <v>430</v>
      </c>
      <c r="C372" s="2" t="s">
        <v>60</v>
      </c>
      <c r="D372" s="2" t="s">
        <v>1140</v>
      </c>
      <c r="E372" s="3" t="s">
        <v>22</v>
      </c>
      <c r="F372" s="3" t="s">
        <v>23</v>
      </c>
      <c r="G372" s="4">
        <v>60006</v>
      </c>
      <c r="H372" s="4">
        <v>60006</v>
      </c>
      <c r="I372" s="6">
        <v>135635</v>
      </c>
      <c r="J372" s="6">
        <v>1557517</v>
      </c>
      <c r="K372" s="6">
        <v>0</v>
      </c>
      <c r="L372" s="6">
        <v>0</v>
      </c>
      <c r="M372" s="6">
        <v>1693152</v>
      </c>
      <c r="N372" s="6">
        <v>127563</v>
      </c>
      <c r="O372" s="78">
        <v>0</v>
      </c>
      <c r="P372" s="78">
        <v>0</v>
      </c>
      <c r="Q372" s="78">
        <v>0</v>
      </c>
      <c r="R372" s="2">
        <v>0</v>
      </c>
      <c r="S372" s="78">
        <v>0</v>
      </c>
      <c r="T372" s="78">
        <v>0</v>
      </c>
      <c r="U372" s="78">
        <v>0</v>
      </c>
      <c r="V372" s="6">
        <v>1693152</v>
      </c>
      <c r="W372" s="6">
        <v>127563</v>
      </c>
      <c r="X372" s="6">
        <v>1820715</v>
      </c>
      <c r="Y372" s="6">
        <v>39250</v>
      </c>
      <c r="Z372" s="6">
        <v>0</v>
      </c>
      <c r="AA372" s="6">
        <v>1859965</v>
      </c>
      <c r="AB372" s="142">
        <f>Table6[[#This Row],[Total Operating Income]]/Table6[[#This Row],[Total Population Served]]</f>
        <v>30.99631703496317</v>
      </c>
    </row>
    <row r="373" spans="1:28" ht="13.5" thickBot="1" x14ac:dyDescent="0.25">
      <c r="A373" s="2" t="s">
        <v>459</v>
      </c>
      <c r="B373" s="1" t="s">
        <v>458</v>
      </c>
      <c r="C373" s="2" t="s">
        <v>60</v>
      </c>
      <c r="D373" s="2" t="s">
        <v>1134</v>
      </c>
      <c r="E373" s="3" t="s">
        <v>22</v>
      </c>
      <c r="F373" s="3" t="s">
        <v>23</v>
      </c>
      <c r="G373" s="4">
        <v>96942</v>
      </c>
      <c r="H373" s="4">
        <v>96942</v>
      </c>
      <c r="I373" s="6">
        <v>92862</v>
      </c>
      <c r="J373" s="6">
        <v>3144247</v>
      </c>
      <c r="K373" s="6">
        <v>0</v>
      </c>
      <c r="L373" s="6">
        <v>232635</v>
      </c>
      <c r="M373" s="6">
        <v>3469744</v>
      </c>
      <c r="N373" s="6">
        <v>146640</v>
      </c>
      <c r="O373" s="78">
        <v>0</v>
      </c>
      <c r="P373" s="78">
        <v>0</v>
      </c>
      <c r="Q373" s="78">
        <v>0</v>
      </c>
      <c r="R373" s="78">
        <v>0</v>
      </c>
      <c r="S373" s="78">
        <v>0</v>
      </c>
      <c r="T373" s="78">
        <v>0</v>
      </c>
      <c r="U373" s="78">
        <v>0</v>
      </c>
      <c r="V373" s="6">
        <v>3469744</v>
      </c>
      <c r="W373" s="6">
        <v>146640</v>
      </c>
      <c r="X373" s="6">
        <v>3616384</v>
      </c>
      <c r="Y373" s="6">
        <v>31924</v>
      </c>
      <c r="Z373" s="6">
        <v>0</v>
      </c>
      <c r="AA373" s="6">
        <v>3648308</v>
      </c>
      <c r="AB373" s="142">
        <f>Table6[[#This Row],[Total Operating Income]]/Table6[[#This Row],[Total Population Served]]</f>
        <v>37.633925439953785</v>
      </c>
    </row>
    <row r="374" spans="1:28" ht="13.5" thickBot="1" x14ac:dyDescent="0.25">
      <c r="A374" s="2" t="s">
        <v>526</v>
      </c>
      <c r="B374" s="1" t="s">
        <v>525</v>
      </c>
      <c r="C374" s="2" t="s">
        <v>60</v>
      </c>
      <c r="D374" s="2" t="s">
        <v>1262</v>
      </c>
      <c r="E374" s="3" t="s">
        <v>22</v>
      </c>
      <c r="F374" s="3" t="s">
        <v>23</v>
      </c>
      <c r="G374" s="4">
        <v>149955</v>
      </c>
      <c r="H374" s="4">
        <v>149955</v>
      </c>
      <c r="I374" s="6">
        <v>1330038</v>
      </c>
      <c r="J374" s="6">
        <v>5923502</v>
      </c>
      <c r="K374" s="6">
        <v>0</v>
      </c>
      <c r="L374" s="6">
        <v>0</v>
      </c>
      <c r="M374" s="6">
        <v>7253540</v>
      </c>
      <c r="N374" s="6">
        <v>348302</v>
      </c>
      <c r="O374" s="78">
        <v>0</v>
      </c>
      <c r="P374" s="2">
        <v>0</v>
      </c>
      <c r="Q374" s="2">
        <v>0</v>
      </c>
      <c r="R374" s="2">
        <v>0</v>
      </c>
      <c r="S374" s="2">
        <v>0</v>
      </c>
      <c r="T374" s="2">
        <v>0</v>
      </c>
      <c r="U374" s="2">
        <v>0</v>
      </c>
      <c r="V374" s="6">
        <v>7253540</v>
      </c>
      <c r="W374" s="6">
        <v>348302</v>
      </c>
      <c r="X374" s="6">
        <v>7601842</v>
      </c>
      <c r="Y374" s="6">
        <v>98085</v>
      </c>
      <c r="Z374" s="6">
        <v>0</v>
      </c>
      <c r="AA374" s="6">
        <v>7699927</v>
      </c>
      <c r="AB374" s="142">
        <f>Table6[[#This Row],[Total Operating Income]]/Table6[[#This Row],[Total Population Served]]</f>
        <v>51.348251142009268</v>
      </c>
    </row>
    <row r="375" spans="1:28" ht="13.5" thickBot="1" x14ac:dyDescent="0.25">
      <c r="A375" s="2" t="s">
        <v>540</v>
      </c>
      <c r="B375" s="1" t="s">
        <v>539</v>
      </c>
      <c r="C375" s="2" t="s">
        <v>60</v>
      </c>
      <c r="D375" s="2" t="s">
        <v>1216</v>
      </c>
      <c r="E375" s="3" t="s">
        <v>22</v>
      </c>
      <c r="F375" s="3" t="s">
        <v>23</v>
      </c>
      <c r="G375" s="4">
        <v>105852</v>
      </c>
      <c r="H375" s="4">
        <v>105852</v>
      </c>
      <c r="I375" s="6">
        <v>199638</v>
      </c>
      <c r="J375" s="6">
        <v>3335646</v>
      </c>
      <c r="K375" s="6">
        <v>0</v>
      </c>
      <c r="L375" s="6">
        <v>175145</v>
      </c>
      <c r="M375" s="6">
        <v>3710429</v>
      </c>
      <c r="N375" s="6">
        <v>110406</v>
      </c>
      <c r="O375" s="2">
        <v>0</v>
      </c>
      <c r="P375" s="2">
        <v>0</v>
      </c>
      <c r="Q375" s="2">
        <v>0</v>
      </c>
      <c r="R375" s="2">
        <v>0</v>
      </c>
      <c r="S375" s="2">
        <v>0</v>
      </c>
      <c r="T375" s="2">
        <v>0</v>
      </c>
      <c r="U375" s="2">
        <v>0</v>
      </c>
      <c r="V375" s="6">
        <v>3710429</v>
      </c>
      <c r="W375" s="6">
        <v>110406</v>
      </c>
      <c r="X375" s="6">
        <v>3820835</v>
      </c>
      <c r="Y375" s="6">
        <v>119205</v>
      </c>
      <c r="Z375" s="6">
        <v>0</v>
      </c>
      <c r="AA375" s="6">
        <v>3940040</v>
      </c>
      <c r="AB375" s="142">
        <f>Table6[[#This Row],[Total Operating Income]]/Table6[[#This Row],[Total Population Served]]</f>
        <v>37.2221592412047</v>
      </c>
    </row>
    <row r="376" spans="1:28" ht="13.5" thickBot="1" x14ac:dyDescent="0.25">
      <c r="A376" s="2" t="s">
        <v>560</v>
      </c>
      <c r="B376" s="1" t="s">
        <v>559</v>
      </c>
      <c r="C376" s="2" t="s">
        <v>60</v>
      </c>
      <c r="D376" s="2" t="s">
        <v>1125</v>
      </c>
      <c r="E376" s="3" t="s">
        <v>27</v>
      </c>
      <c r="F376" s="3" t="s">
        <v>28</v>
      </c>
      <c r="G376" s="4">
        <v>55374</v>
      </c>
      <c r="H376" s="4">
        <v>55224</v>
      </c>
      <c r="I376" s="6">
        <v>112141</v>
      </c>
      <c r="J376" s="6">
        <v>0</v>
      </c>
      <c r="K376" s="6">
        <v>2622217</v>
      </c>
      <c r="L376" s="6">
        <v>0</v>
      </c>
      <c r="M376" s="6">
        <v>2734358</v>
      </c>
      <c r="N376" s="6">
        <v>173316</v>
      </c>
      <c r="O376" s="77">
        <v>150</v>
      </c>
      <c r="P376" s="6">
        <v>0</v>
      </c>
      <c r="Q376" s="6">
        <v>0</v>
      </c>
      <c r="R376" s="6">
        <v>6194</v>
      </c>
      <c r="S376" s="6">
        <v>0</v>
      </c>
      <c r="T376" s="6">
        <v>6194</v>
      </c>
      <c r="U376" s="6">
        <v>0</v>
      </c>
      <c r="V376" s="6">
        <v>2740552</v>
      </c>
      <c r="W376" s="6">
        <v>173316</v>
      </c>
      <c r="X376" s="6">
        <v>2913868</v>
      </c>
      <c r="Y376" s="6">
        <v>38689</v>
      </c>
      <c r="Z376" s="6">
        <v>0</v>
      </c>
      <c r="AA376" s="6">
        <v>2952557</v>
      </c>
      <c r="AB376" s="142">
        <f>Table6[[#This Row],[Total Operating Income]]/Table6[[#This Row],[Total Population Served]]</f>
        <v>53.320276664138404</v>
      </c>
    </row>
    <row r="377" spans="1:28" ht="13.5" thickBot="1" x14ac:dyDescent="0.25">
      <c r="A377" s="2" t="s">
        <v>610</v>
      </c>
      <c r="B377" s="1" t="s">
        <v>609</v>
      </c>
      <c r="C377" s="2" t="s">
        <v>60</v>
      </c>
      <c r="D377" s="2" t="s">
        <v>1125</v>
      </c>
      <c r="E377" s="3" t="s">
        <v>27</v>
      </c>
      <c r="F377" s="3" t="s">
        <v>28</v>
      </c>
      <c r="G377" s="4">
        <v>59515</v>
      </c>
      <c r="H377" s="4">
        <v>59515</v>
      </c>
      <c r="I377" s="6">
        <v>124454</v>
      </c>
      <c r="J377" s="6">
        <v>709167</v>
      </c>
      <c r="K377" s="6">
        <v>0</v>
      </c>
      <c r="L377" s="6">
        <v>0</v>
      </c>
      <c r="M377" s="6">
        <v>833621</v>
      </c>
      <c r="N377" s="6">
        <v>47429</v>
      </c>
      <c r="O377" s="2">
        <v>0</v>
      </c>
      <c r="P377" s="6">
        <v>0</v>
      </c>
      <c r="Q377" s="6">
        <v>0</v>
      </c>
      <c r="R377" s="6">
        <v>0</v>
      </c>
      <c r="S377" s="6">
        <v>0</v>
      </c>
      <c r="T377" s="6">
        <v>0</v>
      </c>
      <c r="U377" s="6">
        <v>0</v>
      </c>
      <c r="V377" s="6">
        <v>833621</v>
      </c>
      <c r="W377" s="6">
        <v>47429</v>
      </c>
      <c r="X377" s="6">
        <v>881050</v>
      </c>
      <c r="Y377" s="6">
        <v>28253</v>
      </c>
      <c r="Z377" s="6">
        <v>7293</v>
      </c>
      <c r="AA377" s="6">
        <v>916596</v>
      </c>
      <c r="AB377" s="142">
        <f>Table6[[#This Row],[Total Operating Income]]/Table6[[#This Row],[Total Population Served]]</f>
        <v>15.401092161639923</v>
      </c>
    </row>
    <row r="378" spans="1:28" ht="13.5" thickBot="1" x14ac:dyDescent="0.25">
      <c r="A378" s="2" t="s">
        <v>614</v>
      </c>
      <c r="B378" s="1" t="s">
        <v>613</v>
      </c>
      <c r="C378" s="2" t="s">
        <v>60</v>
      </c>
      <c r="D378" s="2" t="s">
        <v>1149</v>
      </c>
      <c r="E378" s="3" t="s">
        <v>22</v>
      </c>
      <c r="F378" s="3" t="s">
        <v>23</v>
      </c>
      <c r="G378" s="4">
        <v>52170</v>
      </c>
      <c r="H378" s="4">
        <v>52170</v>
      </c>
      <c r="I378" s="6">
        <v>70613</v>
      </c>
      <c r="J378" s="6">
        <v>3272464</v>
      </c>
      <c r="K378" s="78">
        <v>0</v>
      </c>
      <c r="L378" s="78">
        <v>0</v>
      </c>
      <c r="M378" s="6">
        <v>3343077</v>
      </c>
      <c r="N378" s="6">
        <v>278535</v>
      </c>
      <c r="O378" s="78">
        <v>0</v>
      </c>
      <c r="P378" s="2">
        <v>0</v>
      </c>
      <c r="Q378" s="2">
        <v>0</v>
      </c>
      <c r="R378" s="2">
        <v>0</v>
      </c>
      <c r="S378" s="2">
        <v>0</v>
      </c>
      <c r="T378" s="2">
        <v>0</v>
      </c>
      <c r="U378" s="2">
        <v>0</v>
      </c>
      <c r="V378" s="6">
        <v>3343077</v>
      </c>
      <c r="W378" s="6">
        <v>278535</v>
      </c>
      <c r="X378" s="6">
        <v>3621612</v>
      </c>
      <c r="Y378" s="6">
        <v>34124</v>
      </c>
      <c r="Z378" s="6">
        <v>0</v>
      </c>
      <c r="AA378" s="6">
        <v>3655736</v>
      </c>
      <c r="AB378" s="142">
        <f>Table6[[#This Row],[Total Operating Income]]/Table6[[#This Row],[Total Population Served]]</f>
        <v>70.07352884799694</v>
      </c>
    </row>
    <row r="379" spans="1:28" ht="13.5" thickBot="1" x14ac:dyDescent="0.25">
      <c r="A379" s="2" t="s">
        <v>624</v>
      </c>
      <c r="B379" s="1" t="s">
        <v>623</v>
      </c>
      <c r="C379" s="2" t="s">
        <v>60</v>
      </c>
      <c r="D379" s="2" t="s">
        <v>1164</v>
      </c>
      <c r="E379" s="3" t="s">
        <v>27</v>
      </c>
      <c r="F379" s="3" t="s">
        <v>28</v>
      </c>
      <c r="G379" s="4">
        <v>124690</v>
      </c>
      <c r="H379" s="4">
        <v>57737</v>
      </c>
      <c r="I379" s="6">
        <v>165502</v>
      </c>
      <c r="J379" s="6">
        <v>2150300</v>
      </c>
      <c r="K379" s="6">
        <v>0</v>
      </c>
      <c r="L379" s="6">
        <v>0</v>
      </c>
      <c r="M379" s="6">
        <v>2315802</v>
      </c>
      <c r="N379" s="6">
        <v>69753</v>
      </c>
      <c r="O379" s="77">
        <v>66953</v>
      </c>
      <c r="P379" s="6">
        <v>191956</v>
      </c>
      <c r="Q379" s="6">
        <v>0</v>
      </c>
      <c r="R379" s="6">
        <v>0</v>
      </c>
      <c r="S379" s="6">
        <v>700000</v>
      </c>
      <c r="T379" s="6">
        <v>891956</v>
      </c>
      <c r="U379" s="6">
        <v>38850</v>
      </c>
      <c r="V379" s="6">
        <v>3207758</v>
      </c>
      <c r="W379" s="6">
        <v>108603</v>
      </c>
      <c r="X379" s="6">
        <v>3316361</v>
      </c>
      <c r="Y379" s="6">
        <v>91157</v>
      </c>
      <c r="Z379" s="6">
        <v>0</v>
      </c>
      <c r="AA379" s="6">
        <v>3407518</v>
      </c>
      <c r="AB379" s="142">
        <f>Table6[[#This Row],[Total Operating Income]]/Table6[[#This Row],[Total Population Served]]</f>
        <v>27.327917234742159</v>
      </c>
    </row>
    <row r="380" spans="1:28" ht="13.5" thickBot="1" x14ac:dyDescent="0.25">
      <c r="A380" s="2" t="s">
        <v>660</v>
      </c>
      <c r="B380" s="1" t="s">
        <v>659</v>
      </c>
      <c r="C380" s="2" t="s">
        <v>60</v>
      </c>
      <c r="D380" s="2" t="s">
        <v>1125</v>
      </c>
      <c r="E380" s="3" t="s">
        <v>22</v>
      </c>
      <c r="F380" s="3" t="s">
        <v>23</v>
      </c>
      <c r="G380" s="4">
        <v>100485</v>
      </c>
      <c r="H380" s="4">
        <v>70995</v>
      </c>
      <c r="I380" s="6">
        <v>203499</v>
      </c>
      <c r="J380" s="6">
        <v>2523827</v>
      </c>
      <c r="K380" s="6">
        <v>0</v>
      </c>
      <c r="L380" s="6">
        <v>162693</v>
      </c>
      <c r="M380" s="6">
        <v>2890019</v>
      </c>
      <c r="N380" s="6">
        <v>353299</v>
      </c>
      <c r="O380" s="77">
        <v>29490</v>
      </c>
      <c r="P380" s="2">
        <v>0</v>
      </c>
      <c r="Q380" s="6">
        <v>750397</v>
      </c>
      <c r="R380" s="6">
        <v>452621</v>
      </c>
      <c r="S380" s="6">
        <v>0</v>
      </c>
      <c r="T380" s="6">
        <v>1203018</v>
      </c>
      <c r="U380" s="6">
        <v>0</v>
      </c>
      <c r="V380" s="6">
        <v>4093037</v>
      </c>
      <c r="W380" s="6">
        <v>353299</v>
      </c>
      <c r="X380" s="6">
        <v>4446336</v>
      </c>
      <c r="Y380" s="6">
        <v>107113</v>
      </c>
      <c r="Z380" s="6">
        <v>0</v>
      </c>
      <c r="AA380" s="6">
        <v>4553449</v>
      </c>
      <c r="AB380" s="142">
        <f>Table6[[#This Row],[Total Operating Income]]/Table6[[#This Row],[Total Population Served]]</f>
        <v>45.314713638851572</v>
      </c>
    </row>
    <row r="381" spans="1:28" ht="13.5" thickBot="1" x14ac:dyDescent="0.25">
      <c r="A381" s="2" t="s">
        <v>670</v>
      </c>
      <c r="B381" s="1" t="s">
        <v>669</v>
      </c>
      <c r="C381" s="2" t="s">
        <v>60</v>
      </c>
      <c r="D381" s="2" t="s">
        <v>1125</v>
      </c>
      <c r="E381" s="3" t="s">
        <v>27</v>
      </c>
      <c r="F381" s="3" t="s">
        <v>28</v>
      </c>
      <c r="G381" s="4">
        <v>57236</v>
      </c>
      <c r="H381" s="4">
        <v>57236</v>
      </c>
      <c r="I381" s="6">
        <v>115952</v>
      </c>
      <c r="J381" s="6">
        <v>2268051</v>
      </c>
      <c r="K381" s="6">
        <v>0</v>
      </c>
      <c r="L381" s="6">
        <v>0</v>
      </c>
      <c r="M381" s="6">
        <v>2384003</v>
      </c>
      <c r="N381" s="6">
        <v>75333</v>
      </c>
      <c r="O381" s="2">
        <v>0</v>
      </c>
      <c r="P381" s="2">
        <v>0</v>
      </c>
      <c r="Q381" s="2">
        <v>0</v>
      </c>
      <c r="R381" s="2">
        <v>0</v>
      </c>
      <c r="S381" s="2">
        <v>0</v>
      </c>
      <c r="T381" s="2">
        <v>0</v>
      </c>
      <c r="U381" s="2">
        <v>0</v>
      </c>
      <c r="V381" s="6">
        <v>2384003</v>
      </c>
      <c r="W381" s="6">
        <v>75333</v>
      </c>
      <c r="X381" s="6">
        <v>2459336</v>
      </c>
      <c r="Y381" s="6">
        <v>39681</v>
      </c>
      <c r="Z381" s="6">
        <v>0</v>
      </c>
      <c r="AA381" s="6">
        <v>2499017</v>
      </c>
      <c r="AB381" s="142">
        <f>Table6[[#This Row],[Total Operating Income]]/Table6[[#This Row],[Total Population Served]]</f>
        <v>43.661629044657211</v>
      </c>
    </row>
    <row r="382" spans="1:28" ht="13.5" thickBot="1" x14ac:dyDescent="0.25">
      <c r="A382" s="2" t="s">
        <v>678</v>
      </c>
      <c r="B382" s="1" t="s">
        <v>677</v>
      </c>
      <c r="C382" s="2" t="s">
        <v>60</v>
      </c>
      <c r="D382" s="2" t="s">
        <v>1292</v>
      </c>
      <c r="E382" s="3" t="s">
        <v>22</v>
      </c>
      <c r="F382" s="3" t="s">
        <v>23</v>
      </c>
      <c r="G382" s="4">
        <v>160312</v>
      </c>
      <c r="H382" s="4">
        <v>158267</v>
      </c>
      <c r="I382" s="6">
        <v>507384</v>
      </c>
      <c r="J382" s="6">
        <v>3952098</v>
      </c>
      <c r="K382" s="6">
        <v>8000</v>
      </c>
      <c r="L382" s="6">
        <v>72452</v>
      </c>
      <c r="M382" s="6">
        <v>4539934</v>
      </c>
      <c r="N382" s="6">
        <v>243714</v>
      </c>
      <c r="O382" s="4">
        <v>2045</v>
      </c>
      <c r="P382" s="6">
        <v>1643</v>
      </c>
      <c r="Q382" s="6">
        <v>0</v>
      </c>
      <c r="R382" s="6">
        <v>0</v>
      </c>
      <c r="S382" s="6">
        <v>0</v>
      </c>
      <c r="T382" s="6">
        <v>1643</v>
      </c>
      <c r="U382" s="6">
        <v>0</v>
      </c>
      <c r="V382" s="6">
        <v>4541577</v>
      </c>
      <c r="W382" s="6">
        <v>243714</v>
      </c>
      <c r="X382" s="6">
        <v>4785291</v>
      </c>
      <c r="Y382" s="6">
        <v>146010</v>
      </c>
      <c r="Z382" s="6">
        <v>0</v>
      </c>
      <c r="AA382" s="6">
        <v>4931301</v>
      </c>
      <c r="AB382" s="142">
        <f>Table6[[#This Row],[Total Operating Income]]/Table6[[#This Row],[Total Population Served]]</f>
        <v>30.76064798642647</v>
      </c>
    </row>
    <row r="383" spans="1:28" ht="13.5" thickBot="1" x14ac:dyDescent="0.25">
      <c r="A383" s="2" t="s">
        <v>680</v>
      </c>
      <c r="B383" s="1" t="s">
        <v>679</v>
      </c>
      <c r="C383" s="2" t="s">
        <v>60</v>
      </c>
      <c r="D383" s="2" t="s">
        <v>1146</v>
      </c>
      <c r="E383" s="3" t="s">
        <v>27</v>
      </c>
      <c r="F383" s="3" t="s">
        <v>28</v>
      </c>
      <c r="G383" s="4">
        <v>59715</v>
      </c>
      <c r="H383" s="4">
        <v>59715</v>
      </c>
      <c r="I383" s="6">
        <v>51710</v>
      </c>
      <c r="J383" s="6">
        <v>1305195</v>
      </c>
      <c r="K383" s="6">
        <v>0</v>
      </c>
      <c r="L383" s="6">
        <v>0</v>
      </c>
      <c r="M383" s="6">
        <v>1356905</v>
      </c>
      <c r="N383" s="6">
        <v>51753</v>
      </c>
      <c r="O383" s="2">
        <v>0</v>
      </c>
      <c r="P383" s="6">
        <v>0</v>
      </c>
      <c r="Q383" s="2">
        <v>0</v>
      </c>
      <c r="R383" s="2">
        <v>0</v>
      </c>
      <c r="S383" s="2">
        <v>0</v>
      </c>
      <c r="T383" s="6">
        <v>0</v>
      </c>
      <c r="U383" s="2">
        <v>0</v>
      </c>
      <c r="V383" s="6">
        <v>1356905</v>
      </c>
      <c r="W383" s="6">
        <v>51753</v>
      </c>
      <c r="X383" s="6">
        <v>1408658</v>
      </c>
      <c r="Y383" s="6">
        <v>43790</v>
      </c>
      <c r="Z383" s="6">
        <v>0</v>
      </c>
      <c r="AA383" s="6">
        <v>1452448</v>
      </c>
      <c r="AB383" s="142">
        <f>Table6[[#This Row],[Total Operating Income]]/Table6[[#This Row],[Total Population Served]]</f>
        <v>24.323000921041615</v>
      </c>
    </row>
    <row r="384" spans="1:28" ht="13.5" thickBot="1" x14ac:dyDescent="0.25">
      <c r="A384" s="2" t="s">
        <v>708</v>
      </c>
      <c r="B384" s="1" t="s">
        <v>707</v>
      </c>
      <c r="C384" s="2" t="s">
        <v>60</v>
      </c>
      <c r="D384" s="2" t="s">
        <v>1146</v>
      </c>
      <c r="E384" s="3" t="s">
        <v>22</v>
      </c>
      <c r="F384" s="3" t="s">
        <v>23</v>
      </c>
      <c r="G384" s="4">
        <v>73804</v>
      </c>
      <c r="H384" s="4">
        <v>73804</v>
      </c>
      <c r="I384" s="6">
        <v>59312</v>
      </c>
      <c r="J384" s="6">
        <v>0</v>
      </c>
      <c r="K384" s="6">
        <v>1016897</v>
      </c>
      <c r="L384" s="6">
        <v>0</v>
      </c>
      <c r="M384" s="6">
        <v>1076209</v>
      </c>
      <c r="N384" s="6">
        <v>33273</v>
      </c>
      <c r="O384" s="2">
        <v>0</v>
      </c>
      <c r="P384" s="6">
        <v>0</v>
      </c>
      <c r="Q384" s="6">
        <v>0</v>
      </c>
      <c r="R384" s="6">
        <v>0</v>
      </c>
      <c r="S384" s="6">
        <v>0</v>
      </c>
      <c r="T384" s="6">
        <v>0</v>
      </c>
      <c r="U384" s="6">
        <v>0</v>
      </c>
      <c r="V384" s="6">
        <v>1076209</v>
      </c>
      <c r="W384" s="6">
        <v>33273</v>
      </c>
      <c r="X384" s="6">
        <v>1109482</v>
      </c>
      <c r="Y384" s="6">
        <v>48275</v>
      </c>
      <c r="Z384" s="6">
        <v>0</v>
      </c>
      <c r="AA384" s="6">
        <v>1157757</v>
      </c>
      <c r="AB384" s="142">
        <f>Table6[[#This Row],[Total Operating Income]]/Table6[[#This Row],[Total Population Served]]</f>
        <v>15.686913988401713</v>
      </c>
    </row>
    <row r="385" spans="1:28" ht="13.5" thickBot="1" x14ac:dyDescent="0.25">
      <c r="A385" s="2" t="s">
        <v>720</v>
      </c>
      <c r="B385" s="1" t="s">
        <v>719</v>
      </c>
      <c r="C385" s="2" t="s">
        <v>60</v>
      </c>
      <c r="D385" s="2" t="s">
        <v>1125</v>
      </c>
      <c r="E385" s="3" t="s">
        <v>27</v>
      </c>
      <c r="F385" s="3" t="s">
        <v>28</v>
      </c>
      <c r="G385" s="4">
        <v>75814</v>
      </c>
      <c r="H385" s="4">
        <v>71739</v>
      </c>
      <c r="I385" s="6">
        <v>158537</v>
      </c>
      <c r="J385" s="6">
        <v>6639345</v>
      </c>
      <c r="K385" s="6">
        <v>0</v>
      </c>
      <c r="L385" s="6">
        <v>688730</v>
      </c>
      <c r="M385" s="6">
        <v>7486612</v>
      </c>
      <c r="N385" s="6">
        <v>345666</v>
      </c>
      <c r="O385" s="4">
        <v>4075</v>
      </c>
      <c r="P385" s="6">
        <v>0</v>
      </c>
      <c r="Q385" s="6">
        <v>119938</v>
      </c>
      <c r="R385" s="6">
        <v>0</v>
      </c>
      <c r="S385" s="6">
        <v>0</v>
      </c>
      <c r="T385" s="6">
        <v>119938</v>
      </c>
      <c r="U385" s="6">
        <v>0</v>
      </c>
      <c r="V385" s="6">
        <v>7606550</v>
      </c>
      <c r="W385" s="6">
        <v>345666</v>
      </c>
      <c r="X385" s="6">
        <v>7952216</v>
      </c>
      <c r="Y385" s="6">
        <v>84317</v>
      </c>
      <c r="Z385" s="6">
        <v>0</v>
      </c>
      <c r="AA385" s="6">
        <v>8036533</v>
      </c>
      <c r="AB385" s="142">
        <f>Table6[[#This Row],[Total Operating Income]]/Table6[[#This Row],[Total Population Served]]</f>
        <v>106.00328435381329</v>
      </c>
    </row>
    <row r="386" spans="1:28" ht="13.5" thickBot="1" x14ac:dyDescent="0.25">
      <c r="A386" s="2" t="s">
        <v>734</v>
      </c>
      <c r="B386" s="1" t="s">
        <v>733</v>
      </c>
      <c r="C386" s="2" t="s">
        <v>60</v>
      </c>
      <c r="D386" s="2" t="s">
        <v>1146</v>
      </c>
      <c r="E386" s="3" t="s">
        <v>27</v>
      </c>
      <c r="F386" s="3" t="s">
        <v>28</v>
      </c>
      <c r="G386" s="4">
        <v>129699</v>
      </c>
      <c r="H386" s="4">
        <v>129699</v>
      </c>
      <c r="I386" s="6">
        <v>112313</v>
      </c>
      <c r="J386" s="6">
        <v>0</v>
      </c>
      <c r="K386" s="6">
        <v>2258182</v>
      </c>
      <c r="L386" s="6">
        <v>0</v>
      </c>
      <c r="M386" s="6">
        <v>2370495</v>
      </c>
      <c r="N386" s="6">
        <v>124825</v>
      </c>
      <c r="O386" s="78">
        <v>0</v>
      </c>
      <c r="P386" s="78">
        <v>0</v>
      </c>
      <c r="Q386" s="2">
        <v>0</v>
      </c>
      <c r="R386" s="2">
        <v>0</v>
      </c>
      <c r="S386" s="2">
        <v>0</v>
      </c>
      <c r="T386" s="78">
        <v>0</v>
      </c>
      <c r="U386" s="2">
        <v>0</v>
      </c>
      <c r="V386" s="6">
        <v>2370495</v>
      </c>
      <c r="W386" s="6">
        <v>124825</v>
      </c>
      <c r="X386" s="6">
        <v>2495320</v>
      </c>
      <c r="Y386" s="6">
        <v>89919</v>
      </c>
      <c r="Z386" s="6">
        <v>7801</v>
      </c>
      <c r="AA386" s="6">
        <v>2593040</v>
      </c>
      <c r="AB386" s="142">
        <f>Table6[[#This Row],[Total Operating Income]]/Table6[[#This Row],[Total Population Served]]</f>
        <v>19.992752449903236</v>
      </c>
    </row>
    <row r="387" spans="1:28" ht="13.5" thickBot="1" x14ac:dyDescent="0.25">
      <c r="A387" s="2" t="s">
        <v>751</v>
      </c>
      <c r="B387" s="1" t="s">
        <v>750</v>
      </c>
      <c r="C387" s="2" t="s">
        <v>60</v>
      </c>
      <c r="D387" s="2" t="s">
        <v>1134</v>
      </c>
      <c r="E387" s="3" t="s">
        <v>27</v>
      </c>
      <c r="F387" s="3" t="s">
        <v>28</v>
      </c>
      <c r="G387" s="4">
        <v>63131</v>
      </c>
      <c r="H387" s="4">
        <v>63131</v>
      </c>
      <c r="I387" s="6">
        <v>97022</v>
      </c>
      <c r="J387" s="78">
        <v>0</v>
      </c>
      <c r="K387" s="6">
        <v>981639</v>
      </c>
      <c r="L387" s="6">
        <v>5948</v>
      </c>
      <c r="M387" s="6">
        <v>1084609</v>
      </c>
      <c r="N387" s="6">
        <v>34186</v>
      </c>
      <c r="O387" s="2">
        <v>0</v>
      </c>
      <c r="P387" s="2">
        <v>0</v>
      </c>
      <c r="Q387" s="2">
        <v>0</v>
      </c>
      <c r="R387" s="2">
        <v>0</v>
      </c>
      <c r="S387" s="2">
        <v>0</v>
      </c>
      <c r="T387" s="2">
        <v>0</v>
      </c>
      <c r="U387" s="2">
        <v>0</v>
      </c>
      <c r="V387" s="6">
        <v>1084609</v>
      </c>
      <c r="W387" s="6">
        <v>34186</v>
      </c>
      <c r="X387" s="6">
        <v>1118795</v>
      </c>
      <c r="Y387" s="6">
        <v>87368</v>
      </c>
      <c r="Z387" s="6">
        <v>4387</v>
      </c>
      <c r="AA387" s="6">
        <v>1210550</v>
      </c>
      <c r="AB387" s="142">
        <f>Table6[[#This Row],[Total Operating Income]]/Table6[[#This Row],[Total Population Served]]</f>
        <v>19.175207109027262</v>
      </c>
    </row>
    <row r="388" spans="1:28" ht="13.5" thickBot="1" x14ac:dyDescent="0.25">
      <c r="A388" s="2" t="s">
        <v>777</v>
      </c>
      <c r="B388" s="1" t="s">
        <v>776</v>
      </c>
      <c r="C388" s="2" t="s">
        <v>60</v>
      </c>
      <c r="D388" s="2" t="s">
        <v>1210</v>
      </c>
      <c r="E388" s="3" t="s">
        <v>22</v>
      </c>
      <c r="F388" s="3" t="s">
        <v>23</v>
      </c>
      <c r="G388" s="4">
        <v>97396</v>
      </c>
      <c r="H388" s="4">
        <v>87178</v>
      </c>
      <c r="I388" s="6">
        <v>249110</v>
      </c>
      <c r="J388" s="6">
        <v>4532111</v>
      </c>
      <c r="K388" s="78">
        <v>0</v>
      </c>
      <c r="L388" s="6">
        <v>3120</v>
      </c>
      <c r="M388" s="6">
        <v>4784341</v>
      </c>
      <c r="N388" s="6">
        <v>319162</v>
      </c>
      <c r="O388" s="77">
        <v>10218</v>
      </c>
      <c r="P388" s="6">
        <v>35262</v>
      </c>
      <c r="Q388" s="78">
        <v>0</v>
      </c>
      <c r="R388" s="78">
        <v>0</v>
      </c>
      <c r="S388" s="78">
        <v>0</v>
      </c>
      <c r="T388" s="6">
        <v>35262</v>
      </c>
      <c r="U388" s="78">
        <v>0</v>
      </c>
      <c r="V388" s="6">
        <v>4819603</v>
      </c>
      <c r="W388" s="6">
        <v>319162</v>
      </c>
      <c r="X388" s="6">
        <v>5138765</v>
      </c>
      <c r="Y388" s="6">
        <v>107390</v>
      </c>
      <c r="Z388" s="6">
        <v>1500</v>
      </c>
      <c r="AA388" s="6">
        <v>5247655</v>
      </c>
      <c r="AB388" s="142">
        <f>Table6[[#This Row],[Total Operating Income]]/Table6[[#This Row],[Total Population Served]]</f>
        <v>53.879574109819707</v>
      </c>
    </row>
    <row r="389" spans="1:28" ht="13.5" thickBot="1" x14ac:dyDescent="0.25">
      <c r="A389" s="2" t="s">
        <v>779</v>
      </c>
      <c r="B389" s="1" t="s">
        <v>778</v>
      </c>
      <c r="C389" s="2" t="s">
        <v>60</v>
      </c>
      <c r="D389" s="2" t="s">
        <v>1134</v>
      </c>
      <c r="E389" s="3" t="s">
        <v>27</v>
      </c>
      <c r="F389" s="3" t="s">
        <v>28</v>
      </c>
      <c r="G389" s="4">
        <v>72726</v>
      </c>
      <c r="H389" s="4">
        <v>18853</v>
      </c>
      <c r="I389" s="6">
        <v>23708</v>
      </c>
      <c r="J389" s="6">
        <v>0</v>
      </c>
      <c r="K389" s="6">
        <v>259560</v>
      </c>
      <c r="L389" s="6">
        <v>345342</v>
      </c>
      <c r="M389" s="6">
        <v>628610</v>
      </c>
      <c r="N389" s="6">
        <v>57725</v>
      </c>
      <c r="O389" s="4">
        <v>53873</v>
      </c>
      <c r="P389" s="6">
        <v>67747</v>
      </c>
      <c r="Q389" s="6">
        <v>116697</v>
      </c>
      <c r="R389" s="6">
        <v>228490</v>
      </c>
      <c r="S389" s="6">
        <v>326</v>
      </c>
      <c r="T389" s="6">
        <v>413260</v>
      </c>
      <c r="U389" s="78">
        <v>0</v>
      </c>
      <c r="V389" s="6">
        <v>1041870</v>
      </c>
      <c r="W389" s="6">
        <v>57725</v>
      </c>
      <c r="X389" s="6">
        <v>1099595</v>
      </c>
      <c r="Y389" s="6">
        <v>53332</v>
      </c>
      <c r="Z389" s="6">
        <v>0</v>
      </c>
      <c r="AA389" s="6">
        <v>1152927</v>
      </c>
      <c r="AB389" s="142">
        <f>Table6[[#This Row],[Total Operating Income]]/Table6[[#This Row],[Total Population Served]]</f>
        <v>15.853023677914363</v>
      </c>
    </row>
    <row r="390" spans="1:28" ht="13.5" thickBot="1" x14ac:dyDescent="0.25">
      <c r="A390" s="2" t="s">
        <v>781</v>
      </c>
      <c r="B390" s="1" t="s">
        <v>780</v>
      </c>
      <c r="C390" s="2" t="s">
        <v>60</v>
      </c>
      <c r="D390" s="2" t="s">
        <v>1125</v>
      </c>
      <c r="E390" s="3" t="s">
        <v>27</v>
      </c>
      <c r="F390" s="3" t="s">
        <v>28</v>
      </c>
      <c r="G390" s="4">
        <v>80980</v>
      </c>
      <c r="H390" s="4">
        <v>80980</v>
      </c>
      <c r="I390" s="6">
        <v>169340</v>
      </c>
      <c r="J390" s="6">
        <v>3179007</v>
      </c>
      <c r="K390" s="6">
        <v>0</v>
      </c>
      <c r="L390" s="6">
        <v>0</v>
      </c>
      <c r="M390" s="6">
        <v>3348347</v>
      </c>
      <c r="N390" s="6">
        <v>115978</v>
      </c>
      <c r="O390" s="2">
        <v>0</v>
      </c>
      <c r="P390" s="2">
        <v>0</v>
      </c>
      <c r="Q390" s="2">
        <v>0</v>
      </c>
      <c r="R390" s="2">
        <v>0</v>
      </c>
      <c r="S390" s="2">
        <v>0</v>
      </c>
      <c r="T390" s="2">
        <v>0</v>
      </c>
      <c r="U390" s="2">
        <v>0</v>
      </c>
      <c r="V390" s="6">
        <v>3348347</v>
      </c>
      <c r="W390" s="6">
        <v>115978</v>
      </c>
      <c r="X390" s="6">
        <v>3464325</v>
      </c>
      <c r="Y390" s="6">
        <v>86051</v>
      </c>
      <c r="Z390" s="6">
        <v>0</v>
      </c>
      <c r="AA390" s="6">
        <v>3550376</v>
      </c>
      <c r="AB390" s="142">
        <f>Table6[[#This Row],[Total Operating Income]]/Table6[[#This Row],[Total Population Served]]</f>
        <v>43.842627809335639</v>
      </c>
    </row>
    <row r="391" spans="1:28" ht="13.5" thickBot="1" x14ac:dyDescent="0.25">
      <c r="A391" s="2" t="s">
        <v>805</v>
      </c>
      <c r="B391" s="1" t="s">
        <v>804</v>
      </c>
      <c r="C391" s="2" t="s">
        <v>60</v>
      </c>
      <c r="D391" s="2" t="s">
        <v>1146</v>
      </c>
      <c r="E391" s="3" t="s">
        <v>27</v>
      </c>
      <c r="F391" s="3" t="s">
        <v>28</v>
      </c>
      <c r="G391" s="4">
        <v>134056</v>
      </c>
      <c r="H391" s="4">
        <v>134056</v>
      </c>
      <c r="I391" s="6">
        <v>116086</v>
      </c>
      <c r="J391" s="6">
        <v>4147684</v>
      </c>
      <c r="K391" s="6">
        <v>0</v>
      </c>
      <c r="L391" s="6">
        <v>242196</v>
      </c>
      <c r="M391" s="6">
        <v>4505966</v>
      </c>
      <c r="N391" s="6">
        <v>103386</v>
      </c>
      <c r="O391" s="2">
        <v>0</v>
      </c>
      <c r="P391" s="6">
        <v>0</v>
      </c>
      <c r="Q391" s="6">
        <v>0</v>
      </c>
      <c r="R391" s="6">
        <v>0</v>
      </c>
      <c r="S391" s="6">
        <v>0</v>
      </c>
      <c r="T391" s="6">
        <v>0</v>
      </c>
      <c r="U391" s="6">
        <v>0</v>
      </c>
      <c r="V391" s="6">
        <v>4505966</v>
      </c>
      <c r="W391" s="6">
        <v>103386</v>
      </c>
      <c r="X391" s="6">
        <v>4609352</v>
      </c>
      <c r="Y391" s="6">
        <v>87686</v>
      </c>
      <c r="Z391" s="6">
        <v>0</v>
      </c>
      <c r="AA391" s="6">
        <v>4697038</v>
      </c>
      <c r="AB391" s="142">
        <f>Table6[[#This Row],[Total Operating Income]]/Table6[[#This Row],[Total Population Served]]</f>
        <v>35.037879692068984</v>
      </c>
    </row>
    <row r="392" spans="1:28" ht="13.5" thickBot="1" x14ac:dyDescent="0.25">
      <c r="A392" s="2" t="s">
        <v>807</v>
      </c>
      <c r="B392" s="1" t="s">
        <v>806</v>
      </c>
      <c r="C392" s="2" t="s">
        <v>60</v>
      </c>
      <c r="D392" s="2" t="s">
        <v>1125</v>
      </c>
      <c r="E392" s="3" t="s">
        <v>22</v>
      </c>
      <c r="F392" s="3" t="s">
        <v>23</v>
      </c>
      <c r="G392" s="4">
        <v>71997</v>
      </c>
      <c r="H392" s="4">
        <v>71707</v>
      </c>
      <c r="I392" s="6">
        <v>145806</v>
      </c>
      <c r="J392" s="6">
        <v>1790475</v>
      </c>
      <c r="K392" s="6">
        <v>0</v>
      </c>
      <c r="L392" s="6">
        <v>10973</v>
      </c>
      <c r="M392" s="6">
        <v>1947254</v>
      </c>
      <c r="N392" s="6">
        <v>81882</v>
      </c>
      <c r="O392" s="77">
        <v>290</v>
      </c>
      <c r="P392" s="2">
        <v>0</v>
      </c>
      <c r="Q392" s="2">
        <v>0</v>
      </c>
      <c r="R392" s="2">
        <v>0</v>
      </c>
      <c r="S392" s="2">
        <v>0</v>
      </c>
      <c r="T392" s="2">
        <v>0</v>
      </c>
      <c r="U392" s="2">
        <v>0</v>
      </c>
      <c r="V392" s="6">
        <v>1947254</v>
      </c>
      <c r="W392" s="6">
        <v>81882</v>
      </c>
      <c r="X392" s="6">
        <v>2029136</v>
      </c>
      <c r="Y392" s="6">
        <v>47093</v>
      </c>
      <c r="Z392" s="6">
        <v>0</v>
      </c>
      <c r="AA392" s="6">
        <v>2076229</v>
      </c>
      <c r="AB392" s="142">
        <f>Table6[[#This Row],[Total Operating Income]]/Table6[[#This Row],[Total Population Served]]</f>
        <v>28.837715460366404</v>
      </c>
    </row>
    <row r="393" spans="1:28" ht="13.5" thickBot="1" x14ac:dyDescent="0.25">
      <c r="A393" s="2" t="s">
        <v>815</v>
      </c>
      <c r="B393" s="1" t="s">
        <v>814</v>
      </c>
      <c r="C393" s="2" t="s">
        <v>60</v>
      </c>
      <c r="D393" s="2" t="s">
        <v>1125</v>
      </c>
      <c r="E393" s="3" t="s">
        <v>67</v>
      </c>
      <c r="F393" s="3" t="s">
        <v>68</v>
      </c>
      <c r="G393" s="4">
        <v>71755</v>
      </c>
      <c r="H393" s="4">
        <v>64690</v>
      </c>
      <c r="I393" s="6">
        <v>131008</v>
      </c>
      <c r="J393" s="6">
        <v>4754589</v>
      </c>
      <c r="K393" s="6">
        <v>15588</v>
      </c>
      <c r="L393" s="6">
        <v>0</v>
      </c>
      <c r="M393" s="6">
        <v>4901185</v>
      </c>
      <c r="N393" s="6">
        <v>425511</v>
      </c>
      <c r="O393" s="77">
        <v>7065</v>
      </c>
      <c r="P393" s="6">
        <v>14308</v>
      </c>
      <c r="Q393" s="6">
        <v>0</v>
      </c>
      <c r="R393" s="6">
        <v>0</v>
      </c>
      <c r="S393" s="6">
        <v>138780</v>
      </c>
      <c r="T393" s="6">
        <v>153088</v>
      </c>
      <c r="U393" s="6">
        <v>0</v>
      </c>
      <c r="V393" s="6">
        <v>5054273</v>
      </c>
      <c r="W393" s="6">
        <v>425511</v>
      </c>
      <c r="X393" s="6">
        <v>5479784</v>
      </c>
      <c r="Y393" s="6">
        <v>49747</v>
      </c>
      <c r="Z393" s="6">
        <v>0</v>
      </c>
      <c r="AA393" s="6">
        <v>5529531</v>
      </c>
      <c r="AB393" s="142">
        <f>Table6[[#This Row],[Total Operating Income]]/Table6[[#This Row],[Total Population Served]]</f>
        <v>77.061264023413003</v>
      </c>
    </row>
    <row r="394" spans="1:28" ht="13.5" thickBot="1" x14ac:dyDescent="0.25">
      <c r="A394" s="2" t="s">
        <v>835</v>
      </c>
      <c r="B394" s="1" t="s">
        <v>834</v>
      </c>
      <c r="C394" s="2" t="s">
        <v>60</v>
      </c>
      <c r="D394" s="2" t="s">
        <v>1129</v>
      </c>
      <c r="E394" s="3" t="s">
        <v>27</v>
      </c>
      <c r="F394" s="3" t="s">
        <v>28</v>
      </c>
      <c r="G394" s="4">
        <v>89779</v>
      </c>
      <c r="H394" s="4">
        <v>89779</v>
      </c>
      <c r="I394" s="6">
        <v>160511</v>
      </c>
      <c r="J394" s="6">
        <v>4277333</v>
      </c>
      <c r="K394" s="2">
        <v>0</v>
      </c>
      <c r="L394" s="6">
        <v>170554</v>
      </c>
      <c r="M394" s="6">
        <v>4608398</v>
      </c>
      <c r="N394" s="6">
        <v>1526384</v>
      </c>
      <c r="O394" s="2">
        <v>0</v>
      </c>
      <c r="P394" s="2">
        <v>0</v>
      </c>
      <c r="Q394" s="2">
        <v>0</v>
      </c>
      <c r="R394" s="2">
        <v>0</v>
      </c>
      <c r="S394" s="2">
        <v>0</v>
      </c>
      <c r="T394" s="2">
        <v>0</v>
      </c>
      <c r="U394" s="2">
        <v>0</v>
      </c>
      <c r="V394" s="6">
        <v>4608398</v>
      </c>
      <c r="W394" s="6">
        <v>1526384</v>
      </c>
      <c r="X394" s="6">
        <v>6134782</v>
      </c>
      <c r="Y394" s="6">
        <v>111366</v>
      </c>
      <c r="Z394" s="6">
        <v>0</v>
      </c>
      <c r="AA394" s="6">
        <v>6246148</v>
      </c>
      <c r="AB394" s="142">
        <f>Table6[[#This Row],[Total Operating Income]]/Table6[[#This Row],[Total Population Served]]</f>
        <v>69.572483542922058</v>
      </c>
    </row>
    <row r="395" spans="1:28" ht="13.5" thickBot="1" x14ac:dyDescent="0.25">
      <c r="A395" s="2" t="s">
        <v>837</v>
      </c>
      <c r="B395" s="1" t="s">
        <v>836</v>
      </c>
      <c r="C395" s="2" t="s">
        <v>60</v>
      </c>
      <c r="D395" s="2" t="s">
        <v>1134</v>
      </c>
      <c r="E395" s="3" t="s">
        <v>27</v>
      </c>
      <c r="F395" s="3" t="s">
        <v>28</v>
      </c>
      <c r="G395" s="4">
        <v>84094</v>
      </c>
      <c r="H395" s="4">
        <v>84094</v>
      </c>
      <c r="I395" s="6">
        <v>0</v>
      </c>
      <c r="J395" s="6">
        <v>1437908</v>
      </c>
      <c r="K395" s="6">
        <v>1437909</v>
      </c>
      <c r="L395" s="6">
        <v>171510</v>
      </c>
      <c r="M395" s="6">
        <v>3047327</v>
      </c>
      <c r="N395" s="6">
        <v>144477</v>
      </c>
      <c r="O395" s="2">
        <v>0</v>
      </c>
      <c r="P395" s="78">
        <v>0</v>
      </c>
      <c r="Q395" s="78">
        <v>0</v>
      </c>
      <c r="R395" s="78">
        <v>0</v>
      </c>
      <c r="S395" s="78">
        <v>0</v>
      </c>
      <c r="T395" s="78">
        <v>0</v>
      </c>
      <c r="U395" s="78">
        <v>0</v>
      </c>
      <c r="V395" s="6">
        <v>3047327</v>
      </c>
      <c r="W395" s="6">
        <v>144477</v>
      </c>
      <c r="X395" s="6">
        <v>3191804</v>
      </c>
      <c r="Y395" s="6">
        <v>63347</v>
      </c>
      <c r="Z395" s="6">
        <v>0</v>
      </c>
      <c r="AA395" s="6">
        <v>3255151</v>
      </c>
      <c r="AB395" s="142">
        <f>Table6[[#This Row],[Total Operating Income]]/Table6[[#This Row],[Total Population Served]]</f>
        <v>38.708480985563774</v>
      </c>
    </row>
    <row r="396" spans="1:28" ht="13.5" thickBot="1" x14ac:dyDescent="0.25">
      <c r="A396" s="2" t="s">
        <v>843</v>
      </c>
      <c r="B396" s="114" t="s">
        <v>842</v>
      </c>
      <c r="C396" s="2" t="s">
        <v>60</v>
      </c>
      <c r="D396" s="2" t="s">
        <v>1144</v>
      </c>
      <c r="E396" s="3" t="s">
        <v>52</v>
      </c>
      <c r="F396" s="3" t="s">
        <v>53</v>
      </c>
      <c r="G396" s="4">
        <v>82974</v>
      </c>
      <c r="H396" s="4">
        <v>82974</v>
      </c>
      <c r="I396" s="6">
        <v>116084</v>
      </c>
      <c r="J396" s="6">
        <v>3173702</v>
      </c>
      <c r="K396" s="6">
        <v>0</v>
      </c>
      <c r="L396" s="6">
        <v>0</v>
      </c>
      <c r="M396" s="6">
        <v>3289786</v>
      </c>
      <c r="N396" s="6">
        <v>112481</v>
      </c>
      <c r="O396" s="2">
        <v>0</v>
      </c>
      <c r="P396" s="2">
        <v>0</v>
      </c>
      <c r="Q396" s="2">
        <v>0</v>
      </c>
      <c r="R396" s="2">
        <v>0</v>
      </c>
      <c r="S396" s="2">
        <v>0</v>
      </c>
      <c r="T396" s="2">
        <v>0</v>
      </c>
      <c r="U396" s="2">
        <v>0</v>
      </c>
      <c r="V396" s="6">
        <v>3289786</v>
      </c>
      <c r="W396" s="6">
        <v>112481</v>
      </c>
      <c r="X396" s="6">
        <v>3402267</v>
      </c>
      <c r="Y396" s="6">
        <v>60847</v>
      </c>
      <c r="Z396" s="6">
        <v>89412</v>
      </c>
      <c r="AA396" s="6">
        <v>3552526</v>
      </c>
      <c r="AB396" s="142">
        <f>Table6[[#This Row],[Total Operating Income]]/Table6[[#This Row],[Total Population Served]]</f>
        <v>42.814929978065415</v>
      </c>
    </row>
    <row r="397" spans="1:28" ht="18.75" thickBot="1" x14ac:dyDescent="0.3">
      <c r="B397" s="80" t="s">
        <v>2623</v>
      </c>
      <c r="C397" s="91">
        <f>SUBTOTAL(103,Table6[Library Class])</f>
        <v>393</v>
      </c>
      <c r="D397" s="115"/>
      <c r="E397" s="141"/>
      <c r="F397" s="143" t="s">
        <v>2624</v>
      </c>
      <c r="G397" s="144">
        <f>SUBTOTAL(109,Table6[Total Population Served])</f>
        <v>9843022</v>
      </c>
      <c r="H397" s="144">
        <f>SUBTOTAL(109,Table6[Subtotal Legal Service Area Population Served])</f>
        <v>9083044</v>
      </c>
      <c r="I397" s="144">
        <f>SUBTOTAL(109,Table6[Subtotal Local Penal Fine Revenues])</f>
        <v>22589932.390000001</v>
      </c>
      <c r="J397" s="144">
        <f>SUBTOTAL(109,Table6[Subtotal Income From Voted Millage])</f>
        <v>347502252.93000001</v>
      </c>
      <c r="K397" s="144">
        <f>SUBTOTAL(109,Table6[Subtotal Appropriated Tax Income])</f>
        <v>21618014</v>
      </c>
      <c r="L397" s="144">
        <f>SUBTOTAL(109,Table6[Subtotal Other Local Government Income])</f>
        <v>10108076.91</v>
      </c>
      <c r="M397" s="144">
        <f>SUBTOTAL(109,Table6[Subtotal Total Local Government Income])</f>
        <v>401818276.23000002</v>
      </c>
      <c r="N397" s="144">
        <f>SUBTOTAL(109,Table6[Subtotal Other Local Operating Income])</f>
        <v>26080389.140000001</v>
      </c>
      <c r="O397" s="144">
        <f>SUBTOTAL(109,Table6[Contracted Municipality Population Served])</f>
        <v>759978</v>
      </c>
      <c r="P397" s="145">
        <f>SUBTOTAL(109,Table6[CM Penal Fine Revenues])</f>
        <v>2745324.9299999997</v>
      </c>
      <c r="Q397" s="145">
        <f>SUBTOTAL(109,Table6[CM Income From Voted Millage])</f>
        <v>3880874.14</v>
      </c>
      <c r="R397" s="145">
        <f>SUBTOTAL(109,Table6[CM Appropriated Tax Income])</f>
        <v>867692</v>
      </c>
      <c r="S397" s="145">
        <f>SUBTOTAL(109,Table6[Contract Fee Income])</f>
        <v>3148094</v>
      </c>
      <c r="T397" s="145">
        <f>SUBTOTAL(109,Table6[CM Total Local Government Income])</f>
        <v>10641985.07</v>
      </c>
      <c r="U397" s="145">
        <f>SUBTOTAL(109,Table6[CM Other Local Operating Income])</f>
        <v>108669</v>
      </c>
      <c r="V397" s="145">
        <f>SUBTOTAL(109,Table6[Total Local Government Income])</f>
        <v>412460261.30000001</v>
      </c>
      <c r="W397" s="145">
        <f>SUBTOTAL(109,Table6[Total Other Local Operating Income])</f>
        <v>26189058.140000001</v>
      </c>
      <c r="X397" s="145">
        <f>SUBTOTAL(109,Table6[Total Local Operating Income])</f>
        <v>438649319.44</v>
      </c>
      <c r="Y397" s="145">
        <f>SUBTOTAL(109,Table6[State Government Operating Income])</f>
        <v>14106909.4</v>
      </c>
      <c r="Z397" s="145">
        <f>SUBTOTAL(109,Table6[Federal Government Operating Income])</f>
        <v>320736</v>
      </c>
      <c r="AA397" s="145">
        <f>SUBTOTAL(109,Table6[Total Operating Income])</f>
        <v>453076964.83999997</v>
      </c>
      <c r="AB397" s="146"/>
    </row>
    <row r="398" spans="1:28" ht="13.5" thickBot="1" x14ac:dyDescent="0.25">
      <c r="F398" s="147" t="s">
        <v>2625</v>
      </c>
      <c r="G398" s="148">
        <f>SUBTOTAL(101,Table6[Total Population Served])</f>
        <v>25045.857506361324</v>
      </c>
      <c r="H398" s="148">
        <f>SUBTOTAL(101,Table6[Subtotal Legal Service Area Population Served])</f>
        <v>23112.071246819338</v>
      </c>
      <c r="I398" s="149">
        <f>SUBTOTAL(101,Table6[Subtotal Local Penal Fine Revenues])</f>
        <v>57480.743994910939</v>
      </c>
      <c r="J398" s="149">
        <f>SUBTOTAL(101,Table6[Subtotal Income From Voted Millage])</f>
        <v>884229.65122137405</v>
      </c>
      <c r="K398" s="149">
        <f>SUBTOTAL(101,Table6[Subtotal Appropriated Tax Income])</f>
        <v>55007.669211195927</v>
      </c>
      <c r="L398" s="149">
        <f>SUBTOTAL(101,Table6[Subtotal Other Local Government Income])</f>
        <v>25720.29748091603</v>
      </c>
      <c r="M398" s="149">
        <f>SUBTOTAL(101,Table6[Subtotal Total Local Government Income])</f>
        <v>1022438.3619083969</v>
      </c>
      <c r="N398" s="149">
        <f>SUBTOTAL(101,Table6[Subtotal Other Local Operating Income])</f>
        <v>66362.313333333339</v>
      </c>
      <c r="O398" s="150">
        <f>SUBTOTAL(101,Table6[Contracted Municipality Population Served])</f>
        <v>1933.7862595419847</v>
      </c>
      <c r="P398" s="150">
        <f>SUBTOTAL(101,Table6[CM Penal Fine Revenues])</f>
        <v>6985.5596183206098</v>
      </c>
      <c r="Q398" s="150">
        <f>SUBTOTAL(101,Table6[CM Income From Voted Millage])</f>
        <v>9874.9978117048358</v>
      </c>
      <c r="R398" s="150">
        <f>SUBTOTAL(101,Table6[CM Appropriated Tax Income])</f>
        <v>2207.8676844783713</v>
      </c>
      <c r="S398" s="150">
        <f>SUBTOTAL(101,Table6[Contract Fee Income])</f>
        <v>8010.4173027989818</v>
      </c>
      <c r="T398" s="150">
        <f>SUBTOTAL(101,Table6[CM Total Local Government Income])</f>
        <v>27078.8424173028</v>
      </c>
      <c r="U398" s="150">
        <f>SUBTOTAL(101,Table6[CM Other Local Operating Income])</f>
        <v>276.51145038167937</v>
      </c>
      <c r="V398" s="149">
        <f>SUBTOTAL(101,Table6[Total Local Government Income])</f>
        <v>1049517.2043256997</v>
      </c>
      <c r="W398" s="149">
        <f>SUBTOTAL(101,Table6[Total Other Local Operating Income])</f>
        <v>66638.824783715012</v>
      </c>
      <c r="X398" s="149">
        <f>SUBTOTAL(101,Table6[Total Local Operating Income])</f>
        <v>1116156.0291094147</v>
      </c>
      <c r="Y398" s="149">
        <f>SUBTOTAL(101,Table6[State Government Operating Income])</f>
        <v>35895.443765903306</v>
      </c>
      <c r="Z398" s="149">
        <f>SUBTOTAL(101,Table6[Federal Government Operating Income])</f>
        <v>816.12213740458014</v>
      </c>
      <c r="AA398" s="149">
        <f>SUBTOTAL(101,Table6[Total Operating Income])</f>
        <v>1152867.5950127225</v>
      </c>
      <c r="AB398" s="151">
        <f>SUBTOTAL(101,Table6[Total Operating Income Per Capita])</f>
        <v>40.790584047661397</v>
      </c>
    </row>
  </sheetData>
  <sortState xmlns:xlrd2="http://schemas.microsoft.com/office/spreadsheetml/2017/richdata2" ref="B4:AA396">
    <sortCondition ref="C4:C396"/>
    <sortCondition ref="B4:B396"/>
  </sortState>
  <hyperlinks>
    <hyperlink ref="G1" location="'Table of Contents'!A1" display="Return to Table of Contents" xr:uid="{BC089E48-38D1-4B63-926B-4C7130AB9BC8}"/>
  </hyperlink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Table of Contents</vt:lpstr>
      <vt:lpstr>Summary &amp; Definitions</vt:lpstr>
      <vt:lpstr>Outlets, Hours and SqFt</vt:lpstr>
      <vt:lpstr>Collections</vt:lpstr>
      <vt:lpstr>Services</vt:lpstr>
      <vt:lpstr>Programs</vt:lpstr>
      <vt:lpstr>Technology</vt:lpstr>
      <vt:lpstr>Millages</vt:lpstr>
      <vt:lpstr>Operating Income</vt:lpstr>
      <vt:lpstr>Operating Expenditure</vt:lpstr>
      <vt:lpstr>Capital Income &amp; Expenditure</vt:lpstr>
      <vt:lpstr>Nonresident Fees</vt:lpstr>
      <vt:lpstr>Staffing</vt:lpstr>
      <vt:lpstr>Director's Salary</vt:lpstr>
      <vt:lpstr>Other Employee Salary</vt:lpstr>
    </vt:vector>
  </TitlesOfParts>
  <Company>Counting Opinions (SQUIRE)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LM_Statistics Outlets, Hours, and SqFt</dc:title>
  <dc:creator>Counting Opinions (SQUIRE) Ltd.</dc:creator>
  <cp:lastModifiedBy>Hamlin, Joseph (MDE)</cp:lastModifiedBy>
  <dcterms:created xsi:type="dcterms:W3CDTF">2019-07-08T21:00:13Z</dcterms:created>
  <dcterms:modified xsi:type="dcterms:W3CDTF">2019-12-02T22:00:13Z</dcterms:modified>
</cp:coreProperties>
</file>